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6.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comments7.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25-26/1st cycle/Team 12 - Maria Rocha/"/>
    </mc:Choice>
  </mc:AlternateContent>
  <xr:revisionPtr revIDLastSave="4306" documentId="13_ncr:1_{B36F032C-D226-47B5-B535-D81E0F2CF4F2}" xr6:coauthVersionLast="47" xr6:coauthVersionMax="47" xr10:uidLastSave="{62378DBF-60AE-40A1-A361-D0713F756489}"/>
  <bookViews>
    <workbookView xWindow="-108" yWindow="-108" windowWidth="23256" windowHeight="13896" tabRatio="723" activeTab="4" xr2:uid="{00000000-000D-0000-FFFF-FFFF00000000}"/>
  </bookViews>
  <sheets>
    <sheet name="Dashboard" sheetId="66" r:id="rId1"/>
    <sheet name="Key Info" sheetId="85" r:id="rId2"/>
    <sheet name="Industry" sheetId="3" r:id="rId3"/>
    <sheet name="ESG" sheetId="2" r:id="rId4"/>
    <sheet name="Segments" sheetId="84" r:id="rId5"/>
    <sheet name="Peers" sheetId="89" r:id="rId6"/>
    <sheet name="Trading Comps" sheetId="87" r:id="rId7"/>
    <sheet name="WACC" sheetId="6" r:id="rId8"/>
    <sheet name="FCFF" sheetId="78" r:id="rId9"/>
    <sheet name="LBO" sheetId="65" r:id="rId10"/>
    <sheet name="Sensitivity" sheetId="91" r:id="rId11"/>
    <sheet name="IS" sheetId="74" r:id="rId12"/>
    <sheet name="BS" sheetId="76" r:id="rId13"/>
    <sheet name="CF" sheetId="77" r:id="rId14"/>
    <sheet name="Error Check" sheetId="79" r:id="rId15"/>
    <sheet name="Inputs" sheetId="83" r:id="rId16"/>
    <sheet name="Stock Data" sheetId="86" r:id="rId17"/>
    <sheet name="Dashboard Data" sheetId="67" r:id="rId18"/>
  </sheets>
  <externalReferences>
    <externalReference r:id="rId19"/>
  </externalReference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3" hidden="1">{"'Sheet1'!$A$1:$H$145"}</definedName>
    <definedName name="HTML_Control" localSheetId="8" hidden="1">{"'Sheet1'!$A$1:$H$145"}</definedName>
    <definedName name="HTML_Control" localSheetId="2" hidden="1">{"'Sheet1'!$A$1:$H$145"}</definedName>
    <definedName name="HTML_Control" localSheetId="11" hidden="1">{"'Sheet1'!$A$1:$H$145"}</definedName>
    <definedName name="HTML_Control" localSheetId="9"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3">#REF!</definedName>
    <definedName name="Sectors" localSheetId="8">#REF!</definedName>
    <definedName name="Sectors" localSheetId="11">#REF!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1" i="84" l="1"/>
  <c r="AH50" i="78"/>
  <c r="E13" i="6"/>
  <c r="D39" i="6"/>
  <c r="H16" i="85" a="1"/>
  <c r="H16" i="85" s="1"/>
  <c r="H17" i="85" a="1"/>
  <c r="H17" i="85" s="1"/>
  <c r="AF10" i="78"/>
  <c r="E30" i="6"/>
  <c r="E16" i="6"/>
  <c r="X38" i="91" a="1"/>
  <c r="X38" i="91"/>
  <c r="AF160" i="78"/>
  <c r="B62" i="83"/>
  <c r="H27" i="85"/>
  <c r="AJ55" i="76"/>
  <c r="B21" i="83"/>
  <c r="AJ31" i="76"/>
  <c r="D90" i="89" a="1"/>
  <c r="AJ25" i="76"/>
  <c r="H25" i="83"/>
  <c r="H24" i="83"/>
  <c r="H22" i="83"/>
  <c r="H23" i="83"/>
  <c r="N21" i="83"/>
  <c r="AJ54" i="76"/>
  <c r="Q29" i="76"/>
  <c r="R29" i="76"/>
  <c r="AJ24" i="76"/>
  <c r="D89" i="89" a="1"/>
  <c r="AJ32" i="76"/>
  <c r="D89" i="89" l="1"/>
  <c r="D90" i="89"/>
  <c r="T17" i="87"/>
  <c r="AX22" i="84"/>
  <c r="M13" i="83"/>
  <c r="O28" i="74"/>
  <c r="AM33" i="74"/>
  <c r="AS33" i="74"/>
  <c r="AU33" i="74"/>
  <c r="AW33" i="74"/>
  <c r="AM18" i="74"/>
  <c r="AS18" i="74"/>
  <c r="AU18" i="74"/>
  <c r="AW18" i="74"/>
  <c r="Z160" i="78"/>
  <c r="Z159" i="78"/>
  <c r="M13" i="6"/>
  <c r="F30" i="6"/>
  <c r="G30" i="6"/>
  <c r="H30" i="6"/>
  <c r="D28" i="6"/>
  <c r="D31" i="6"/>
  <c r="D30" i="6"/>
  <c r="AF99" i="78"/>
  <c r="Z99" i="78"/>
  <c r="D25" i="89"/>
  <c r="H25" i="89"/>
  <c r="T19" i="87"/>
  <c r="H59" i="89" s="1"/>
  <c r="F59" i="89"/>
  <c r="T15" i="87"/>
  <c r="D59" i="89" s="1"/>
  <c r="G21" i="89"/>
  <c r="H21" i="89"/>
  <c r="G30" i="89"/>
  <c r="G39" i="89" s="1"/>
  <c r="G47" i="89" s="1"/>
  <c r="G57" i="89" s="1"/>
  <c r="G65" i="89" s="1"/>
  <c r="G71" i="89" s="1"/>
  <c r="G81" i="89" s="1"/>
  <c r="G86" i="89" s="1"/>
  <c r="H30" i="89"/>
  <c r="H39" i="89" s="1"/>
  <c r="H47" i="89" s="1"/>
  <c r="H57" i="89" s="1"/>
  <c r="H65" i="89" s="1"/>
  <c r="H71" i="89" s="1"/>
  <c r="H81" i="89" s="1"/>
  <c r="H86" i="89" s="1"/>
  <c r="W124" i="78"/>
  <c r="Z29" i="77"/>
  <c r="H109" i="78"/>
  <c r="F106" i="78"/>
  <c r="H20" i="76"/>
  <c r="N20" i="76"/>
  <c r="T20" i="76"/>
  <c r="Z20" i="76"/>
  <c r="AF20" i="76"/>
  <c r="M43" i="78"/>
  <c r="H43" i="78"/>
  <c r="I83" i="78"/>
  <c r="O83" i="78"/>
  <c r="D82" i="78"/>
  <c r="J21" i="89"/>
  <c r="T11" i="78"/>
  <c r="T12" i="78"/>
  <c r="T10" i="78"/>
  <c r="N11" i="78"/>
  <c r="N12" i="78"/>
  <c r="N10" i="78"/>
  <c r="H11" i="78"/>
  <c r="H12" i="78"/>
  <c r="H10" i="78"/>
  <c r="I52" i="87"/>
  <c r="D16" i="6"/>
  <c r="F13" i="3"/>
  <c r="B84" i="83"/>
  <c r="E13" i="3"/>
  <c r="D13" i="3"/>
  <c r="O14" i="83"/>
  <c r="O13" i="83"/>
  <c r="AJ18" i="76"/>
  <c r="AJ48" i="76"/>
  <c r="B25" i="83"/>
  <c r="AJ21" i="76"/>
  <c r="AJ27" i="76"/>
  <c r="AJ39" i="76"/>
  <c r="AJ26" i="76"/>
  <c r="AJ52" i="76"/>
  <c r="AJ44" i="76"/>
  <c r="N25" i="83"/>
  <c r="AJ38" i="76"/>
  <c r="P29" i="76"/>
  <c r="AJ47" i="76"/>
  <c r="AJ45" i="76"/>
  <c r="N22" i="83"/>
  <c r="B22" i="83"/>
  <c r="S29" i="76"/>
  <c r="AJ16" i="76"/>
  <c r="B23" i="83"/>
  <c r="AJ57" i="76"/>
  <c r="AJ19" i="76"/>
  <c r="N24" i="83"/>
  <c r="AJ28" i="76"/>
  <c r="AJ29" i="76"/>
  <c r="H21" i="83"/>
  <c r="N23" i="83"/>
  <c r="AJ41" i="76"/>
  <c r="B24" i="83"/>
  <c r="S7" i="83"/>
  <c r="AJ17" i="76"/>
  <c r="AJ53" i="76"/>
  <c r="AJ51" i="76" l="1"/>
  <c r="AJ30" i="76"/>
  <c r="AJ40" i="76"/>
  <c r="AJ20" i="76"/>
  <c r="AJ46" i="76"/>
  <c r="AT15" i="78" l="1"/>
  <c r="AU15" i="78" s="1"/>
  <c r="AV15" i="78" s="1"/>
  <c r="AW15" i="78" s="1"/>
  <c r="AX15" i="78" s="1"/>
  <c r="AY15" i="78" s="1"/>
  <c r="AZ15" i="78" s="1"/>
  <c r="R161" i="78"/>
  <c r="D115" i="78" l="1"/>
  <c r="L115" i="78"/>
  <c r="D112" i="78"/>
  <c r="F112" i="78"/>
  <c r="M115" i="78"/>
  <c r="R115" i="78"/>
  <c r="L112" i="78"/>
  <c r="V112" i="78"/>
  <c r="Q115" i="78"/>
  <c r="J112" i="78"/>
  <c r="E115" i="78"/>
  <c r="M112" i="78"/>
  <c r="N112" i="78"/>
  <c r="P115" i="78"/>
  <c r="W115" i="78"/>
  <c r="F115" i="78"/>
  <c r="V115" i="78"/>
  <c r="E112" i="78"/>
  <c r="H112" i="78"/>
  <c r="S112" i="78"/>
  <c r="Q112" i="78"/>
  <c r="P112" i="78"/>
  <c r="G115" i="78"/>
  <c r="R112" i="78"/>
  <c r="N115" i="78"/>
  <c r="S115" i="78"/>
  <c r="G112" i="78"/>
  <c r="K115" i="78"/>
  <c r="K112" i="78"/>
  <c r="W112" i="78"/>
  <c r="J115" i="78"/>
  <c r="T115" i="78"/>
  <c r="T112" i="78"/>
  <c r="H115" i="78"/>
  <c r="Y115" i="78" l="1"/>
  <c r="F20" i="85"/>
  <c r="Z115" i="78" l="1"/>
  <c r="AB115" i="78"/>
  <c r="AC115" i="78" l="1"/>
  <c r="AD115" i="78"/>
  <c r="AE115" i="78" l="1"/>
  <c r="AF115" i="78" s="1"/>
  <c r="AH115" i="78" s="1"/>
  <c r="AJ115" i="78" s="1"/>
  <c r="AL115" i="78" s="1"/>
  <c r="C21" i="89" l="1"/>
  <c r="C30" i="89" s="1"/>
  <c r="J82" i="78"/>
  <c r="M82" i="78"/>
  <c r="V82" i="78"/>
  <c r="Q82" i="78"/>
  <c r="E82" i="78"/>
  <c r="K82" i="78"/>
  <c r="P82" i="78"/>
  <c r="W82" i="78"/>
  <c r="F82" i="78"/>
  <c r="L82" i="78"/>
  <c r="G82" i="78"/>
  <c r="S82" i="78"/>
  <c r="R82" i="78"/>
  <c r="D52" i="78" l="1"/>
  <c r="N21" i="89" l="1"/>
  <c r="N30" i="89" s="1"/>
  <c r="N39" i="89" s="1"/>
  <c r="N47" i="89" s="1"/>
  <c r="N57" i="89" s="1"/>
  <c r="N65" i="89" s="1"/>
  <c r="N71" i="89" s="1"/>
  <c r="N81" i="89" s="1"/>
  <c r="N86" i="89" s="1"/>
  <c r="R21" i="89"/>
  <c r="R30" i="89" s="1"/>
  <c r="R39" i="89" s="1"/>
  <c r="R47" i="89" s="1"/>
  <c r="R57" i="89" s="1"/>
  <c r="R65" i="89" s="1"/>
  <c r="R71" i="89" s="1"/>
  <c r="R81" i="89" s="1"/>
  <c r="R86" i="89" s="1"/>
  <c r="P21" i="89"/>
  <c r="P30" i="89" s="1"/>
  <c r="P39" i="89" s="1"/>
  <c r="P47" i="89" s="1"/>
  <c r="P57" i="89" s="1"/>
  <c r="P65" i="89" s="1"/>
  <c r="P71" i="89" s="1"/>
  <c r="P81" i="89" s="1"/>
  <c r="P86" i="89" s="1"/>
  <c r="O21" i="89"/>
  <c r="O30" i="89" s="1"/>
  <c r="O39" i="89" s="1"/>
  <c r="O47" i="89" s="1"/>
  <c r="O57" i="89" s="1"/>
  <c r="O65" i="89" s="1"/>
  <c r="O71" i="89" s="1"/>
  <c r="O81" i="89" s="1"/>
  <c r="O86" i="89" s="1"/>
  <c r="Q21" i="89"/>
  <c r="Q30" i="89" s="1"/>
  <c r="Q39" i="89" s="1"/>
  <c r="Q47" i="89" s="1"/>
  <c r="Q57" i="89" s="1"/>
  <c r="Q65" i="89" s="1"/>
  <c r="Q71" i="89" s="1"/>
  <c r="Q81" i="89" s="1"/>
  <c r="Q86" i="89" s="1"/>
  <c r="I21" i="89"/>
  <c r="I30" i="89" s="1"/>
  <c r="I39" i="89" s="1"/>
  <c r="I47" i="89" s="1"/>
  <c r="I57" i="89" s="1"/>
  <c r="I65" i="89" s="1"/>
  <c r="I71" i="89" s="1"/>
  <c r="I81" i="89" s="1"/>
  <c r="I86" i="89" s="1"/>
  <c r="M21" i="89"/>
  <c r="M30" i="89" s="1"/>
  <c r="M39" i="89" s="1"/>
  <c r="M47" i="89" s="1"/>
  <c r="M57" i="89" s="1"/>
  <c r="M65" i="89" s="1"/>
  <c r="M71" i="89" s="1"/>
  <c r="M81" i="89" s="1"/>
  <c r="M86" i="89" s="1"/>
  <c r="K21" i="89"/>
  <c r="K30" i="89" s="1"/>
  <c r="K39" i="89" s="1"/>
  <c r="K47" i="89" s="1"/>
  <c r="K57" i="89" s="1"/>
  <c r="K65" i="89" s="1"/>
  <c r="K71" i="89" s="1"/>
  <c r="K81" i="89" s="1"/>
  <c r="K86" i="89" s="1"/>
  <c r="L21" i="89"/>
  <c r="L30" i="89" s="1"/>
  <c r="L39" i="89" s="1"/>
  <c r="L47" i="89" s="1"/>
  <c r="L57" i="89" s="1"/>
  <c r="L65" i="89" s="1"/>
  <c r="L71" i="89" s="1"/>
  <c r="L81" i="89" s="1"/>
  <c r="L86" i="89" s="1"/>
  <c r="J30" i="89"/>
  <c r="J39" i="89" s="1"/>
  <c r="J47" i="89" s="1"/>
  <c r="J57" i="89" s="1"/>
  <c r="J65" i="89" s="1"/>
  <c r="J71" i="89" s="1"/>
  <c r="J81" i="89" s="1"/>
  <c r="J86" i="89" s="1"/>
  <c r="D21" i="89"/>
  <c r="D30" i="89" s="1"/>
  <c r="D39" i="89" s="1"/>
  <c r="D47" i="89" s="1"/>
  <c r="D57" i="89" s="1"/>
  <c r="D65" i="89" s="1"/>
  <c r="D71" i="89" s="1"/>
  <c r="D81" i="89" s="1"/>
  <c r="D86" i="89" s="1"/>
  <c r="E21" i="89"/>
  <c r="E30" i="89" s="1"/>
  <c r="E39" i="89" s="1"/>
  <c r="E47" i="89" s="1"/>
  <c r="E57" i="89" s="1"/>
  <c r="E65" i="89" s="1"/>
  <c r="E71" i="89" s="1"/>
  <c r="E81" i="89" s="1"/>
  <c r="E86" i="89" s="1"/>
  <c r="F21" i="89"/>
  <c r="F30" i="89" s="1"/>
  <c r="F39" i="89" s="1"/>
  <c r="F47" i="89" s="1"/>
  <c r="F57" i="89" s="1"/>
  <c r="F65" i="89" s="1"/>
  <c r="F71" i="89" s="1"/>
  <c r="F81" i="89" s="1"/>
  <c r="F86" i="89" s="1"/>
  <c r="S55" i="87"/>
  <c r="R55" i="87"/>
  <c r="S54" i="87"/>
  <c r="R54" i="87"/>
  <c r="S52" i="87"/>
  <c r="S51" i="87"/>
  <c r="S46" i="87"/>
  <c r="S45" i="87"/>
  <c r="S34" i="87"/>
  <c r="S33" i="87"/>
  <c r="S22" i="87"/>
  <c r="S21" i="87"/>
  <c r="J34" i="87" l="1"/>
  <c r="L34" i="87"/>
  <c r="L33" i="87"/>
  <c r="L54" i="87"/>
  <c r="O55" i="87"/>
  <c r="V33" i="87"/>
  <c r="W55" i="87"/>
  <c r="M33" i="87"/>
  <c r="X34" i="87"/>
  <c r="X33" i="87"/>
  <c r="W22" i="87"/>
  <c r="O34" i="87"/>
  <c r="N45" i="87"/>
  <c r="N55" i="87"/>
  <c r="N52" i="87"/>
  <c r="N54" i="87"/>
  <c r="N51" i="87"/>
  <c r="N46" i="87"/>
  <c r="N34" i="87"/>
  <c r="K55" i="87"/>
  <c r="V22" i="87"/>
  <c r="V21" i="87"/>
  <c r="T33" i="87"/>
  <c r="Q33" i="87"/>
  <c r="X55" i="87"/>
  <c r="X51" i="87"/>
  <c r="X54" i="87"/>
  <c r="X52" i="87"/>
  <c r="X45" i="87"/>
  <c r="X46" i="87"/>
  <c r="P33" i="87"/>
  <c r="V55" i="87"/>
  <c r="V52" i="87"/>
  <c r="I33" i="87"/>
  <c r="K33" i="87"/>
  <c r="J45" i="87"/>
  <c r="Z22" i="87"/>
  <c r="M45" i="87"/>
  <c r="Z52" i="87"/>
  <c r="T45" i="87"/>
  <c r="W34" i="87"/>
  <c r="T22" i="87"/>
  <c r="Z33" i="87"/>
  <c r="X22" i="87"/>
  <c r="P51" i="87"/>
  <c r="W45" i="87"/>
  <c r="V46" i="87"/>
  <c r="V45" i="87"/>
  <c r="V51" i="87"/>
  <c r="V54" i="87"/>
  <c r="W46" i="87"/>
  <c r="W54" i="87"/>
  <c r="W52" i="87"/>
  <c r="W51" i="87"/>
  <c r="M52" i="87"/>
  <c r="M51" i="87"/>
  <c r="M55" i="87"/>
  <c r="M54" i="87"/>
  <c r="N33" i="87"/>
  <c r="P54" i="87"/>
  <c r="P55" i="87"/>
  <c r="P52" i="87"/>
  <c r="P46" i="87"/>
  <c r="V34" i="87"/>
  <c r="M46" i="87"/>
  <c r="P45" i="87"/>
  <c r="K34" i="87"/>
  <c r="W33" i="87"/>
  <c r="W21" i="87"/>
  <c r="P34" i="87"/>
  <c r="O33" i="87"/>
  <c r="L46" i="87"/>
  <c r="J52" i="87"/>
  <c r="L52" i="87"/>
  <c r="O46" i="87"/>
  <c r="Q34" i="87"/>
  <c r="L51" i="87"/>
  <c r="O51" i="87"/>
  <c r="J54" i="87"/>
  <c r="M34" i="87"/>
  <c r="J55" i="87"/>
  <c r="K45" i="87"/>
  <c r="O52" i="87"/>
  <c r="L45" i="87"/>
  <c r="J46" i="87"/>
  <c r="O45" i="87"/>
  <c r="J51" i="87"/>
  <c r="O54" i="87"/>
  <c r="L55" i="87"/>
  <c r="X21" i="87"/>
  <c r="K52" i="87"/>
  <c r="I34" i="87"/>
  <c r="K46" i="87"/>
  <c r="K54" i="87"/>
  <c r="K51" i="87"/>
  <c r="T52" i="87"/>
  <c r="T55" i="87"/>
  <c r="Z55" i="87"/>
  <c r="J33" i="87"/>
  <c r="Z34" i="87"/>
  <c r="I45" i="87"/>
  <c r="I51" i="87"/>
  <c r="I54" i="87"/>
  <c r="I55" i="87"/>
  <c r="I46" i="87"/>
  <c r="Z46" i="87"/>
  <c r="Q45" i="87"/>
  <c r="Q51" i="87"/>
  <c r="Q55" i="87"/>
  <c r="T21" i="87"/>
  <c r="T34" i="87"/>
  <c r="Q46" i="87"/>
  <c r="Q54" i="87"/>
  <c r="Z45" i="87"/>
  <c r="Z54" i="87"/>
  <c r="Z51" i="87"/>
  <c r="Q52" i="87"/>
  <c r="Z21" i="87"/>
  <c r="T51" i="87"/>
  <c r="T54" i="87"/>
  <c r="T46" i="87"/>
  <c r="Q22" i="87"/>
  <c r="Q21" i="87"/>
  <c r="P22" i="87"/>
  <c r="P21" i="87"/>
  <c r="O22" i="87"/>
  <c r="O21" i="87"/>
  <c r="N21" i="87"/>
  <c r="N22" i="87"/>
  <c r="M22" i="87"/>
  <c r="M21" i="87"/>
  <c r="L22" i="87"/>
  <c r="L21" i="87"/>
  <c r="K21" i="87"/>
  <c r="K22" i="87"/>
  <c r="J22" i="87"/>
  <c r="I22" i="87"/>
  <c r="I21" i="87"/>
  <c r="H32" i="6"/>
  <c r="G32" i="6"/>
  <c r="F32" i="6"/>
  <c r="K12" i="6"/>
  <c r="O9" i="6"/>
  <c r="P9" i="6" s="1"/>
  <c r="Q9" i="6" s="1"/>
  <c r="R9" i="6" s="1"/>
  <c r="E9" i="6"/>
  <c r="F9" i="6" s="1"/>
  <c r="G9" i="6" s="1"/>
  <c r="H9" i="6" s="1"/>
  <c r="H33" i="6" l="1"/>
  <c r="G33" i="6"/>
  <c r="F33" i="6"/>
  <c r="A61" i="83" l="1"/>
  <c r="M12"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N17" i="79"/>
  <c r="AF13" i="79"/>
  <c r="AF17" i="79"/>
  <c r="AL16" i="79"/>
  <c r="AR15" i="79"/>
  <c r="N14" i="79"/>
  <c r="T13" i="79"/>
  <c r="T17" i="79"/>
  <c r="Z16" i="79"/>
  <c r="AF15" i="79"/>
  <c r="AR13" i="79"/>
  <c r="AR17" i="79"/>
  <c r="AF16" i="79"/>
  <c r="H17" i="79"/>
  <c r="N16" i="79"/>
  <c r="T16" i="79"/>
  <c r="N15" i="79"/>
  <c r="T14" i="79"/>
  <c r="Z13" i="79"/>
  <c r="Z17" i="79"/>
  <c r="AL15" i="79"/>
  <c r="Z15" i="79"/>
  <c r="AR16" i="79"/>
  <c r="T15" i="79"/>
  <c r="N13" i="79"/>
  <c r="AL17" i="79"/>
  <c r="AR14" i="79"/>
  <c r="AL13" i="79"/>
  <c r="AL14" i="79"/>
  <c r="AF14" i="79"/>
  <c r="Z14" i="79"/>
  <c r="C194" i="66" l="1"/>
  <c r="C191" i="66"/>
  <c r="C195" i="66" l="1"/>
  <c r="C190" i="66"/>
  <c r="L59" i="65"/>
  <c r="L108" i="65" s="1"/>
  <c r="K59" i="65"/>
  <c r="K102" i="65" s="1"/>
  <c r="J59" i="65"/>
  <c r="J108" i="65" s="1"/>
  <c r="I59" i="65"/>
  <c r="I71" i="65" s="1"/>
  <c r="I120" i="65" s="1"/>
  <c r="H59" i="65"/>
  <c r="H71" i="65" s="1"/>
  <c r="H120" i="65" s="1"/>
  <c r="G112" i="65"/>
  <c r="F112" i="65"/>
  <c r="E112" i="65"/>
  <c r="C196" i="66" l="1"/>
  <c r="C189" i="66"/>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C198" i="66" l="1"/>
  <c r="C187" i="66"/>
  <c r="C199" i="66" l="1"/>
  <c r="C186" i="66"/>
  <c r="C200" i="66" l="1"/>
  <c r="C185" i="66"/>
  <c r="C201" i="66" l="1"/>
  <c r="C184" i="66"/>
  <c r="C202" i="66" l="1"/>
  <c r="C183" i="66"/>
  <c r="C203" i="66" l="1"/>
  <c r="C182" i="66"/>
  <c r="C181" i="66" l="1"/>
  <c r="C204" i="66"/>
  <c r="C205" i="66" l="1"/>
  <c r="C180" i="66"/>
  <c r="C206" i="66" l="1"/>
  <c r="C179" i="66"/>
  <c r="B30" i="83"/>
  <c r="E14" i="65"/>
  <c r="B73" i="83"/>
  <c r="F73" i="83"/>
  <c r="G73" i="83" s="1"/>
  <c r="H73" i="83" s="1"/>
  <c r="I73" i="83" s="1"/>
  <c r="J73" i="83" s="1"/>
  <c r="K73" i="83" s="1"/>
  <c r="L73" i="83" s="1"/>
  <c r="M73" i="83" s="1"/>
  <c r="N73" i="83" s="1"/>
  <c r="C207" i="66" l="1"/>
  <c r="C178" i="66"/>
  <c r="AD18" i="84"/>
  <c r="AD26" i="84"/>
  <c r="AD68" i="79"/>
  <c r="R26" i="84"/>
  <c r="R18" i="84"/>
  <c r="R68" i="79"/>
  <c r="F26" i="84"/>
  <c r="F18" i="84"/>
  <c r="F68" i="79"/>
  <c r="X26" i="84"/>
  <c r="X18" i="84"/>
  <c r="X68" i="79"/>
  <c r="L18" i="84"/>
  <c r="L26" i="84"/>
  <c r="L68" i="79"/>
  <c r="B117" i="83"/>
  <c r="B106" i="83"/>
  <c r="B95" i="83"/>
  <c r="E84" i="83"/>
  <c r="E95" i="83" s="1"/>
  <c r="E106" i="83" s="1"/>
  <c r="E117" i="83" s="1"/>
  <c r="F62" i="83"/>
  <c r="C208" i="66" l="1"/>
  <c r="C177" i="66"/>
  <c r="G62" i="83"/>
  <c r="F84" i="83"/>
  <c r="F95" i="83" s="1"/>
  <c r="F106" i="83" s="1"/>
  <c r="F117" i="83" s="1"/>
  <c r="G84" i="83"/>
  <c r="G95" i="83" s="1"/>
  <c r="C209" i="66" l="1"/>
  <c r="C176" i="66"/>
  <c r="H84" i="83"/>
  <c r="I84" i="83" s="1"/>
  <c r="J84" i="83" s="1"/>
  <c r="K84" i="83" s="1"/>
  <c r="L84" i="83" s="1"/>
  <c r="M84" i="83" s="1"/>
  <c r="N84" i="83" s="1"/>
  <c r="H62" i="83"/>
  <c r="H95" i="83"/>
  <c r="I95" i="83" s="1"/>
  <c r="J95" i="83" s="1"/>
  <c r="K95" i="83" s="1"/>
  <c r="L95" i="83" s="1"/>
  <c r="M95" i="83" s="1"/>
  <c r="N95" i="83" s="1"/>
  <c r="G106" i="83"/>
  <c r="C210" i="66" l="1"/>
  <c r="C175" i="66"/>
  <c r="I62" i="83"/>
  <c r="H106" i="83"/>
  <c r="I106" i="83" s="1"/>
  <c r="J106" i="83" s="1"/>
  <c r="K106" i="83" s="1"/>
  <c r="L106" i="83" s="1"/>
  <c r="M106" i="83" s="1"/>
  <c r="N106" i="83" s="1"/>
  <c r="G117" i="83"/>
  <c r="H117" i="83" s="1"/>
  <c r="I117" i="83" s="1"/>
  <c r="J117" i="83" s="1"/>
  <c r="K117" i="83" s="1"/>
  <c r="L117" i="83" s="1"/>
  <c r="M117" i="83" s="1"/>
  <c r="N117" i="83" s="1"/>
  <c r="C211" i="66" l="1"/>
  <c r="C174" i="66"/>
  <c r="J62" i="83"/>
  <c r="C212" i="66" l="1"/>
  <c r="C173" i="66"/>
  <c r="K62" i="83"/>
  <c r="C213" i="66" l="1"/>
  <c r="C172" i="66"/>
  <c r="L62" i="83"/>
  <c r="C214" i="66" l="1"/>
  <c r="C171" i="66"/>
  <c r="M62" i="83"/>
  <c r="C215" i="66" l="1"/>
  <c r="C170" i="66"/>
  <c r="N62" i="83"/>
  <c r="C169" i="66" l="1"/>
  <c r="C216" i="66"/>
  <c r="C217" i="66" l="1"/>
  <c r="C168" i="66"/>
  <c r="C218" i="66" l="1"/>
  <c r="C167" i="66"/>
  <c r="M16" i="83"/>
  <c r="E32" i="6"/>
  <c r="E33" i="6" s="1"/>
  <c r="C219" i="66" l="1"/>
  <c r="C166" i="66"/>
  <c r="W55" i="78"/>
  <c r="V55" i="78"/>
  <c r="W52" i="78"/>
  <c r="V52" i="78"/>
  <c r="R65" i="78"/>
  <c r="R64" i="78"/>
  <c r="T55" i="78"/>
  <c r="G83" i="65" s="1"/>
  <c r="S55" i="78"/>
  <c r="R55" i="78"/>
  <c r="Q55" i="78"/>
  <c r="P55" i="78"/>
  <c r="T52" i="78"/>
  <c r="G80" i="65" s="1"/>
  <c r="S52" i="78"/>
  <c r="R52" i="78"/>
  <c r="Q52" i="78"/>
  <c r="P52" i="78"/>
  <c r="L65" i="78"/>
  <c r="L64" i="78"/>
  <c r="N55" i="78"/>
  <c r="F83" i="65" s="1"/>
  <c r="M55" i="78"/>
  <c r="L55" i="78"/>
  <c r="K55" i="78"/>
  <c r="J55" i="78"/>
  <c r="N52" i="78"/>
  <c r="F80" i="65" s="1"/>
  <c r="M52" i="78"/>
  <c r="L52" i="78"/>
  <c r="K52" i="78"/>
  <c r="J52" i="78"/>
  <c r="C220" i="66" l="1"/>
  <c r="C165" i="66"/>
  <c r="H55" i="78"/>
  <c r="E83" i="65" s="1"/>
  <c r="G55" i="78"/>
  <c r="F55" i="78"/>
  <c r="E55" i="78"/>
  <c r="H52" i="78"/>
  <c r="E80" i="65" s="1"/>
  <c r="G52" i="78"/>
  <c r="F52" i="78"/>
  <c r="E52" i="78"/>
  <c r="D55" i="78"/>
  <c r="AD139" i="78"/>
  <c r="AF139" i="78" s="1"/>
  <c r="X139" i="78"/>
  <c r="Z139" i="78" s="1"/>
  <c r="AD118" i="78"/>
  <c r="AF118" i="78" s="1"/>
  <c r="X118" i="78"/>
  <c r="Y118" i="78" s="1"/>
  <c r="R118" i="78"/>
  <c r="Q118" i="78" s="1"/>
  <c r="L118" i="78"/>
  <c r="N118" i="78" s="1"/>
  <c r="F118" i="78"/>
  <c r="E118" i="78" s="1"/>
  <c r="D118" i="78"/>
  <c r="AD24" i="78"/>
  <c r="AF24" i="78" s="1"/>
  <c r="X24" i="78"/>
  <c r="Y24" i="78" s="1"/>
  <c r="R24" i="78"/>
  <c r="T24" i="78" s="1"/>
  <c r="L24" i="78"/>
  <c r="K24" i="78" s="1"/>
  <c r="D24" i="78"/>
  <c r="F24" i="78"/>
  <c r="J8" i="78"/>
  <c r="P8" i="78" s="1"/>
  <c r="V8" i="78" s="1"/>
  <c r="AB8" i="78" s="1"/>
  <c r="AH8" i="78" s="1"/>
  <c r="AJ8" i="78" s="1"/>
  <c r="AL8" i="78" s="1"/>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AL139" i="78" l="1"/>
  <c r="C221" i="66"/>
  <c r="C164" i="66"/>
  <c r="AP171" i="79"/>
  <c r="AK171" i="79"/>
  <c r="AO171" i="79"/>
  <c r="AX171" i="79"/>
  <c r="AV171" i="79"/>
  <c r="AQ171" i="79"/>
  <c r="AN171" i="79"/>
  <c r="AT171" i="79"/>
  <c r="AX139" i="79"/>
  <c r="AJ171" i="79"/>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V24" i="78"/>
  <c r="AJ24" i="78"/>
  <c r="K118" i="78"/>
  <c r="AE139" i="78"/>
  <c r="W139" i="78"/>
  <c r="Y139" i="78"/>
  <c r="S118" i="78"/>
  <c r="AC118" i="78"/>
  <c r="AE118" i="78"/>
  <c r="Q24" i="78"/>
  <c r="S24" i="78"/>
  <c r="AC24" i="78"/>
  <c r="AE24" i="78"/>
  <c r="H24" i="78"/>
  <c r="G24" i="78"/>
  <c r="E24" i="78"/>
  <c r="C222" i="66" l="1"/>
  <c r="C163" i="66"/>
  <c r="AT139" i="79"/>
  <c r="AV139" i="79"/>
  <c r="AV109" i="79"/>
  <c r="AT131" i="79"/>
  <c r="AT109" i="79"/>
  <c r="AX138" i="79"/>
  <c r="AT98" i="79"/>
  <c r="AO98" i="79"/>
  <c r="AO109" i="79"/>
  <c r="AK98" i="79"/>
  <c r="AP109" i="79"/>
  <c r="AP98" i="79"/>
  <c r="AQ98" i="79"/>
  <c r="AN109" i="79"/>
  <c r="AN98" i="79"/>
  <c r="AR21" i="79"/>
  <c r="AJ109" i="79"/>
  <c r="C223" i="66" l="1"/>
  <c r="C162" i="66"/>
  <c r="C161" i="66" s="1"/>
  <c r="C160" i="66" s="1"/>
  <c r="C159" i="66" s="1"/>
  <c r="C158" i="66" s="1"/>
  <c r="C157" i="66" s="1"/>
  <c r="C156" i="66" s="1"/>
  <c r="C155" i="66" s="1"/>
  <c r="C154" i="66" s="1"/>
  <c r="D97" i="79"/>
  <c r="AV131" i="79"/>
  <c r="AR109" i="79"/>
  <c r="AR131" i="79"/>
  <c r="AV134" i="79"/>
  <c r="AQ109" i="79"/>
  <c r="AK109" i="79"/>
  <c r="AV128" i="79"/>
  <c r="AR128" i="79"/>
  <c r="AT128" i="79"/>
  <c r="AR30" i="79"/>
  <c r="AV132" i="79"/>
  <c r="AR138" i="79"/>
  <c r="AR171" i="79"/>
  <c r="AT138" i="79"/>
  <c r="AV138" i="79"/>
  <c r="AT133" i="79"/>
  <c r="AL109" i="79"/>
  <c r="AR98" i="79"/>
  <c r="AR27" i="79"/>
  <c r="D98" i="79"/>
  <c r="C224" i="66" l="1"/>
  <c r="AR134" i="79"/>
  <c r="AT134" i="79"/>
  <c r="AV133" i="79"/>
  <c r="AR133" i="79"/>
  <c r="AT132" i="79"/>
  <c r="AR132" i="79"/>
  <c r="AR24" i="79"/>
  <c r="AR22" i="79"/>
  <c r="C225" i="66" l="1"/>
  <c r="E68" i="79"/>
  <c r="G68" i="79"/>
  <c r="G18" i="84"/>
  <c r="G26" i="84"/>
  <c r="E18" i="84"/>
  <c r="E26" i="84"/>
  <c r="H68" i="79"/>
  <c r="H18" i="84"/>
  <c r="H26" i="84"/>
  <c r="H80" i="79"/>
  <c r="H87" i="79"/>
  <c r="AR29" i="79"/>
  <c r="AR23" i="79"/>
  <c r="R73" i="78"/>
  <c r="R70" i="78"/>
  <c r="H77" i="79"/>
  <c r="H71" i="79"/>
  <c r="H86" i="79"/>
  <c r="H83" i="79"/>
  <c r="H74" i="79"/>
  <c r="AD97" i="79"/>
  <c r="C226" i="66" l="1"/>
  <c r="H125" i="79"/>
  <c r="C227" i="66" l="1"/>
  <c r="N125" i="79"/>
  <c r="C228" i="66" l="1"/>
  <c r="S94" i="78"/>
  <c r="S49" i="78" s="1"/>
  <c r="Q94" i="78"/>
  <c r="Q49" i="78" s="1"/>
  <c r="R94" i="78"/>
  <c r="R49" i="78" s="1"/>
  <c r="P94" i="78"/>
  <c r="P49" i="78" s="1"/>
  <c r="M94" i="78"/>
  <c r="M49" i="78" s="1"/>
  <c r="K94" i="78"/>
  <c r="K49" i="78" s="1"/>
  <c r="W94" i="78"/>
  <c r="W49" i="78" s="1"/>
  <c r="V94" i="78"/>
  <c r="V49" i="78" s="1"/>
  <c r="L94" i="78"/>
  <c r="L49" i="78" s="1"/>
  <c r="J94" i="78"/>
  <c r="J49" i="78" s="1"/>
  <c r="E94" i="78"/>
  <c r="F94" i="78"/>
  <c r="G94" i="78"/>
  <c r="D94" i="78"/>
  <c r="AL125" i="79"/>
  <c r="T125" i="79"/>
  <c r="N127" i="79"/>
  <c r="AF125" i="79"/>
  <c r="H127" i="79"/>
  <c r="Z125" i="79"/>
  <c r="H128" i="79"/>
  <c r="N128" i="79"/>
  <c r="D128" i="78" l="1"/>
  <c r="D49" i="78"/>
  <c r="G128" i="78"/>
  <c r="G49" i="78"/>
  <c r="F128" i="78"/>
  <c r="F49" i="78"/>
  <c r="E128" i="78"/>
  <c r="E49" i="78"/>
  <c r="C229" i="66"/>
  <c r="AL128" i="79"/>
  <c r="L97" i="78"/>
  <c r="L130" i="78" s="1"/>
  <c r="P97" i="78"/>
  <c r="P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R128" i="78"/>
  <c r="V128" i="78"/>
  <c r="Q128" i="78"/>
  <c r="Z127" i="79"/>
  <c r="N94" i="78"/>
  <c r="W128" i="78"/>
  <c r="S128" i="78"/>
  <c r="G97" i="78"/>
  <c r="G130" i="78" s="1"/>
  <c r="E97" i="78"/>
  <c r="E130" i="78" s="1"/>
  <c r="F97" i="78"/>
  <c r="F130" i="78" s="1"/>
  <c r="D97" i="78"/>
  <c r="D130" i="78" s="1"/>
  <c r="T127" i="79"/>
  <c r="H94" i="78"/>
  <c r="H129" i="79"/>
  <c r="N129" i="79"/>
  <c r="E125" i="65" l="1"/>
  <c r="H49" i="78"/>
  <c r="F125" i="65"/>
  <c r="N49" i="78"/>
  <c r="G125" i="65"/>
  <c r="T49" i="78"/>
  <c r="C230" i="66"/>
  <c r="D22" i="6"/>
  <c r="AL165" i="78"/>
  <c r="Z165" i="78"/>
  <c r="AF165" i="78"/>
  <c r="N128" i="78"/>
  <c r="V130" i="78"/>
  <c r="Z128" i="79"/>
  <c r="N97" i="78"/>
  <c r="N130" i="78" s="1"/>
  <c r="AF128" i="79"/>
  <c r="T97" i="78"/>
  <c r="T130" i="78" s="1"/>
  <c r="T128" i="78"/>
  <c r="H128" i="78"/>
  <c r="T128" i="79"/>
  <c r="H97" i="78"/>
  <c r="AL129" i="79"/>
  <c r="AF129" i="79"/>
  <c r="Z129" i="79"/>
  <c r="T129" i="79"/>
  <c r="H131" i="79"/>
  <c r="N131" i="79"/>
  <c r="C231" i="66" l="1"/>
  <c r="H130" i="78"/>
  <c r="H132" i="79"/>
  <c r="N132" i="79"/>
  <c r="C232" i="66" l="1"/>
  <c r="AF131" i="79"/>
  <c r="Z131" i="79"/>
  <c r="T131" i="79"/>
  <c r="AF132" i="79"/>
  <c r="Z132" i="79"/>
  <c r="T132" i="79"/>
  <c r="H133" i="79"/>
  <c r="N133" i="79"/>
  <c r="C233" i="66" l="1"/>
  <c r="V103" i="78"/>
  <c r="Q103" i="78"/>
  <c r="Q132" i="78" s="1"/>
  <c r="P103" i="78"/>
  <c r="P132" i="78" s="1"/>
  <c r="J103" i="78"/>
  <c r="J132" i="78" s="1"/>
  <c r="M103" i="78"/>
  <c r="M132" i="78" s="1"/>
  <c r="L103" i="78"/>
  <c r="L132" i="78" s="1"/>
  <c r="S103" i="78"/>
  <c r="S132" i="78" s="1"/>
  <c r="K103" i="78"/>
  <c r="K132" i="78" s="1"/>
  <c r="R103" i="78"/>
  <c r="R132" i="78" s="1"/>
  <c r="W103" i="78"/>
  <c r="W132" i="78" s="1"/>
  <c r="J168" i="79"/>
  <c r="K168" i="79"/>
  <c r="G103" i="78"/>
  <c r="M168" i="79"/>
  <c r="F103" i="78"/>
  <c r="L168" i="79"/>
  <c r="E103" i="78"/>
  <c r="D103" i="78"/>
  <c r="F168" i="79"/>
  <c r="E168" i="79"/>
  <c r="D168" i="79"/>
  <c r="G168" i="79"/>
  <c r="AF134" i="79"/>
  <c r="T134" i="79"/>
  <c r="Z133" i="79"/>
  <c r="H134" i="79"/>
  <c r="Z134" i="79"/>
  <c r="N134" i="79"/>
  <c r="T133" i="79"/>
  <c r="C234" i="66" l="1"/>
  <c r="S109" i="78"/>
  <c r="Q109" i="78"/>
  <c r="P109" i="78"/>
  <c r="P106" i="78"/>
  <c r="Q106" i="78"/>
  <c r="J106" i="78"/>
  <c r="W109" i="78"/>
  <c r="V106" i="78"/>
  <c r="M106" i="78"/>
  <c r="V109" i="78"/>
  <c r="K106" i="78"/>
  <c r="K109" i="78"/>
  <c r="W106" i="78"/>
  <c r="M109" i="78"/>
  <c r="L106" i="78"/>
  <c r="L109" i="78"/>
  <c r="S106" i="78"/>
  <c r="R109" i="78"/>
  <c r="R106" i="78"/>
  <c r="J109" i="78"/>
  <c r="AF133" i="79"/>
  <c r="T103" i="78"/>
  <c r="T132" i="78" s="1"/>
  <c r="N103" i="78"/>
  <c r="V132" i="78"/>
  <c r="D132" i="78"/>
  <c r="E132" i="78"/>
  <c r="F132" i="78"/>
  <c r="G132" i="78"/>
  <c r="H103" i="78"/>
  <c r="E128" i="65" s="1"/>
  <c r="D109" i="78"/>
  <c r="X168" i="79"/>
  <c r="G106" i="78"/>
  <c r="AE168" i="79"/>
  <c r="P168" i="79"/>
  <c r="AD168" i="79"/>
  <c r="E109" i="78"/>
  <c r="AH168" i="79"/>
  <c r="Y168" i="79"/>
  <c r="S168" i="79"/>
  <c r="G109" i="78"/>
  <c r="V168" i="79"/>
  <c r="AB168" i="79"/>
  <c r="R168" i="79"/>
  <c r="E106" i="78"/>
  <c r="AI168" i="79"/>
  <c r="AC168" i="79"/>
  <c r="D106" i="78"/>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6" i="78"/>
  <c r="Z143" i="79"/>
  <c r="H139" i="79"/>
  <c r="H144" i="79"/>
  <c r="Z144" i="79"/>
  <c r="T140" i="79"/>
  <c r="G171" i="79"/>
  <c r="F171" i="79"/>
  <c r="E171" i="79"/>
  <c r="D171" i="79"/>
  <c r="C235" i="66" l="1"/>
  <c r="N132" i="78"/>
  <c r="F128" i="65"/>
  <c r="G128" i="65"/>
  <c r="W134" i="78"/>
  <c r="K110" i="78"/>
  <c r="S134" i="78"/>
  <c r="R134" i="78"/>
  <c r="J110" i="78"/>
  <c r="L110" i="78"/>
  <c r="P134" i="78"/>
  <c r="M134" i="78"/>
  <c r="P110" i="78"/>
  <c r="Q110" i="78"/>
  <c r="R110" i="78"/>
  <c r="L134" i="78"/>
  <c r="Z139" i="79"/>
  <c r="N109" i="78"/>
  <c r="M110" i="78"/>
  <c r="AF139" i="79"/>
  <c r="T109" i="78"/>
  <c r="K134" i="78"/>
  <c r="V110" i="78"/>
  <c r="V134" i="78"/>
  <c r="Z138" i="79"/>
  <c r="N106" i="78"/>
  <c r="W110" i="78"/>
  <c r="J134" i="78"/>
  <c r="Q134" i="78"/>
  <c r="AF138" i="79"/>
  <c r="T106" i="78"/>
  <c r="S110" i="78"/>
  <c r="E110" i="78"/>
  <c r="F110" i="78"/>
  <c r="D110" i="78"/>
  <c r="H132" i="78"/>
  <c r="D134" i="78"/>
  <c r="G134" i="78"/>
  <c r="G110" i="78"/>
  <c r="F134" i="78"/>
  <c r="E134" i="78"/>
  <c r="T139" i="79"/>
  <c r="E131" i="65"/>
  <c r="T138" i="79"/>
  <c r="T135" i="79"/>
  <c r="T168" i="79"/>
  <c r="AF135" i="79"/>
  <c r="AF168" i="79"/>
  <c r="Z135" i="79"/>
  <c r="Z168" i="79"/>
  <c r="H146" i="79"/>
  <c r="H145" i="79"/>
  <c r="M171" i="79"/>
  <c r="L171" i="79"/>
  <c r="K171" i="79"/>
  <c r="J171" i="79"/>
  <c r="C236" i="66" l="1"/>
  <c r="G131" i="65"/>
  <c r="F131" i="65"/>
  <c r="AL171" i="79"/>
  <c r="AL138" i="79"/>
  <c r="N134" i="78"/>
  <c r="T134" i="78"/>
  <c r="N110" i="78"/>
  <c r="T110" i="78"/>
  <c r="H134" i="78"/>
  <c r="H110" i="78"/>
  <c r="N146" i="79"/>
  <c r="H171" i="79"/>
  <c r="N145" i="79"/>
  <c r="S171" i="79"/>
  <c r="R171" i="79"/>
  <c r="Q171" i="79"/>
  <c r="P171" i="79"/>
  <c r="C237" i="66" l="1"/>
  <c r="N171" i="79"/>
  <c r="T146" i="79"/>
  <c r="Y171" i="79"/>
  <c r="X171" i="79"/>
  <c r="W171" i="79"/>
  <c r="V171" i="79"/>
  <c r="T145" i="79"/>
  <c r="C238" i="66" l="1"/>
  <c r="T171" i="79"/>
  <c r="Z146" i="79"/>
  <c r="Z145" i="79"/>
  <c r="AE171" i="79"/>
  <c r="AD171" i="79"/>
  <c r="AC171" i="79"/>
  <c r="AB171" i="79"/>
  <c r="C239" i="66" l="1"/>
  <c r="Z171" i="79"/>
  <c r="AF146" i="79"/>
  <c r="AL146" i="79"/>
  <c r="AF145" i="79"/>
  <c r="AI171" i="79"/>
  <c r="AL145" i="79"/>
  <c r="C240" i="66" l="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H155" i="79"/>
  <c r="H154" i="79"/>
  <c r="M174" i="79"/>
  <c r="L174" i="79"/>
  <c r="K174" i="79"/>
  <c r="J174" i="79"/>
  <c r="C242" i="66" l="1"/>
  <c r="N155" i="79"/>
  <c r="H174" i="79"/>
  <c r="N154" i="79"/>
  <c r="S174" i="79"/>
  <c r="R174" i="79"/>
  <c r="Q174" i="79"/>
  <c r="P174" i="79"/>
  <c r="C243" i="66" l="1"/>
  <c r="N174" i="79"/>
  <c r="T155" i="79"/>
  <c r="T154" i="79"/>
  <c r="Y174" i="79"/>
  <c r="X174" i="79"/>
  <c r="W174" i="79"/>
  <c r="V174" i="79"/>
  <c r="C244" i="66" l="1"/>
  <c r="T174" i="79"/>
  <c r="Z155" i="79"/>
  <c r="Z154" i="79"/>
  <c r="AE174" i="79"/>
  <c r="AD174" i="79"/>
  <c r="AC174" i="79"/>
  <c r="AB174" i="79"/>
  <c r="C245" i="66" l="1"/>
  <c r="Z174" i="79"/>
  <c r="AF155" i="79"/>
  <c r="AL155" i="79"/>
  <c r="AF154" i="79"/>
  <c r="AI174" i="79"/>
  <c r="AL154" i="79"/>
  <c r="C246" i="66" l="1"/>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Z159" i="79"/>
  <c r="Z176" i="79"/>
  <c r="Z177" i="79"/>
  <c r="AF159" i="79"/>
  <c r="AF176" i="79"/>
  <c r="AF177" i="79"/>
  <c r="N159" i="79"/>
  <c r="N176" i="79"/>
  <c r="N177" i="79"/>
  <c r="T159" i="79"/>
  <c r="T176" i="79"/>
  <c r="T177" i="79"/>
  <c r="J97" i="79"/>
  <c r="K97" i="79"/>
  <c r="M97" i="79"/>
  <c r="L97" i="79"/>
  <c r="H159" i="79"/>
  <c r="H176" i="79"/>
  <c r="N97" i="79"/>
  <c r="C248" i="66" l="1"/>
  <c r="Q97" i="79"/>
  <c r="P97" i="79"/>
  <c r="R97" i="79"/>
  <c r="S97" i="79"/>
  <c r="T97" i="79"/>
  <c r="C249" i="66" l="1"/>
  <c r="X97" i="79"/>
  <c r="Y97" i="79"/>
  <c r="W97" i="79"/>
  <c r="V97" i="79"/>
  <c r="Z97" i="79"/>
  <c r="C250" i="66" l="1"/>
  <c r="AB97" i="79"/>
  <c r="AE97" i="79"/>
  <c r="AC97" i="79"/>
  <c r="AF97" i="79"/>
  <c r="C251" i="66" l="1"/>
  <c r="P73" i="78"/>
  <c r="V73" i="78"/>
  <c r="W73" i="78"/>
  <c r="AL132" i="79" s="1"/>
  <c r="J70" i="78"/>
  <c r="L70" i="78"/>
  <c r="Q70" i="78"/>
  <c r="K73" i="78"/>
  <c r="M73" i="78"/>
  <c r="W70"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AL131" i="79"/>
  <c r="H98" i="79"/>
  <c r="G98" i="79"/>
  <c r="L98" i="79"/>
  <c r="K98" i="79"/>
  <c r="J98" i="79"/>
  <c r="C253" i="66" l="1"/>
  <c r="N98" i="79"/>
  <c r="M98" i="79"/>
  <c r="C254" i="66" l="1"/>
  <c r="R98" i="79"/>
  <c r="F76" i="78"/>
  <c r="Q98" i="79"/>
  <c r="E76" i="78"/>
  <c r="H76" i="78"/>
  <c r="E108" i="65" s="1"/>
  <c r="G76" i="78"/>
  <c r="P98" i="79"/>
  <c r="D76" i="78"/>
  <c r="S98" i="79"/>
  <c r="C255" i="66" l="1"/>
  <c r="V98" i="79"/>
  <c r="J76" i="78"/>
  <c r="W98" i="79"/>
  <c r="K76" i="78"/>
  <c r="X98" i="79"/>
  <c r="L76" i="78"/>
  <c r="N76" i="78"/>
  <c r="M76" i="78"/>
  <c r="T98" i="79"/>
  <c r="Y98" i="79"/>
  <c r="F108" i="65" l="1"/>
  <c r="C256" i="66"/>
  <c r="Z98" i="79"/>
  <c r="T76" i="78"/>
  <c r="G108" i="65" s="1"/>
  <c r="S76" i="78"/>
  <c r="AB98" i="79"/>
  <c r="P76" i="78"/>
  <c r="AD98" i="79"/>
  <c r="R76" i="78"/>
  <c r="AC98" i="79"/>
  <c r="Q76" i="78"/>
  <c r="AE98" i="79"/>
  <c r="C257" i="66" l="1"/>
  <c r="AF98" i="79"/>
  <c r="R79" i="78"/>
  <c r="R53" i="78" s="1"/>
  <c r="K79" i="78"/>
  <c r="K53" i="78" s="1"/>
  <c r="L79" i="78"/>
  <c r="L53" i="78" s="1"/>
  <c r="W79" i="78"/>
  <c r="X50" i="78" s="1"/>
  <c r="P79" i="78"/>
  <c r="P53" i="78" s="1"/>
  <c r="V79" i="78"/>
  <c r="V53" i="78" s="1"/>
  <c r="M79" i="78"/>
  <c r="M53" i="78" s="1"/>
  <c r="J79" i="78"/>
  <c r="J53" i="78" s="1"/>
  <c r="S79" i="78"/>
  <c r="S53" i="78" s="1"/>
  <c r="Q79" i="78"/>
  <c r="Q53" i="78" s="1"/>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79" i="78"/>
  <c r="T82" i="78"/>
  <c r="N79" i="78"/>
  <c r="F103" i="79"/>
  <c r="E103" i="79"/>
  <c r="D103" i="79"/>
  <c r="C258" i="66" l="1"/>
  <c r="E56" i="78"/>
  <c r="F114" i="65"/>
  <c r="F84" i="65" s="1"/>
  <c r="G56" i="78"/>
  <c r="E114" i="65"/>
  <c r="E84" i="65" s="1"/>
  <c r="D56" i="78"/>
  <c r="F56" i="78"/>
  <c r="G114" i="65"/>
  <c r="H83" i="65" s="1"/>
  <c r="N53" i="78"/>
  <c r="F81" i="65" s="1"/>
  <c r="F111" i="65"/>
  <c r="T53" i="78"/>
  <c r="G81" i="65" s="1"/>
  <c r="G111" i="65"/>
  <c r="H80" i="65" s="1"/>
  <c r="H53" i="78"/>
  <c r="L56" i="78"/>
  <c r="L95" i="78"/>
  <c r="T56" i="78"/>
  <c r="T95" i="78"/>
  <c r="G126" i="65" s="1"/>
  <c r="X52" i="78"/>
  <c r="W53" i="78"/>
  <c r="P56" i="78"/>
  <c r="P95" i="78"/>
  <c r="Q56" i="78"/>
  <c r="Q95" i="78"/>
  <c r="M56" i="78"/>
  <c r="M95" i="78"/>
  <c r="N56" i="78"/>
  <c r="N95" i="78"/>
  <c r="F126" i="65" s="1"/>
  <c r="K56" i="78"/>
  <c r="K95" i="78"/>
  <c r="S56" i="78"/>
  <c r="S95" i="78"/>
  <c r="R56" i="78"/>
  <c r="R95" i="78"/>
  <c r="X55" i="78"/>
  <c r="AJ102" i="79" s="1"/>
  <c r="W56" i="78"/>
  <c r="W95" i="78"/>
  <c r="J56" i="78"/>
  <c r="J95" i="78"/>
  <c r="V56"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C259" i="66" l="1"/>
  <c r="G84" i="65"/>
  <c r="H77" i="65"/>
  <c r="N103" i="79"/>
  <c r="M103" i="79"/>
  <c r="R103" i="79"/>
  <c r="Q103" i="79"/>
  <c r="P103" i="79"/>
  <c r="C260" i="66" l="1"/>
  <c r="T103" i="79"/>
  <c r="S103" i="79"/>
  <c r="X103" i="79"/>
  <c r="W103" i="79"/>
  <c r="V103" i="79"/>
  <c r="C261" i="66" l="1"/>
  <c r="AL102" i="79"/>
  <c r="Z103" i="79"/>
  <c r="Y103" i="79"/>
  <c r="AD103" i="79"/>
  <c r="AC103" i="79"/>
  <c r="AB103" i="79"/>
  <c r="C262" i="66" l="1"/>
  <c r="AN102" i="79"/>
  <c r="AF103" i="79"/>
  <c r="AE103" i="79"/>
  <c r="AI103" i="79"/>
  <c r="AH103" i="79"/>
  <c r="C263" i="66" l="1"/>
  <c r="AO102" i="79"/>
  <c r="Q85" i="78"/>
  <c r="K85" i="78"/>
  <c r="L85" i="78"/>
  <c r="V85" i="78"/>
  <c r="J85" i="78"/>
  <c r="M85" i="78"/>
  <c r="W85" i="78"/>
  <c r="S85" i="78"/>
  <c r="R85" i="78"/>
  <c r="P85" i="78"/>
  <c r="F85" i="78"/>
  <c r="D85" i="78"/>
  <c r="G85" i="78"/>
  <c r="E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AL133" i="79"/>
  <c r="G109" i="79"/>
  <c r="H109" i="79"/>
  <c r="L109" i="79"/>
  <c r="K109" i="79"/>
  <c r="J109" i="79"/>
  <c r="C265" i="66" l="1"/>
  <c r="AP102" i="79"/>
  <c r="N109" i="79"/>
  <c r="M109" i="79"/>
  <c r="C266" i="66" l="1"/>
  <c r="Q109" i="79"/>
  <c r="E88" i="78"/>
  <c r="R109" i="79"/>
  <c r="F88" i="78"/>
  <c r="H88" i="78"/>
  <c r="E120" i="65" s="1"/>
  <c r="G88" i="78"/>
  <c r="P109" i="79"/>
  <c r="D88" i="78"/>
  <c r="S109" i="79"/>
  <c r="C267" i="66" l="1"/>
  <c r="AQ102" i="79"/>
  <c r="X109" i="79"/>
  <c r="L88" i="78"/>
  <c r="V109" i="79"/>
  <c r="J88" i="78"/>
  <c r="N88" i="78"/>
  <c r="F120" i="65" s="1"/>
  <c r="M88" i="78"/>
  <c r="W109" i="79"/>
  <c r="K88" i="78"/>
  <c r="T109" i="79"/>
  <c r="Y109" i="79"/>
  <c r="C268" i="66" l="1"/>
  <c r="AR102" i="79"/>
  <c r="Z109" i="79"/>
  <c r="AB109" i="79"/>
  <c r="P88" i="78"/>
  <c r="AC109" i="79"/>
  <c r="Q88" i="78"/>
  <c r="AD109" i="79"/>
  <c r="R88" i="78"/>
  <c r="T88" i="78"/>
  <c r="G120" i="65" s="1"/>
  <c r="S88" i="78"/>
  <c r="AE109" i="79"/>
  <c r="C269" i="66" l="1"/>
  <c r="AF109" i="79"/>
  <c r="AT102" i="79"/>
  <c r="AF164" i="78"/>
  <c r="Z164" i="78"/>
  <c r="AL164" i="78"/>
  <c r="AI109" i="79"/>
  <c r="W88" i="78"/>
  <c r="AH109" i="79"/>
  <c r="V88" i="78"/>
  <c r="F112" i="79"/>
  <c r="E112" i="79"/>
  <c r="D112" i="79"/>
  <c r="C28" i="6" l="1"/>
  <c r="C270" i="66"/>
  <c r="AV102" i="79"/>
  <c r="H112" i="79"/>
  <c r="G112" i="79"/>
  <c r="L112" i="79"/>
  <c r="K112" i="79"/>
  <c r="J112" i="79"/>
  <c r="C271" i="66" l="1"/>
  <c r="N112" i="79"/>
  <c r="AJ176" i="79"/>
  <c r="AL134" i="79"/>
  <c r="AJ168" i="79"/>
  <c r="M112" i="79"/>
  <c r="R112" i="79"/>
  <c r="Q112" i="79"/>
  <c r="P112" i="79"/>
  <c r="C272" i="66" l="1"/>
  <c r="T112" i="79"/>
  <c r="S112" i="79"/>
  <c r="X112" i="79"/>
  <c r="W112" i="79"/>
  <c r="V112" i="79"/>
  <c r="C273" i="66" l="1"/>
  <c r="Z112" i="79"/>
  <c r="Y112" i="79"/>
  <c r="AD112" i="79"/>
  <c r="AC112" i="79"/>
  <c r="AB112" i="79"/>
  <c r="C274" i="66" l="1"/>
  <c r="AF112" i="79"/>
  <c r="AE112" i="79"/>
  <c r="AI112" i="79"/>
  <c r="AH112" i="79"/>
  <c r="C275" i="66" l="1"/>
  <c r="AL166" i="78"/>
  <c r="AF166" i="78"/>
  <c r="Z166"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G116" i="79"/>
  <c r="H116" i="79"/>
  <c r="L116" i="79"/>
  <c r="K116" i="79"/>
  <c r="J116" i="79"/>
  <c r="C277" i="66" l="1"/>
  <c r="N116" i="79"/>
  <c r="M116" i="79"/>
  <c r="R116" i="79"/>
  <c r="Q116" i="79"/>
  <c r="P116" i="79"/>
  <c r="C278" i="66" l="1"/>
  <c r="T116" i="79"/>
  <c r="S116" i="79"/>
  <c r="X116" i="79"/>
  <c r="W116" i="79"/>
  <c r="V116" i="79"/>
  <c r="C279" i="66" l="1"/>
  <c r="Z116" i="79"/>
  <c r="Y116" i="79"/>
  <c r="AD116" i="79"/>
  <c r="AC116" i="79"/>
  <c r="AB116" i="79"/>
  <c r="C43" i="6"/>
  <c r="C44" i="6" s="1"/>
  <c r="C280" i="66" l="1"/>
  <c r="AF116" i="79"/>
  <c r="AE116" i="79"/>
  <c r="AI116" i="79"/>
  <c r="AH116" i="79"/>
  <c r="C281" i="66" l="1"/>
  <c r="F31" i="78"/>
  <c r="F32" i="78"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5" i="78"/>
  <c r="K64" i="78"/>
  <c r="N65" i="78"/>
  <c r="N37" i="78"/>
  <c r="F65" i="65" s="1"/>
  <c r="N64" i="78"/>
  <c r="V18" i="84"/>
  <c r="Q64" i="78"/>
  <c r="Y18" i="84"/>
  <c r="K65" i="78"/>
  <c r="Q65" i="78"/>
  <c r="W64" i="78"/>
  <c r="Q68" i="79"/>
  <c r="W65" i="78"/>
  <c r="X65" i="78" s="1"/>
  <c r="Y65" i="78" s="1"/>
  <c r="T64" i="78"/>
  <c r="N50" i="78"/>
  <c r="P18" i="84"/>
  <c r="P26" i="84"/>
  <c r="AI26" i="84"/>
  <c r="M18" i="84"/>
  <c r="F97" i="65"/>
  <c r="AE18" i="84"/>
  <c r="G94" i="65"/>
  <c r="F91" i="65"/>
  <c r="S26" i="84"/>
  <c r="N34" i="78"/>
  <c r="F62" i="65" s="1"/>
  <c r="S65" i="78"/>
  <c r="N43" i="78"/>
  <c r="F71" i="65" s="1"/>
  <c r="Z26" i="84"/>
  <c r="W26" i="84"/>
  <c r="F89" i="65"/>
  <c r="AC68" i="79"/>
  <c r="P64" i="78"/>
  <c r="S64" i="78"/>
  <c r="N18" i="84"/>
  <c r="N40" i="78"/>
  <c r="F68" i="65" s="1"/>
  <c r="K68" i="79"/>
  <c r="M65" i="78"/>
  <c r="M64" i="78"/>
  <c r="N46" i="78"/>
  <c r="N83" i="78" s="1"/>
  <c r="F115" i="65" s="1"/>
  <c r="N61" i="78"/>
  <c r="AB26" i="84"/>
  <c r="S18" i="84"/>
  <c r="D31" i="78"/>
  <c r="D71" i="78" s="1"/>
  <c r="G31" i="78"/>
  <c r="G71" i="78" s="1"/>
  <c r="AB18" i="84"/>
  <c r="S68" i="79"/>
  <c r="AB68" i="79"/>
  <c r="T104" i="78"/>
  <c r="G129" i="65" s="1"/>
  <c r="K26" i="84"/>
  <c r="K18" i="84"/>
  <c r="P68" i="79"/>
  <c r="Z68" i="79"/>
  <c r="N87" i="79"/>
  <c r="Y68" i="79"/>
  <c r="N31" i="78"/>
  <c r="Z18" i="84"/>
  <c r="Y26" i="84"/>
  <c r="Q26" i="84"/>
  <c r="E31" i="78"/>
  <c r="E71" i="78" s="1"/>
  <c r="Q18" i="84"/>
  <c r="W68" i="79"/>
  <c r="W18" i="84"/>
  <c r="H104" i="78"/>
  <c r="E129" i="65" s="1"/>
  <c r="Z86" i="79"/>
  <c r="Z87" i="79"/>
  <c r="Z77" i="79"/>
  <c r="Z74" i="79"/>
  <c r="N74" i="79"/>
  <c r="N77" i="79"/>
  <c r="V26" i="84"/>
  <c r="N83" i="79"/>
  <c r="N124" i="78"/>
  <c r="N86" i="79"/>
  <c r="Z71" i="79"/>
  <c r="F94" i="65"/>
  <c r="Z83" i="79"/>
  <c r="V68" i="79"/>
  <c r="Z18" i="79"/>
  <c r="AC18" i="84"/>
  <c r="AC26" i="84"/>
  <c r="N68" i="79"/>
  <c r="N71" i="79"/>
  <c r="N58" i="78"/>
  <c r="N26" i="84"/>
  <c r="Z80" i="79"/>
  <c r="M68" i="79"/>
  <c r="N80" i="79"/>
  <c r="AE68" i="79"/>
  <c r="M26" i="84"/>
  <c r="AE26" i="84"/>
  <c r="AI68" i="79"/>
  <c r="AI18" i="84"/>
  <c r="G97" i="65"/>
  <c r="E97" i="65"/>
  <c r="T65" i="78"/>
  <c r="H40" i="78"/>
  <c r="E68" i="65" s="1"/>
  <c r="G89" i="65"/>
  <c r="D18" i="84"/>
  <c r="T37" i="78"/>
  <c r="G65" i="65" s="1"/>
  <c r="E89" i="65"/>
  <c r="E94" i="65"/>
  <c r="T34" i="78"/>
  <c r="D24" i="6"/>
  <c r="D25" i="6" s="1"/>
  <c r="E91" i="65"/>
  <c r="H50" i="78"/>
  <c r="H37" i="78"/>
  <c r="E65" i="65" s="1"/>
  <c r="T26" i="84"/>
  <c r="H18" i="79"/>
  <c r="T18" i="84"/>
  <c r="D68" i="79"/>
  <c r="D26" i="84"/>
  <c r="H58" i="78"/>
  <c r="T58" i="78"/>
  <c r="T68" i="79"/>
  <c r="AF26" i="84"/>
  <c r="T18" i="79"/>
  <c r="AF18" i="79"/>
  <c r="AF68" i="79"/>
  <c r="H124" i="78"/>
  <c r="T80" i="79"/>
  <c r="AF18" i="84"/>
  <c r="AF80" i="79"/>
  <c r="T124" i="78"/>
  <c r="G91" i="65"/>
  <c r="J26" i="84"/>
  <c r="N18" i="79"/>
  <c r="J18" i="84"/>
  <c r="J68" i="79"/>
  <c r="AH18" i="84"/>
  <c r="AH26" i="84"/>
  <c r="AH68" i="79"/>
  <c r="J65" i="78"/>
  <c r="V65" i="78"/>
  <c r="J64" i="78"/>
  <c r="V64" i="78"/>
  <c r="T61" i="78"/>
  <c r="T40" i="78"/>
  <c r="G68" i="65" s="1"/>
  <c r="K31" i="78"/>
  <c r="J31" i="78"/>
  <c r="L31" i="78"/>
  <c r="T31" i="78"/>
  <c r="M31" i="78"/>
  <c r="M32" i="78" s="1"/>
  <c r="T43" i="78"/>
  <c r="T46" i="78"/>
  <c r="T83" i="78" s="1"/>
  <c r="G115" i="65" s="1"/>
  <c r="N104" i="78"/>
  <c r="F129" i="65" s="1"/>
  <c r="N86" i="78"/>
  <c r="F118" i="65" s="1"/>
  <c r="F71" i="78"/>
  <c r="F107" i="78"/>
  <c r="F77" i="78"/>
  <c r="AF77" i="79"/>
  <c r="H34" i="78"/>
  <c r="H64" i="78"/>
  <c r="AF87" i="79"/>
  <c r="AF86" i="79"/>
  <c r="AF83" i="79"/>
  <c r="H46" i="78"/>
  <c r="H83" i="78" s="1"/>
  <c r="E115" i="65" s="1"/>
  <c r="H65" i="78"/>
  <c r="H31" i="78"/>
  <c r="E59" i="65" s="1"/>
  <c r="E60" i="65" s="1"/>
  <c r="T77" i="79"/>
  <c r="H61" i="78"/>
  <c r="T71" i="79"/>
  <c r="T74" i="79"/>
  <c r="AF71" i="79"/>
  <c r="T87" i="79"/>
  <c r="T86" i="79"/>
  <c r="T83" i="79"/>
  <c r="AF74" i="79"/>
  <c r="F59" i="65" l="1"/>
  <c r="N32" i="78"/>
  <c r="N77" i="78"/>
  <c r="G62" i="65"/>
  <c r="T86" i="78"/>
  <c r="T35" i="78"/>
  <c r="G59" i="65"/>
  <c r="T71" i="78"/>
  <c r="G71" i="65"/>
  <c r="T89" i="78"/>
  <c r="T44" i="78"/>
  <c r="F66" i="65"/>
  <c r="T47" i="78"/>
  <c r="E74" i="65"/>
  <c r="E75" i="65" s="1"/>
  <c r="H47" i="78"/>
  <c r="G86" i="65"/>
  <c r="G87" i="65" s="1"/>
  <c r="AU16" i="78"/>
  <c r="F86" i="65"/>
  <c r="AT16" i="78"/>
  <c r="E86" i="65"/>
  <c r="AS16" i="78"/>
  <c r="F74" i="65"/>
  <c r="F75" i="65" s="1"/>
  <c r="N47" i="78"/>
  <c r="C283" i="66"/>
  <c r="F63" i="65"/>
  <c r="D104" i="78"/>
  <c r="D107" i="78"/>
  <c r="N38" i="78"/>
  <c r="G95" i="65"/>
  <c r="N122" i="78"/>
  <c r="N126" i="78" s="1"/>
  <c r="G104" i="78"/>
  <c r="F95" i="65"/>
  <c r="F77" i="65"/>
  <c r="F78" i="65" s="1"/>
  <c r="D32" i="78"/>
  <c r="D77" i="78"/>
  <c r="G77" i="78"/>
  <c r="N74" i="78"/>
  <c r="F106" i="65" s="1"/>
  <c r="AJ87" i="79"/>
  <c r="N98" i="78"/>
  <c r="N89" i="78"/>
  <c r="F121" i="65" s="1"/>
  <c r="G107" i="78"/>
  <c r="G32" i="78"/>
  <c r="F104" i="78"/>
  <c r="E32" i="78"/>
  <c r="E107" i="78"/>
  <c r="E104" i="78"/>
  <c r="E77" i="78"/>
  <c r="N107" i="78"/>
  <c r="F132" i="65" s="1"/>
  <c r="F109" i="65"/>
  <c r="F92" i="65"/>
  <c r="N71" i="78"/>
  <c r="F103" i="65" s="1"/>
  <c r="F72" i="65"/>
  <c r="N62" i="78"/>
  <c r="N44" i="78"/>
  <c r="N59" i="78"/>
  <c r="N41" i="78"/>
  <c r="F98" i="65"/>
  <c r="F87" i="65"/>
  <c r="F69" i="65"/>
  <c r="N35" i="78"/>
  <c r="E24" i="6"/>
  <c r="F24" i="6" s="1"/>
  <c r="G118" i="65"/>
  <c r="T74" i="78"/>
  <c r="G106" i="65" s="1"/>
  <c r="E77" i="65"/>
  <c r="E78" i="65" s="1"/>
  <c r="E95" i="65"/>
  <c r="G66" i="65"/>
  <c r="T38" i="78"/>
  <c r="E87" i="65"/>
  <c r="G60" i="65"/>
  <c r="H60" i="65"/>
  <c r="H86" i="78"/>
  <c r="E118" i="65" s="1"/>
  <c r="E62" i="65"/>
  <c r="G98" i="65"/>
  <c r="G69" i="65"/>
  <c r="G63" i="65"/>
  <c r="G92" i="65"/>
  <c r="E98" i="65"/>
  <c r="H89" i="78"/>
  <c r="E121" i="65" s="1"/>
  <c r="E71" i="65"/>
  <c r="E72" i="65" s="1"/>
  <c r="G74" i="65"/>
  <c r="G75" i="65" s="1"/>
  <c r="G72" i="65"/>
  <c r="E92" i="65"/>
  <c r="F60" i="65"/>
  <c r="T50" i="78"/>
  <c r="G77" i="65"/>
  <c r="G78" i="65" s="1"/>
  <c r="E69" i="65"/>
  <c r="Z65" i="78"/>
  <c r="AL87" i="79" s="1"/>
  <c r="AB65" i="78"/>
  <c r="AK87" i="79"/>
  <c r="T59" i="78"/>
  <c r="Q31" i="78"/>
  <c r="S31" i="78"/>
  <c r="P31" i="78"/>
  <c r="P32" i="78" s="1"/>
  <c r="R31" i="78"/>
  <c r="G121" i="65"/>
  <c r="T98" i="78"/>
  <c r="M71" i="78"/>
  <c r="M107" i="78"/>
  <c r="M104" i="78"/>
  <c r="M77" i="78"/>
  <c r="T107" i="78"/>
  <c r="G132" i="65" s="1"/>
  <c r="G103" i="65"/>
  <c r="T32" i="78"/>
  <c r="AU18" i="78" s="1"/>
  <c r="T77" i="78"/>
  <c r="G109" i="65" s="1"/>
  <c r="J32" i="78"/>
  <c r="J104" i="78"/>
  <c r="J107" i="78"/>
  <c r="J71" i="78"/>
  <c r="J77" i="78"/>
  <c r="K32" i="78"/>
  <c r="K77" i="78"/>
  <c r="K107" i="78"/>
  <c r="K104" i="78"/>
  <c r="K71" i="78"/>
  <c r="L32" i="78"/>
  <c r="L71" i="78"/>
  <c r="L104" i="78"/>
  <c r="L77" i="78"/>
  <c r="L107" i="78"/>
  <c r="T41" i="78"/>
  <c r="T122" i="78"/>
  <c r="T126" i="78" s="1"/>
  <c r="T113" i="78" s="1"/>
  <c r="T62" i="78"/>
  <c r="H107" i="78"/>
  <c r="E132" i="65" s="1"/>
  <c r="AT18" i="78"/>
  <c r="H74" i="78"/>
  <c r="E106" i="65" s="1"/>
  <c r="H38" i="78"/>
  <c r="H98" i="78"/>
  <c r="H71" i="78"/>
  <c r="E103" i="65" s="1"/>
  <c r="H77" i="78"/>
  <c r="E109" i="65" s="1"/>
  <c r="H44" i="78"/>
  <c r="H59" i="78"/>
  <c r="H122" i="78"/>
  <c r="H126" i="78" s="1"/>
  <c r="H62" i="78"/>
  <c r="H32" i="78"/>
  <c r="AS18" i="78" s="1"/>
  <c r="H41" i="78"/>
  <c r="H35" i="78"/>
  <c r="H136" i="78" l="1"/>
  <c r="AS17" i="78" s="1"/>
  <c r="H113" i="78"/>
  <c r="T136" i="78"/>
  <c r="AU17" i="78" s="1"/>
  <c r="N136" i="78"/>
  <c r="AT17" i="78" s="1"/>
  <c r="N113" i="78"/>
  <c r="C284" i="66"/>
  <c r="G24" i="6"/>
  <c r="E11" i="65"/>
  <c r="E63" i="65"/>
  <c r="E66" i="65"/>
  <c r="AC65" i="78"/>
  <c r="W31" i="78"/>
  <c r="W13" i="78" s="1"/>
  <c r="V31" i="78"/>
  <c r="R32" i="78"/>
  <c r="R77" i="78"/>
  <c r="R107" i="78"/>
  <c r="R104" i="78"/>
  <c r="R71" i="78"/>
  <c r="S32" i="78"/>
  <c r="S107" i="78"/>
  <c r="S71" i="78"/>
  <c r="S77" i="78"/>
  <c r="S104" i="78"/>
  <c r="P77" i="78"/>
  <c r="P71" i="78"/>
  <c r="P104" i="78"/>
  <c r="P107" i="78"/>
  <c r="Q32" i="78"/>
  <c r="Q104" i="78"/>
  <c r="Q71" i="78"/>
  <c r="Q107" i="78"/>
  <c r="Q77" i="78"/>
  <c r="AB31" i="78" l="1"/>
  <c r="AN18" i="74" s="1"/>
  <c r="AC31" i="78"/>
  <c r="W32" i="78"/>
  <c r="C285" i="66"/>
  <c r="H24" i="6"/>
  <c r="AD65" i="78"/>
  <c r="AO87" i="79"/>
  <c r="AN87" i="79"/>
  <c r="V32" i="78"/>
  <c r="X32" i="78" s="1"/>
  <c r="X31" i="78" s="1"/>
  <c r="V104" i="78"/>
  <c r="V107" i="78"/>
  <c r="V77" i="78"/>
  <c r="V71" i="78"/>
  <c r="W104" i="78"/>
  <c r="W71" i="78"/>
  <c r="W107" i="78"/>
  <c r="W77" i="78"/>
  <c r="H21" i="79"/>
  <c r="X104" i="78" l="1"/>
  <c r="AJ18" i="74"/>
  <c r="X61" i="78"/>
  <c r="AJ33" i="74" s="1"/>
  <c r="AC61" i="78"/>
  <c r="AO33" i="74" s="1"/>
  <c r="AO18" i="74"/>
  <c r="AN18" i="84"/>
  <c r="AN26" i="84"/>
  <c r="AN68" i="79"/>
  <c r="AN71" i="79"/>
  <c r="AD31" i="78"/>
  <c r="Y31" i="78"/>
  <c r="AK18" i="74" s="1"/>
  <c r="X122" i="78"/>
  <c r="X126" i="78" s="1"/>
  <c r="X112" i="78" s="1"/>
  <c r="Z31" i="78"/>
  <c r="X100" i="78"/>
  <c r="AB61" i="78"/>
  <c r="X107" i="78"/>
  <c r="X106" i="78" s="1"/>
  <c r="X109" i="78" s="1"/>
  <c r="X134" i="78" s="1"/>
  <c r="Y104" i="78"/>
  <c r="X77" i="78"/>
  <c r="X71" i="78"/>
  <c r="Y107" i="78"/>
  <c r="Y106" i="78" s="1"/>
  <c r="C286" i="66"/>
  <c r="AE65" i="78"/>
  <c r="D34" i="78"/>
  <c r="D86" i="78" s="1"/>
  <c r="G34" i="78"/>
  <c r="G86" i="78" s="1"/>
  <c r="F34" i="78"/>
  <c r="F86" i="78" s="1"/>
  <c r="E34" i="78"/>
  <c r="E86" i="78" s="1"/>
  <c r="T21" i="79"/>
  <c r="N21" i="79"/>
  <c r="Z106" i="78" l="1"/>
  <c r="Z107" i="78" s="1"/>
  <c r="AB107" i="78" s="1"/>
  <c r="AN33" i="74"/>
  <c r="AL18" i="74"/>
  <c r="Z12" i="78"/>
  <c r="AL15" i="84" s="1"/>
  <c r="Z11" i="78"/>
  <c r="AL14" i="84" s="1"/>
  <c r="Z10" i="78"/>
  <c r="G13" i="3"/>
  <c r="AK26" i="84"/>
  <c r="AK18" i="84"/>
  <c r="AK68" i="79"/>
  <c r="AK71" i="79"/>
  <c r="AD61" i="78"/>
  <c r="AP18" i="74"/>
  <c r="AN22" i="84"/>
  <c r="O13" i="6" s="1"/>
  <c r="AN21" i="84"/>
  <c r="O12" i="6" s="1"/>
  <c r="O14" i="6"/>
  <c r="AO18" i="84"/>
  <c r="AO26" i="84"/>
  <c r="AO68" i="79"/>
  <c r="AO71" i="79"/>
  <c r="AJ77" i="79"/>
  <c r="AJ74" i="79"/>
  <c r="AJ18" i="84"/>
  <c r="AJ26" i="84"/>
  <c r="AJ68" i="79"/>
  <c r="AJ71" i="79"/>
  <c r="AL13" i="84"/>
  <c r="Z21" i="78"/>
  <c r="Z32" i="78"/>
  <c r="AV18" i="78" s="1"/>
  <c r="AL18" i="84"/>
  <c r="AL26" i="84"/>
  <c r="AE31" i="78"/>
  <c r="AQ18" i="74" s="1"/>
  <c r="Y61" i="78"/>
  <c r="AK33" i="74" s="1"/>
  <c r="AB104" i="78"/>
  <c r="Y109" i="78"/>
  <c r="X76" i="78"/>
  <c r="Y77" i="78"/>
  <c r="X70" i="78"/>
  <c r="X103" i="78" s="1"/>
  <c r="Y71" i="78"/>
  <c r="C287" i="66"/>
  <c r="AL68" i="79"/>
  <c r="AL18" i="79"/>
  <c r="F74" i="78"/>
  <c r="AP87" i="79"/>
  <c r="AF65" i="78"/>
  <c r="AQ87" i="79"/>
  <c r="E35" i="78"/>
  <c r="G35" i="78"/>
  <c r="G74" i="78"/>
  <c r="E74" i="78"/>
  <c r="F35" i="78"/>
  <c r="W34" i="78"/>
  <c r="W86" i="78" s="1"/>
  <c r="Q34" i="78"/>
  <c r="W37" i="78"/>
  <c r="L34" i="78"/>
  <c r="K37" i="78"/>
  <c r="M34" i="78"/>
  <c r="J34" i="78"/>
  <c r="R37" i="78"/>
  <c r="J37" i="78"/>
  <c r="R34" i="78"/>
  <c r="K34" i="78"/>
  <c r="V37" i="78"/>
  <c r="P37" i="78"/>
  <c r="S34" i="78"/>
  <c r="L37" i="78"/>
  <c r="P34" i="78"/>
  <c r="M37" i="78"/>
  <c r="V34" i="78"/>
  <c r="S37" i="78"/>
  <c r="Q37" i="78"/>
  <c r="D74" i="78"/>
  <c r="D35" i="78"/>
  <c r="E37" i="78"/>
  <c r="E38" i="78" s="1"/>
  <c r="G40" i="78"/>
  <c r="G41" i="78" s="1"/>
  <c r="D37" i="78"/>
  <c r="D38" i="78" s="1"/>
  <c r="F40" i="78"/>
  <c r="F41" i="78" s="1"/>
  <c r="F37" i="78"/>
  <c r="F38" i="78" s="1"/>
  <c r="D40" i="78"/>
  <c r="D41" i="78" s="1"/>
  <c r="E40" i="78"/>
  <c r="E41" i="78" s="1"/>
  <c r="G37" i="78"/>
  <c r="G38" i="78" s="1"/>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Z109" i="78" l="1"/>
  <c r="Z134" i="78" s="1"/>
  <c r="Y134" i="78"/>
  <c r="AQ18" i="84"/>
  <c r="AQ26" i="84"/>
  <c r="AQ68" i="79"/>
  <c r="AQ71" i="79"/>
  <c r="AO22" i="84"/>
  <c r="AO21" i="84"/>
  <c r="O18" i="6"/>
  <c r="E18" i="6" s="1"/>
  <c r="AP26" i="84"/>
  <c r="AP18" i="84"/>
  <c r="AP68" i="79"/>
  <c r="AP71" i="79"/>
  <c r="AP33" i="74"/>
  <c r="AE61" i="78"/>
  <c r="AF31" i="78"/>
  <c r="AL21" i="84"/>
  <c r="N12" i="6" s="1"/>
  <c r="AL22" i="84"/>
  <c r="AC104" i="78"/>
  <c r="AB106" i="78"/>
  <c r="AC107" i="78"/>
  <c r="AD107" i="78" s="1"/>
  <c r="AD106" i="78" s="1"/>
  <c r="X132" i="78"/>
  <c r="AL139" i="79"/>
  <c r="Y76" i="78"/>
  <c r="Z76" i="78" s="1"/>
  <c r="Z77" i="78" s="1"/>
  <c r="AB77" i="78"/>
  <c r="Y70" i="78"/>
  <c r="Y103" i="78" s="1"/>
  <c r="AB71" i="78"/>
  <c r="C288" i="66"/>
  <c r="N14" i="6"/>
  <c r="N13" i="6"/>
  <c r="AJ86" i="79"/>
  <c r="J38" i="78"/>
  <c r="L38" i="78"/>
  <c r="AH65" i="78"/>
  <c r="AR60" i="79"/>
  <c r="W38" i="78"/>
  <c r="M38" i="78"/>
  <c r="Q38" i="78"/>
  <c r="S38" i="78"/>
  <c r="V40" i="78"/>
  <c r="W40" i="78"/>
  <c r="Q40" i="78"/>
  <c r="Q41" i="78" s="1"/>
  <c r="P40" i="78"/>
  <c r="P41" i="78" s="1"/>
  <c r="K40" i="78"/>
  <c r="K41" i="78" s="1"/>
  <c r="M40" i="78"/>
  <c r="M41" i="78" s="1"/>
  <c r="S40" i="78"/>
  <c r="S41" i="78" s="1"/>
  <c r="J40" i="78"/>
  <c r="J41" i="78" s="1"/>
  <c r="R40" i="78"/>
  <c r="R41" i="78" s="1"/>
  <c r="L40" i="78"/>
  <c r="L41" i="78" s="1"/>
  <c r="V86" i="78"/>
  <c r="V74" i="78"/>
  <c r="V35" i="78"/>
  <c r="P86" i="78"/>
  <c r="P35" i="78"/>
  <c r="P74" i="78"/>
  <c r="P38" i="78"/>
  <c r="V38" i="78"/>
  <c r="R35" i="78"/>
  <c r="R74" i="78"/>
  <c r="R86" i="78"/>
  <c r="R38" i="78"/>
  <c r="J86" i="78"/>
  <c r="J74" i="78"/>
  <c r="J35" i="78"/>
  <c r="M74" i="78"/>
  <c r="M86" i="78"/>
  <c r="M35" i="78"/>
  <c r="K38" i="78"/>
  <c r="L74" i="78"/>
  <c r="L86" i="78"/>
  <c r="L35" i="78"/>
  <c r="K86" i="78"/>
  <c r="K35" i="78"/>
  <c r="K74" i="78"/>
  <c r="Q86" i="78"/>
  <c r="Q35" i="78"/>
  <c r="Q74" i="78"/>
  <c r="S74" i="78"/>
  <c r="S86" i="78"/>
  <c r="S35" i="78"/>
  <c r="W35" i="78"/>
  <c r="W74" i="78"/>
  <c r="D43" i="78"/>
  <c r="D44" i="78" s="1"/>
  <c r="E43" i="78"/>
  <c r="E44" i="78" s="1"/>
  <c r="F43" i="78"/>
  <c r="F44" i="78" s="1"/>
  <c r="G43" i="78"/>
  <c r="G44" i="78" s="1"/>
  <c r="H27" i="79"/>
  <c r="AI71" i="79"/>
  <c r="AH71" i="79"/>
  <c r="AE71" i="79"/>
  <c r="AD71" i="79"/>
  <c r="AC71" i="79"/>
  <c r="AF24" i="79"/>
  <c r="AB71" i="79"/>
  <c r="Y71" i="79"/>
  <c r="X71" i="79"/>
  <c r="W71" i="79"/>
  <c r="Z24" i="79"/>
  <c r="V71" i="79"/>
  <c r="N27" i="79"/>
  <c r="T27" i="79"/>
  <c r="AR18" i="74" l="1"/>
  <c r="AF11" i="78"/>
  <c r="AR14" i="84" s="1"/>
  <c r="AF12" i="78"/>
  <c r="AR15" i="84" s="1"/>
  <c r="AQ33" i="74"/>
  <c r="AF61" i="78"/>
  <c r="AP22" i="84"/>
  <c r="P13" i="6" s="1"/>
  <c r="AP21" i="84"/>
  <c r="P12" i="6" s="1"/>
  <c r="P14" i="6"/>
  <c r="AQ22" i="84"/>
  <c r="AQ21" i="84"/>
  <c r="AF32" i="78"/>
  <c r="AF122" i="78"/>
  <c r="AR18" i="84"/>
  <c r="AR26" i="84"/>
  <c r="AD104" i="78"/>
  <c r="AB109" i="78"/>
  <c r="AB134" i="78" s="1"/>
  <c r="AC106" i="78"/>
  <c r="AE107" i="78"/>
  <c r="AE106" i="78" s="1"/>
  <c r="AD109" i="78"/>
  <c r="AD134" i="78" s="1"/>
  <c r="AB76" i="78"/>
  <c r="AC77" i="78"/>
  <c r="Z103" i="78"/>
  <c r="Z104" i="78" s="1"/>
  <c r="Z70" i="78"/>
  <c r="Z71" i="78" s="1"/>
  <c r="AB70" i="78"/>
  <c r="AB103" i="78" s="1"/>
  <c r="AC71" i="78"/>
  <c r="X86" i="78"/>
  <c r="X74" i="78"/>
  <c r="X35" i="78"/>
  <c r="C289" i="66"/>
  <c r="N18" i="6"/>
  <c r="D18" i="6" s="1"/>
  <c r="D19" i="6" s="1"/>
  <c r="AJ65" i="78"/>
  <c r="AL21" i="79"/>
  <c r="AR87" i="79"/>
  <c r="E98" i="78"/>
  <c r="E89" i="78"/>
  <c r="F98" i="78"/>
  <c r="F89" i="78"/>
  <c r="D98" i="78"/>
  <c r="D89" i="78"/>
  <c r="G98" i="78"/>
  <c r="G89" i="78"/>
  <c r="J50" i="78"/>
  <c r="Q43" i="78"/>
  <c r="K50" i="78"/>
  <c r="K43" i="78"/>
  <c r="J43" i="78"/>
  <c r="W50" i="78"/>
  <c r="Q50" i="78"/>
  <c r="S50" i="78"/>
  <c r="M50" i="78"/>
  <c r="P50" i="78"/>
  <c r="L43" i="78"/>
  <c r="W43" i="78"/>
  <c r="R50" i="78"/>
  <c r="V43" i="78"/>
  <c r="S43" i="78"/>
  <c r="R43" i="78"/>
  <c r="L50" i="78"/>
  <c r="P43" i="78"/>
  <c r="V41" i="78"/>
  <c r="E46" i="78"/>
  <c r="G50" i="78"/>
  <c r="F50" i="78"/>
  <c r="D50" i="78"/>
  <c r="G46" i="78"/>
  <c r="E50" i="78"/>
  <c r="F46" i="78"/>
  <c r="D46" i="78"/>
  <c r="T29" i="79"/>
  <c r="N29" i="79"/>
  <c r="H29" i="79"/>
  <c r="T28" i="79"/>
  <c r="N28" i="79"/>
  <c r="AF28" i="79"/>
  <c r="Z28" i="79"/>
  <c r="AF27" i="79"/>
  <c r="Z27" i="79"/>
  <c r="H28" i="79"/>
  <c r="AW18" i="78" l="1"/>
  <c r="AH32" i="78"/>
  <c r="P18" i="6"/>
  <c r="F18" i="6" s="1"/>
  <c r="AR33" i="74"/>
  <c r="AF62" i="78"/>
  <c r="AR13" i="84"/>
  <c r="AF21" i="78"/>
  <c r="H13" i="3"/>
  <c r="AR68" i="79"/>
  <c r="AR71" i="79"/>
  <c r="AR18" i="79"/>
  <c r="Z132" i="78"/>
  <c r="Q12" i="6"/>
  <c r="AR22" i="84"/>
  <c r="Q13" i="6" s="1"/>
  <c r="Q14" i="6"/>
  <c r="E35" i="6"/>
  <c r="AB132" i="78"/>
  <c r="AF106" i="78"/>
  <c r="AF107" i="78" s="1"/>
  <c r="AH107" i="78" s="1"/>
  <c r="AE104" i="78"/>
  <c r="AC109" i="78"/>
  <c r="AC134" i="78" s="1"/>
  <c r="AE109" i="78"/>
  <c r="AE134" i="78" s="1"/>
  <c r="Y132" i="78"/>
  <c r="AC76" i="78"/>
  <c r="AD77" i="78"/>
  <c r="AC70" i="78"/>
  <c r="AD71" i="78"/>
  <c r="AD70" i="78" s="1"/>
  <c r="AE71" i="78"/>
  <c r="AE70" i="78" s="1"/>
  <c r="AF70" i="78" s="1"/>
  <c r="AF71" i="78" s="1"/>
  <c r="Y86" i="78"/>
  <c r="Y74" i="78"/>
  <c r="AB74" i="78" s="1"/>
  <c r="X34" i="78"/>
  <c r="Y35" i="78"/>
  <c r="E47" i="78"/>
  <c r="E83" i="78"/>
  <c r="G47" i="78"/>
  <c r="G83" i="78"/>
  <c r="F47" i="78"/>
  <c r="F83" i="78"/>
  <c r="D47" i="78"/>
  <c r="D83" i="78"/>
  <c r="C290" i="66"/>
  <c r="AL23" i="79"/>
  <c r="AT87" i="79"/>
  <c r="AL65" i="78"/>
  <c r="AX87" i="79" s="1"/>
  <c r="AV87" i="79"/>
  <c r="W46" i="78"/>
  <c r="R46" i="78"/>
  <c r="M46" i="78"/>
  <c r="Q46" i="78"/>
  <c r="L46" i="78"/>
  <c r="P46" i="78"/>
  <c r="S46" i="78"/>
  <c r="V46" i="78"/>
  <c r="J46" i="78"/>
  <c r="K46" i="78"/>
  <c r="S98" i="78"/>
  <c r="S44" i="78"/>
  <c r="S89" i="78"/>
  <c r="V44" i="78"/>
  <c r="V89" i="78"/>
  <c r="V98" i="78"/>
  <c r="W89" i="78"/>
  <c r="W44" i="78"/>
  <c r="W98" i="78"/>
  <c r="M89" i="78"/>
  <c r="M44" i="78"/>
  <c r="M98" i="78"/>
  <c r="J44" i="78"/>
  <c r="J89" i="78"/>
  <c r="J98" i="78"/>
  <c r="K98" i="78"/>
  <c r="K44" i="78"/>
  <c r="K89" i="78"/>
  <c r="L89" i="78"/>
  <c r="L44" i="78"/>
  <c r="L98" i="78"/>
  <c r="V50" i="78"/>
  <c r="Q44" i="78"/>
  <c r="Q98" i="78"/>
  <c r="Q89" i="78"/>
  <c r="P89" i="78"/>
  <c r="P98" i="78"/>
  <c r="P44" i="78"/>
  <c r="R89" i="78"/>
  <c r="R44" i="78"/>
  <c r="R98" i="78"/>
  <c r="H31" i="79"/>
  <c r="AF29" i="79"/>
  <c r="Z29" i="79"/>
  <c r="AD103" i="78" l="1"/>
  <c r="AD132" i="78" s="1"/>
  <c r="AC103" i="78"/>
  <c r="AE103" i="78"/>
  <c r="AJ32" i="78"/>
  <c r="AL32" i="78" s="1"/>
  <c r="AH31" i="78"/>
  <c r="AX18" i="78"/>
  <c r="AY18" i="78"/>
  <c r="Q18" i="6"/>
  <c r="G18" i="6" s="1"/>
  <c r="AE132" i="78"/>
  <c r="AJ107" i="78"/>
  <c r="AE77" i="78"/>
  <c r="AE76" i="78" s="1"/>
  <c r="AF76" i="78" s="1"/>
  <c r="AF77" i="78" s="1"/>
  <c r="AD76" i="78"/>
  <c r="AH71" i="78"/>
  <c r="AJ71" i="78" s="1"/>
  <c r="AC74" i="78"/>
  <c r="X73" i="78"/>
  <c r="AJ98" i="79" s="1"/>
  <c r="X85" i="78"/>
  <c r="X37" i="78"/>
  <c r="X40" i="78" s="1"/>
  <c r="AF109" i="78"/>
  <c r="AB86" i="78"/>
  <c r="Y34" i="78"/>
  <c r="AB35" i="78"/>
  <c r="W47" i="78"/>
  <c r="X47" i="78" s="1"/>
  <c r="W83" i="78"/>
  <c r="R47" i="78"/>
  <c r="R83" i="78"/>
  <c r="M47" i="78"/>
  <c r="M83" i="78"/>
  <c r="Q47" i="78"/>
  <c r="Q83" i="78"/>
  <c r="L47" i="78"/>
  <c r="L83" i="78"/>
  <c r="P47" i="78"/>
  <c r="P83" i="78"/>
  <c r="S47" i="78"/>
  <c r="S83" i="78"/>
  <c r="V47" i="78"/>
  <c r="V83" i="78"/>
  <c r="J47" i="78"/>
  <c r="J83" i="78"/>
  <c r="K47" i="78"/>
  <c r="K83" i="78"/>
  <c r="X44" i="78"/>
  <c r="X89" i="78"/>
  <c r="X98" i="78"/>
  <c r="C291" i="66"/>
  <c r="AK86" i="79"/>
  <c r="AL27" i="79"/>
  <c r="AL24" i="79"/>
  <c r="AL71" i="79"/>
  <c r="H30" i="79"/>
  <c r="N31" i="79"/>
  <c r="N30" i="79"/>
  <c r="AJ31" i="78" l="1"/>
  <c r="AT18" i="74"/>
  <c r="AH11" i="78"/>
  <c r="AH12" i="78"/>
  <c r="AH10" i="78"/>
  <c r="AF103" i="78"/>
  <c r="AF104" i="78" s="1"/>
  <c r="AC132" i="78"/>
  <c r="AZ18" i="78"/>
  <c r="Z34" i="78"/>
  <c r="Y85" i="78"/>
  <c r="Z85" i="78" s="1"/>
  <c r="AD74" i="78"/>
  <c r="AE74" i="78"/>
  <c r="AG104" i="78"/>
  <c r="AH104" i="78" s="1"/>
  <c r="AF132" i="78"/>
  <c r="AL107" i="78"/>
  <c r="AH77" i="78"/>
  <c r="AJ77" i="78" s="1"/>
  <c r="AL71" i="78"/>
  <c r="X79" i="78"/>
  <c r="X41" i="78"/>
  <c r="AF134" i="78"/>
  <c r="AR139" i="79"/>
  <c r="AC86" i="78"/>
  <c r="AD86" i="78"/>
  <c r="AE86" i="78"/>
  <c r="Y73" i="78"/>
  <c r="Z73" i="78" s="1"/>
  <c r="Y37" i="78"/>
  <c r="AB34" i="78"/>
  <c r="AB85" i="78" s="1"/>
  <c r="AC35" i="78"/>
  <c r="AD35" i="78"/>
  <c r="AD34" i="78" s="1"/>
  <c r="X46" i="78"/>
  <c r="Y47" i="78"/>
  <c r="X83" i="78"/>
  <c r="Y89" i="78"/>
  <c r="Y98" i="78"/>
  <c r="X43" i="78"/>
  <c r="Y44" i="78"/>
  <c r="C292" i="66"/>
  <c r="T31" i="79"/>
  <c r="Z37" i="78" l="1"/>
  <c r="Y40" i="78"/>
  <c r="Z86" i="78"/>
  <c r="Z35" i="78"/>
  <c r="I13" i="3"/>
  <c r="AT68" i="79"/>
  <c r="AT71" i="79"/>
  <c r="AV18" i="74"/>
  <c r="AJ10" i="78"/>
  <c r="AL31" i="78"/>
  <c r="X88" i="78"/>
  <c r="X97" i="78"/>
  <c r="AI104" i="78"/>
  <c r="AJ104" i="78" s="1"/>
  <c r="AL77" i="78"/>
  <c r="Z74" i="78"/>
  <c r="AL98" i="79"/>
  <c r="AB73" i="78"/>
  <c r="AB37" i="78"/>
  <c r="AB40" i="78" s="1"/>
  <c r="AD73" i="78"/>
  <c r="AD37" i="78"/>
  <c r="AD40" i="78" s="1"/>
  <c r="AD41" i="78" s="1"/>
  <c r="AB47" i="78"/>
  <c r="AB89" i="78"/>
  <c r="AB98" i="78"/>
  <c r="AD85" i="78"/>
  <c r="AC34" i="78"/>
  <c r="AE35" i="78"/>
  <c r="AE34" i="78" s="1"/>
  <c r="AF34" i="78" s="1"/>
  <c r="AF35" i="78" s="1"/>
  <c r="AH35" i="78" s="1"/>
  <c r="X82" i="78"/>
  <c r="Y83" i="78"/>
  <c r="AB83" i="78" s="1"/>
  <c r="Y43" i="78"/>
  <c r="AB44" i="78"/>
  <c r="C293" i="66"/>
  <c r="T30" i="79"/>
  <c r="Z31" i="79"/>
  <c r="Y46" i="78" l="1"/>
  <c r="Y41" i="78"/>
  <c r="Z40" i="78"/>
  <c r="X101" i="78"/>
  <c r="X64" i="78" s="1"/>
  <c r="X130" i="78"/>
  <c r="AX18" i="74"/>
  <c r="AL11" i="78"/>
  <c r="AL12" i="78"/>
  <c r="AL10" i="78"/>
  <c r="J13" i="3"/>
  <c r="AV68" i="79"/>
  <c r="AV71" i="79"/>
  <c r="Z43" i="78"/>
  <c r="Z44" i="78" s="1"/>
  <c r="Y88" i="78"/>
  <c r="Z88" i="78" s="1"/>
  <c r="Y97" i="78"/>
  <c r="Y55" i="78"/>
  <c r="Z55" i="78" s="1"/>
  <c r="X49" i="78"/>
  <c r="AJ29" i="74" s="1"/>
  <c r="AL29" i="79" s="1"/>
  <c r="AK104" i="78"/>
  <c r="AL104" i="78" s="1"/>
  <c r="AB41" i="78"/>
  <c r="AJ35" i="78"/>
  <c r="AC47" i="78"/>
  <c r="AB46" i="78"/>
  <c r="AB82" i="78" s="1"/>
  <c r="AC55" i="78" s="1"/>
  <c r="AC89" i="78"/>
  <c r="AD89" i="78" s="1"/>
  <c r="AC98" i="78"/>
  <c r="AD98" i="78" s="1"/>
  <c r="AE98" i="78" s="1"/>
  <c r="AC85" i="78"/>
  <c r="AC37" i="78"/>
  <c r="AC40" i="78"/>
  <c r="AC73" i="78"/>
  <c r="AE85" i="78"/>
  <c r="AF85" i="78" s="1"/>
  <c r="AF86" i="78" s="1"/>
  <c r="AE37" i="78"/>
  <c r="AE40" i="78" s="1"/>
  <c r="AE41" i="78" s="1"/>
  <c r="AE73" i="78"/>
  <c r="AF73" i="78" s="1"/>
  <c r="AF74" i="78" s="1"/>
  <c r="AK102" i="79"/>
  <c r="AC83" i="78"/>
  <c r="AD83" i="78" s="1"/>
  <c r="AB43" i="78"/>
  <c r="AC44" i="78"/>
  <c r="AC43" i="78" s="1"/>
  <c r="AD44" i="78"/>
  <c r="AD43" i="78" s="1"/>
  <c r="AE44" i="78"/>
  <c r="AE43" i="78" s="1"/>
  <c r="C294" i="66"/>
  <c r="AN86" i="79"/>
  <c r="Z30" i="79"/>
  <c r="AF31" i="79"/>
  <c r="Z46" i="78" l="1"/>
  <c r="Y82" i="78"/>
  <c r="Z41" i="78"/>
  <c r="Z47" i="78"/>
  <c r="Z97" i="78"/>
  <c r="Y130" i="78"/>
  <c r="Z89" i="78"/>
  <c r="K13" i="3"/>
  <c r="M13" i="3" s="1"/>
  <c r="AX68" i="79"/>
  <c r="AX71" i="79"/>
  <c r="AC41" i="78"/>
  <c r="AF40" i="78"/>
  <c r="AF41" i="78" s="1"/>
  <c r="AE97" i="78"/>
  <c r="AE130" i="78" s="1"/>
  <c r="Y50" i="78"/>
  <c r="AB50" i="78" s="1"/>
  <c r="AC50" i="78" s="1"/>
  <c r="X94" i="78"/>
  <c r="X128" i="78" s="1"/>
  <c r="AL35" i="78"/>
  <c r="Y100" i="78"/>
  <c r="Z100" i="78" s="1"/>
  <c r="AH86" i="78"/>
  <c r="AH74" i="78"/>
  <c r="AJ74" i="78" s="1"/>
  <c r="AB55" i="78"/>
  <c r="Z82" i="78"/>
  <c r="Z83" i="78" s="1"/>
  <c r="AE83" i="78" s="1"/>
  <c r="AC88" i="78"/>
  <c r="AD97" i="78"/>
  <c r="AD130" i="78" s="1"/>
  <c r="AF37" i="78"/>
  <c r="AC97" i="78"/>
  <c r="AC130" i="78" s="1"/>
  <c r="AF43" i="78"/>
  <c r="AF44" i="78" s="1"/>
  <c r="AC46" i="78"/>
  <c r="AC82" i="78" s="1"/>
  <c r="AD55" i="78" s="1"/>
  <c r="AD47" i="78"/>
  <c r="AE89" i="78"/>
  <c r="AE88" i="78" s="1"/>
  <c r="AF88" i="78" s="1"/>
  <c r="AD88" i="78"/>
  <c r="AB88" i="78"/>
  <c r="AB97" i="78"/>
  <c r="C295" i="66"/>
  <c r="AF30" i="79"/>
  <c r="Z130" i="78" l="1"/>
  <c r="Z98" i="78"/>
  <c r="AF89" i="78"/>
  <c r="X136" i="78"/>
  <c r="X95" i="78"/>
  <c r="Y101" i="78"/>
  <c r="AL74" i="78"/>
  <c r="AH44" i="78"/>
  <c r="AH89" i="78"/>
  <c r="AJ89" i="78" s="1"/>
  <c r="AB130" i="78"/>
  <c r="AF97" i="78"/>
  <c r="AD50" i="78"/>
  <c r="AE50" i="78" s="1"/>
  <c r="AJ86" i="78"/>
  <c r="AL86" i="78"/>
  <c r="AD46" i="78"/>
  <c r="AE47" i="78"/>
  <c r="AE46" i="78" s="1"/>
  <c r="AE82" i="78" s="1"/>
  <c r="AF82" i="78" s="1"/>
  <c r="C296" i="66"/>
  <c r="M61" i="78"/>
  <c r="L61" i="78"/>
  <c r="Q61" i="78"/>
  <c r="P58" i="78"/>
  <c r="P59" i="78" s="1"/>
  <c r="Q58" i="78"/>
  <c r="Q59" i="78" s="1"/>
  <c r="V61" i="78"/>
  <c r="R61" i="78"/>
  <c r="R58" i="78"/>
  <c r="R59" i="78" s="1"/>
  <c r="S58" i="78"/>
  <c r="S59" i="78" s="1"/>
  <c r="M58" i="78"/>
  <c r="M59" i="78" s="1"/>
  <c r="P61" i="78"/>
  <c r="J61" i="78"/>
  <c r="L58" i="78"/>
  <c r="L59" i="78" s="1"/>
  <c r="W61" i="78"/>
  <c r="W122" i="78" s="1"/>
  <c r="J58" i="78"/>
  <c r="J59" i="78" s="1"/>
  <c r="K61" i="78"/>
  <c r="S61" i="78"/>
  <c r="K58" i="78"/>
  <c r="K59" i="78" s="1"/>
  <c r="W58" i="78"/>
  <c r="W59" i="78" s="1"/>
  <c r="V58" i="78"/>
  <c r="D58" i="78"/>
  <c r="D59" i="78" s="1"/>
  <c r="F61" i="78"/>
  <c r="F122" i="78" s="1"/>
  <c r="G58" i="78"/>
  <c r="G59" i="78" s="1"/>
  <c r="E61" i="78"/>
  <c r="E122" i="78" s="1"/>
  <c r="F58" i="78"/>
  <c r="F59" i="78" s="1"/>
  <c r="E58" i="78"/>
  <c r="E59" i="78" s="1"/>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V122" i="78" l="1"/>
  <c r="Z61" i="78"/>
  <c r="Y64" i="78"/>
  <c r="Z101" i="78"/>
  <c r="AL89" i="78"/>
  <c r="AF130" i="78"/>
  <c r="AF98" i="78"/>
  <c r="AD82" i="78"/>
  <c r="AE55" i="78" s="1"/>
  <c r="AF55" i="78" s="1"/>
  <c r="AF46" i="78"/>
  <c r="AF83" i="78" s="1"/>
  <c r="AH83" i="78" s="1"/>
  <c r="AH55" i="78"/>
  <c r="AJ44" i="78"/>
  <c r="C297" i="66"/>
  <c r="F62" i="78"/>
  <c r="AO86" i="79"/>
  <c r="E62" i="78"/>
  <c r="W62" i="78"/>
  <c r="P122" i="78"/>
  <c r="P62" i="78"/>
  <c r="R122" i="78"/>
  <c r="R62" i="78"/>
  <c r="V62" i="78"/>
  <c r="K122" i="78"/>
  <c r="K62" i="78"/>
  <c r="J122" i="78"/>
  <c r="J62" i="78"/>
  <c r="Q122" i="78"/>
  <c r="Q62" i="78"/>
  <c r="L122" i="78"/>
  <c r="L62" i="78"/>
  <c r="S122" i="78"/>
  <c r="S62" i="78"/>
  <c r="V59" i="78"/>
  <c r="M122" i="78"/>
  <c r="M62" i="78"/>
  <c r="G122" i="78"/>
  <c r="D62" i="78"/>
  <c r="H40" i="79"/>
  <c r="N41" i="79"/>
  <c r="N40" i="79"/>
  <c r="AL33" i="74" l="1"/>
  <c r="Z62" i="78"/>
  <c r="Z122" i="78"/>
  <c r="AB100" i="78"/>
  <c r="AB101" i="78" s="1"/>
  <c r="AB64" i="78" s="1"/>
  <c r="Z64" i="78"/>
  <c r="AL86" i="79" s="1"/>
  <c r="AH98" i="78"/>
  <c r="AJ98" i="78" s="1"/>
  <c r="AF47" i="78"/>
  <c r="AJ83" i="78"/>
  <c r="AL44" i="78"/>
  <c r="X59" i="78"/>
  <c r="C298" i="66"/>
  <c r="AL30" i="79"/>
  <c r="T41" i="79"/>
  <c r="T40" i="79"/>
  <c r="X58" i="78" l="1"/>
  <c r="Y59" i="78"/>
  <c r="AC100" i="78"/>
  <c r="AC101" i="78" s="1"/>
  <c r="AC64" i="78" s="1"/>
  <c r="AL98" i="78"/>
  <c r="AH47" i="78"/>
  <c r="AL83" i="78"/>
  <c r="Y58" i="78"/>
  <c r="Z58" i="78" s="1"/>
  <c r="Z59" i="78" s="1"/>
  <c r="AB59" i="78"/>
  <c r="C299" i="66"/>
  <c r="Z41" i="79"/>
  <c r="AJ47" i="78" l="1"/>
  <c r="AC59" i="78"/>
  <c r="AB58" i="78"/>
  <c r="AD100" i="78"/>
  <c r="AD101" i="78" s="1"/>
  <c r="AD64" i="78" s="1"/>
  <c r="C300" i="66"/>
  <c r="AP86" i="79"/>
  <c r="Z40" i="79"/>
  <c r="AF41" i="79"/>
  <c r="AE100" i="78" l="1"/>
  <c r="AL47" i="78"/>
  <c r="AC58" i="78"/>
  <c r="AD59" i="78"/>
  <c r="C301" i="66"/>
  <c r="AF40" i="79"/>
  <c r="AL41" i="79"/>
  <c r="AL40" i="79"/>
  <c r="AE101" i="78" l="1"/>
  <c r="AF100" i="78"/>
  <c r="AD58" i="78"/>
  <c r="AE59" i="78"/>
  <c r="AE58" i="78" s="1"/>
  <c r="C302" i="66"/>
  <c r="AE64" i="78"/>
  <c r="AF64" i="78" s="1"/>
  <c r="AF101" i="78"/>
  <c r="J124" i="78"/>
  <c r="J126" i="78" s="1"/>
  <c r="P124" i="78"/>
  <c r="P126" i="78" s="1"/>
  <c r="R124" i="78"/>
  <c r="R126" i="78" s="1"/>
  <c r="L124" i="78"/>
  <c r="L126" i="78" s="1"/>
  <c r="M124" i="78"/>
  <c r="M126" i="78" s="1"/>
  <c r="W126" i="78"/>
  <c r="Q124" i="78"/>
  <c r="Q126" i="78" s="1"/>
  <c r="V124" i="78"/>
  <c r="S124" i="78"/>
  <c r="S126" i="78" s="1"/>
  <c r="K124" i="78"/>
  <c r="K126" i="78" s="1"/>
  <c r="E124" i="78"/>
  <c r="E126" i="78" s="1"/>
  <c r="F124" i="78"/>
  <c r="F126" i="78" s="1"/>
  <c r="G124" i="78"/>
  <c r="G126" i="78" s="1"/>
  <c r="D124" i="78"/>
  <c r="D126"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AF58" i="78" l="1"/>
  <c r="AF59" i="78" s="1"/>
  <c r="G136" i="78"/>
  <c r="G113" i="78"/>
  <c r="E136" i="78"/>
  <c r="E113" i="78"/>
  <c r="R136" i="78"/>
  <c r="R113" i="78"/>
  <c r="D136" i="78"/>
  <c r="D113" i="78"/>
  <c r="K136" i="78"/>
  <c r="K113" i="78"/>
  <c r="L136" i="78"/>
  <c r="L113" i="78"/>
  <c r="S136" i="78"/>
  <c r="S113" i="78"/>
  <c r="Q136" i="78"/>
  <c r="Q113" i="78"/>
  <c r="M136" i="78"/>
  <c r="M113" i="78"/>
  <c r="J136" i="78"/>
  <c r="J113" i="78"/>
  <c r="F136" i="78"/>
  <c r="F113" i="78"/>
  <c r="W136" i="78"/>
  <c r="W113" i="78"/>
  <c r="P136" i="78"/>
  <c r="P113" i="78"/>
  <c r="C303" i="66"/>
  <c r="AQ86" i="79"/>
  <c r="V126" i="78"/>
  <c r="V136" i="78" s="1"/>
  <c r="D32" i="6"/>
  <c r="H46" i="79"/>
  <c r="N47" i="79"/>
  <c r="D80" i="79"/>
  <c r="M80" i="79"/>
  <c r="L80" i="79"/>
  <c r="K80" i="79"/>
  <c r="D33" i="6" l="1"/>
  <c r="D17" i="6"/>
  <c r="AH59" i="78"/>
  <c r="V113" i="78"/>
  <c r="C304" i="66"/>
  <c r="AR86" i="79"/>
  <c r="AR59" i="79"/>
  <c r="T47" i="79"/>
  <c r="N46" i="79"/>
  <c r="J80" i="79"/>
  <c r="S80" i="79"/>
  <c r="R80" i="79"/>
  <c r="Q80" i="79"/>
  <c r="AJ59" i="78" l="1"/>
  <c r="C305" i="66"/>
  <c r="AT86" i="79"/>
  <c r="Z47" i="79"/>
  <c r="T46" i="79"/>
  <c r="P80" i="79"/>
  <c r="Y80" i="79"/>
  <c r="X80" i="79"/>
  <c r="W80" i="79"/>
  <c r="AL59" i="78" l="1"/>
  <c r="C306" i="66"/>
  <c r="AV86" i="79"/>
  <c r="AF47" i="79"/>
  <c r="Z46" i="79"/>
  <c r="V80" i="79"/>
  <c r="AE80" i="79"/>
  <c r="AD80" i="79"/>
  <c r="AC80" i="79"/>
  <c r="C307" i="66" l="1"/>
  <c r="AL47" i="79"/>
  <c r="AF46" i="79"/>
  <c r="AB80" i="79"/>
  <c r="AI80" i="79"/>
  <c r="C308" i="66" l="1"/>
  <c r="Z50" i="79"/>
  <c r="AL50" i="79"/>
  <c r="N50" i="79"/>
  <c r="H50" i="79"/>
  <c r="T50" i="79"/>
  <c r="AF50" i="79"/>
  <c r="AL46" i="79"/>
  <c r="AH80" i="79"/>
  <c r="C7" i="67"/>
  <c r="D7" i="67" s="1"/>
  <c r="E7" i="67" s="1"/>
  <c r="F7" i="67" s="1"/>
  <c r="G7" i="67" s="1"/>
  <c r="E2" i="67"/>
  <c r="D2" i="67"/>
  <c r="B2" i="67"/>
  <c r="C309" i="66" l="1"/>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L173" i="65"/>
  <c r="E100" i="65"/>
  <c r="E123" i="65"/>
  <c r="F57" i="65"/>
  <c r="G57" i="65" s="1"/>
  <c r="F38" i="65"/>
  <c r="G38" i="65" s="1"/>
  <c r="H38" i="65" s="1"/>
  <c r="I38" i="65" s="1"/>
  <c r="J38" i="65" s="1"/>
  <c r="K38" i="65" s="1"/>
  <c r="L38" i="65" s="1"/>
  <c r="C311" i="66" l="1"/>
  <c r="G123" i="65"/>
  <c r="H57" i="65"/>
  <c r="G100" i="65"/>
  <c r="F123" i="65"/>
  <c r="F100" i="65"/>
  <c r="C312" i="66" l="1"/>
  <c r="H123" i="65"/>
  <c r="I57" i="65"/>
  <c r="H134" i="65"/>
  <c r="H142" i="65" s="1"/>
  <c r="H100" i="65"/>
  <c r="C313" i="66" l="1"/>
  <c r="I123" i="65"/>
  <c r="J57" i="65"/>
  <c r="I134" i="65"/>
  <c r="I142" i="65" s="1"/>
  <c r="I100" i="65"/>
  <c r="C314" i="66" l="1"/>
  <c r="J100" i="65"/>
  <c r="J123" i="65"/>
  <c r="K57" i="65"/>
  <c r="J134" i="65"/>
  <c r="J142" i="65" s="1"/>
  <c r="C315" i="66" l="1"/>
  <c r="K100" i="65"/>
  <c r="L57" i="65"/>
  <c r="K123" i="65"/>
  <c r="K134" i="65"/>
  <c r="K142" i="65" s="1"/>
  <c r="C316" i="66" l="1"/>
  <c r="L100" i="65"/>
  <c r="L123" i="65"/>
  <c r="L134" i="65"/>
  <c r="L142" i="65" s="1"/>
  <c r="C317" i="66" l="1"/>
  <c r="C318" i="66" l="1"/>
  <c r="C319" i="66" l="1"/>
  <c r="C320" i="66" l="1"/>
  <c r="C321" i="66" l="1"/>
  <c r="C322" i="66" l="1"/>
  <c r="C323" i="66" l="1"/>
  <c r="C324" i="66" l="1"/>
  <c r="C325" i="66" l="1"/>
  <c r="D59" i="65"/>
  <c r="C326" i="66" l="1"/>
  <c r="C327" i="66" l="1"/>
  <c r="J27" i="65"/>
  <c r="C328" i="66" l="1"/>
  <c r="E29" i="6"/>
  <c r="E14" i="6"/>
  <c r="E13" i="65"/>
  <c r="C329" i="66" l="1"/>
  <c r="H62" i="65"/>
  <c r="L11" i="65"/>
  <c r="E15" i="65"/>
  <c r="J28" i="65" s="1"/>
  <c r="L13" i="65"/>
  <c r="L12" i="65"/>
  <c r="E17" i="65"/>
  <c r="J30" i="65" s="1"/>
  <c r="K30" i="65" s="1"/>
  <c r="K27" i="65"/>
  <c r="C330" i="66" l="1"/>
  <c r="H65" i="65"/>
  <c r="H68" i="65" s="1"/>
  <c r="H117" i="65"/>
  <c r="H105" i="65"/>
  <c r="H139" i="65"/>
  <c r="C29" i="65"/>
  <c r="G160" i="65"/>
  <c r="H157" i="65" s="1"/>
  <c r="H158" i="65" s="1"/>
  <c r="K28" i="65"/>
  <c r="J34" i="65"/>
  <c r="C27" i="65"/>
  <c r="G148" i="65"/>
  <c r="C28" i="65"/>
  <c r="G154" i="65"/>
  <c r="H151" i="65" s="1"/>
  <c r="H152" i="65" s="1"/>
  <c r="H128" i="65" l="1"/>
  <c r="C331" i="66"/>
  <c r="H74" i="65"/>
  <c r="H114" i="65" s="1"/>
  <c r="I83" i="65" s="1"/>
  <c r="H69" i="65"/>
  <c r="H111" i="65"/>
  <c r="H125" i="65"/>
  <c r="H129" i="65"/>
  <c r="H138" i="65"/>
  <c r="I62" i="65"/>
  <c r="I139" i="65"/>
  <c r="H145" i="65"/>
  <c r="G166" i="65"/>
  <c r="D27" i="65"/>
  <c r="C30" i="65"/>
  <c r="D29" i="65"/>
  <c r="L30" i="65"/>
  <c r="L34" i="65"/>
  <c r="K34" i="65"/>
  <c r="C34" i="65"/>
  <c r="E27" i="65" s="1"/>
  <c r="L27" i="65"/>
  <c r="D28" i="65"/>
  <c r="L28" i="65"/>
  <c r="C332" i="66" l="1"/>
  <c r="H86" i="65"/>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I111" i="65"/>
  <c r="J80" i="65" s="1"/>
  <c r="J65" i="65"/>
  <c r="J68" i="65" s="1"/>
  <c r="J74" i="65" s="1"/>
  <c r="I128" i="65"/>
  <c r="J117" i="65"/>
  <c r="J105" i="65"/>
  <c r="I86" i="65"/>
  <c r="I114" i="65"/>
  <c r="H91" i="65"/>
  <c r="L139" i="65"/>
  <c r="L62" i="65"/>
  <c r="K62" i="65"/>
  <c r="K139" i="65"/>
  <c r="L178" i="65"/>
  <c r="D32" i="65"/>
  <c r="E32" i="65"/>
  <c r="J128" i="65" l="1"/>
  <c r="J129" i="65" s="1"/>
  <c r="C334" i="66"/>
  <c r="J69" i="65"/>
  <c r="I126" i="65"/>
  <c r="J111" i="65"/>
  <c r="K80" i="65" s="1"/>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J114" i="65"/>
  <c r="K83" i="65" s="1"/>
  <c r="K77" i="65" s="1"/>
  <c r="K125" i="65" s="1"/>
  <c r="H98" i="65"/>
  <c r="H136" i="65"/>
  <c r="H140" i="65" s="1"/>
  <c r="L128" i="65"/>
  <c r="L129" i="65" s="1"/>
  <c r="K128" i="65"/>
  <c r="K129" i="65" s="1"/>
  <c r="J86" i="65"/>
  <c r="J137" i="65"/>
  <c r="K138" i="65" l="1"/>
  <c r="C336" i="66"/>
  <c r="L138" i="65"/>
  <c r="J126" i="65"/>
  <c r="J78" i="65"/>
  <c r="K114" i="65"/>
  <c r="K126" i="65" s="1"/>
  <c r="K86" i="65"/>
  <c r="K137" i="65"/>
  <c r="H147" i="65"/>
  <c r="C337" i="66" l="1"/>
  <c r="L83" i="65"/>
  <c r="L77" i="65" s="1"/>
  <c r="L125" i="65" s="1"/>
  <c r="K78" i="65"/>
  <c r="H153" i="65"/>
  <c r="H148" i="65"/>
  <c r="C338" i="66" l="1"/>
  <c r="L114" i="65"/>
  <c r="L78" i="65" s="1"/>
  <c r="L86" i="65"/>
  <c r="L172" i="65" s="1"/>
  <c r="L174" i="65" s="1"/>
  <c r="L137" i="65"/>
  <c r="I145" i="65"/>
  <c r="H154" i="65"/>
  <c r="I151" i="65" s="1"/>
  <c r="I152" i="65" s="1"/>
  <c r="H159" i="65"/>
  <c r="C339" i="66" l="1"/>
  <c r="L126" i="65"/>
  <c r="H160" i="65"/>
  <c r="I157" i="65" s="1"/>
  <c r="I158" i="65" s="1"/>
  <c r="H165" i="65"/>
  <c r="I146" i="65"/>
  <c r="C340" i="66" l="1"/>
  <c r="I164" i="65"/>
  <c r="I89" i="65" s="1"/>
  <c r="H166" i="65"/>
  <c r="I163" i="65"/>
  <c r="C341" i="66" l="1"/>
  <c r="I91" i="65"/>
  <c r="C342" i="66" l="1"/>
  <c r="I94" i="65"/>
  <c r="I97" i="65" s="1"/>
  <c r="I92" i="65"/>
  <c r="C343" i="66" l="1"/>
  <c r="I98" i="65"/>
  <c r="I136" i="65"/>
  <c r="I140" i="65" s="1"/>
  <c r="I147" i="65" s="1"/>
  <c r="I153" i="65" s="1"/>
  <c r="I154" i="65" s="1"/>
  <c r="J151" i="65" s="1"/>
  <c r="J152" i="65" s="1"/>
  <c r="C344" i="66" l="1"/>
  <c r="I159" i="65"/>
  <c r="I160" i="65" s="1"/>
  <c r="J157" i="65" s="1"/>
  <c r="J158" i="65" s="1"/>
  <c r="I148" i="65"/>
  <c r="C345" i="66" l="1"/>
  <c r="I165" i="65"/>
  <c r="J145" i="65"/>
  <c r="I166" i="65"/>
  <c r="C346" i="66" l="1"/>
  <c r="J163" i="65"/>
  <c r="J146" i="65"/>
  <c r="J164" i="65" s="1"/>
  <c r="J89" i="65" s="1"/>
  <c r="C347" i="66" l="1"/>
  <c r="J91" i="65"/>
  <c r="C348" i="66" l="1"/>
  <c r="J94" i="65"/>
  <c r="J97" i="65" s="1"/>
  <c r="J92" i="65"/>
  <c r="C349" i="66" l="1"/>
  <c r="J98" i="65"/>
  <c r="J136" i="65"/>
  <c r="J140" i="65" s="1"/>
  <c r="C350" i="66" l="1"/>
  <c r="J147" i="65"/>
  <c r="C351" i="66" l="1"/>
  <c r="J153" i="65"/>
  <c r="J148" i="65"/>
  <c r="C352" i="66" l="1"/>
  <c r="K145" i="65"/>
  <c r="J154" i="65"/>
  <c r="K151" i="65" s="1"/>
  <c r="K152" i="65" s="1"/>
  <c r="J159" i="65"/>
  <c r="C353" i="66" l="1"/>
  <c r="J160" i="65"/>
  <c r="K157" i="65" s="1"/>
  <c r="K158" i="65" s="1"/>
  <c r="J165" i="65"/>
  <c r="K146" i="65"/>
  <c r="C354" i="66" l="1"/>
  <c r="K164" i="65"/>
  <c r="K89" i="65" s="1"/>
  <c r="K163" i="65"/>
  <c r="J166" i="65"/>
  <c r="C355" i="66" l="1"/>
  <c r="K91" i="65"/>
  <c r="C356" i="66" l="1"/>
  <c r="K94" i="65"/>
  <c r="K97" i="65" s="1"/>
  <c r="K92" i="65"/>
  <c r="C357" i="66" l="1"/>
  <c r="K98" i="65"/>
  <c r="K136" i="65"/>
  <c r="K140" i="65" s="1"/>
  <c r="C358" i="66" l="1"/>
  <c r="K147" i="65"/>
  <c r="K153" i="65" s="1"/>
  <c r="K154" i="65" s="1"/>
  <c r="L151" i="65" s="1"/>
  <c r="L152" i="65" s="1"/>
  <c r="C359" i="66" l="1"/>
  <c r="K148" i="65"/>
  <c r="L145" i="65" s="1"/>
  <c r="L146" i="65" s="1"/>
  <c r="K159" i="65"/>
  <c r="C360" i="66" l="1"/>
  <c r="K165" i="65"/>
  <c r="K160" i="65"/>
  <c r="C361" i="66" l="1"/>
  <c r="L157" i="65"/>
  <c r="K166" i="65"/>
  <c r="C362" i="66" l="1"/>
  <c r="L163" i="65"/>
  <c r="L158" i="65"/>
  <c r="L164" i="65" s="1"/>
  <c r="C363" i="66" l="1"/>
  <c r="L89" i="65"/>
  <c r="L91" i="65" s="1"/>
  <c r="C364" i="66" l="1"/>
  <c r="L94" i="65"/>
  <c r="L97" i="65" s="1"/>
  <c r="L98" i="65" s="1"/>
  <c r="L92" i="65"/>
  <c r="C365" i="66" l="1"/>
  <c r="L136" i="65"/>
  <c r="L140" i="65" s="1"/>
  <c r="L147" i="65" s="1"/>
  <c r="C366" i="66" l="1"/>
  <c r="L153" i="65"/>
  <c r="L148" i="65"/>
  <c r="C367" i="66" l="1"/>
  <c r="L154" i="65"/>
  <c r="L159" i="65"/>
  <c r="C368" i="66" l="1"/>
  <c r="L160" i="65"/>
  <c r="L166" i="65" s="1"/>
  <c r="L175" i="65" s="1"/>
  <c r="L176" i="65" s="1"/>
  <c r="L180" i="65" s="1"/>
  <c r="L165" i="65"/>
  <c r="C369" i="66" l="1"/>
  <c r="L16" i="65"/>
  <c r="L181" i="65"/>
  <c r="L17" i="65" s="1"/>
  <c r="C370" i="66" l="1"/>
  <c r="C371" i="66" l="1"/>
  <c r="C372" i="66" l="1"/>
  <c r="C373" i="66" l="1"/>
  <c r="C374" i="66" l="1"/>
  <c r="C375" i="66" l="1"/>
  <c r="C376" i="66" l="1"/>
  <c r="AJ101" i="79"/>
  <c r="AJ103" i="79"/>
  <c r="Y52" i="78"/>
  <c r="C377" i="66" l="1"/>
  <c r="Y79" i="78"/>
  <c r="Y49" i="78" s="1"/>
  <c r="Z52" i="78"/>
  <c r="C378" i="66" l="1"/>
  <c r="AK101" i="79"/>
  <c r="AK103" i="79"/>
  <c r="Z79" i="78"/>
  <c r="AB52" i="78"/>
  <c r="Y94" i="78"/>
  <c r="Y128" i="78" s="1"/>
  <c r="Z49" i="78"/>
  <c r="C379" i="66" l="1"/>
  <c r="AK168" i="79"/>
  <c r="Z50" i="78"/>
  <c r="Y122" i="78"/>
  <c r="Y126" i="78" s="1"/>
  <c r="AK74" i="79"/>
  <c r="Y95" i="78"/>
  <c r="Z94" i="78"/>
  <c r="AB79" i="78"/>
  <c r="AB49" i="78" s="1"/>
  <c r="Y136" i="78" l="1"/>
  <c r="Y112" i="78"/>
  <c r="AL77" i="79"/>
  <c r="C380" i="66"/>
  <c r="Z126" i="78"/>
  <c r="AL168" i="79"/>
  <c r="AL127" i="79"/>
  <c r="AN103" i="79"/>
  <c r="AN101" i="79"/>
  <c r="AL101" i="79"/>
  <c r="AL103" i="79"/>
  <c r="AK77" i="79"/>
  <c r="AL28" i="79"/>
  <c r="Z95" i="78"/>
  <c r="Z128" i="78"/>
  <c r="AV16" i="78" s="1"/>
  <c r="AC52" i="78"/>
  <c r="AB94" i="78"/>
  <c r="AB128" i="78" s="1"/>
  <c r="D41" i="6" l="1"/>
  <c r="Z112" i="78"/>
  <c r="D42" i="6" s="1"/>
  <c r="D43" i="6" s="1"/>
  <c r="AL33" i="79"/>
  <c r="C381" i="66"/>
  <c r="Z136" i="78"/>
  <c r="AV17" i="78" s="1"/>
  <c r="AN168" i="79"/>
  <c r="AB122" i="78"/>
  <c r="AB126" i="78" s="1"/>
  <c r="AB136" i="78" s="1"/>
  <c r="AN74" i="79"/>
  <c r="AL74" i="79"/>
  <c r="AL31" i="79"/>
  <c r="AC79" i="78"/>
  <c r="AB95" i="78"/>
  <c r="AO77" i="79"/>
  <c r="AD52" i="78" l="1"/>
  <c r="AD79" i="78" s="1"/>
  <c r="AC49" i="78"/>
  <c r="AC94" i="78" s="1"/>
  <c r="D44" i="6"/>
  <c r="D45" i="6" s="1"/>
  <c r="AB112" i="78"/>
  <c r="C382" i="66"/>
  <c r="AO74" i="79"/>
  <c r="AN77" i="79"/>
  <c r="AC122" i="78"/>
  <c r="AC126" i="78" s="1"/>
  <c r="AC112" i="78" s="1"/>
  <c r="AC95" i="78" l="1"/>
  <c r="AC128" i="78"/>
  <c r="AC136" i="78" s="1"/>
  <c r="AD49" i="78"/>
  <c r="AD94" i="78" s="1"/>
  <c r="C383" i="66"/>
  <c r="AO168" i="79"/>
  <c r="AE52" i="78"/>
  <c r="AE79" i="78" s="1"/>
  <c r="AE49" i="78" s="1"/>
  <c r="AP101" i="79"/>
  <c r="AP103" i="79"/>
  <c r="AO101" i="79"/>
  <c r="AO103" i="79"/>
  <c r="AP77" i="79"/>
  <c r="AP74" i="79"/>
  <c r="AD122" i="78"/>
  <c r="AD126" i="78" s="1"/>
  <c r="AD112" i="78" s="1"/>
  <c r="AD128" i="78" l="1"/>
  <c r="AD136" i="78" s="1"/>
  <c r="AD95" i="78"/>
  <c r="AF79" i="78"/>
  <c r="AH52" i="78" s="1"/>
  <c r="C384" i="66"/>
  <c r="AF52" i="78"/>
  <c r="AQ101" i="79"/>
  <c r="AR101" i="79"/>
  <c r="AP168" i="79"/>
  <c r="C385" i="66" l="1"/>
  <c r="AF49" i="78"/>
  <c r="AF50" i="78" s="1"/>
  <c r="AR103" i="79"/>
  <c r="AE94" i="78"/>
  <c r="AE128" i="78" s="1"/>
  <c r="AQ168" i="79" s="1"/>
  <c r="AE122" i="78"/>
  <c r="AE126" i="78" s="1"/>
  <c r="AQ103" i="79"/>
  <c r="AF126" i="78" l="1"/>
  <c r="AE112" i="78"/>
  <c r="C386" i="66"/>
  <c r="AF94" i="78"/>
  <c r="AF95" i="78" s="1"/>
  <c r="AE95" i="78"/>
  <c r="AV127" i="79"/>
  <c r="AR28" i="79"/>
  <c r="AQ74" i="79"/>
  <c r="AE136" i="78"/>
  <c r="AT103" i="79"/>
  <c r="AJ50" i="78" l="1"/>
  <c r="E41" i="6"/>
  <c r="AF112" i="78"/>
  <c r="E42" i="6" s="1"/>
  <c r="E43" i="6" s="1"/>
  <c r="AF128" i="78"/>
  <c r="AR77" i="79"/>
  <c r="C387" i="66"/>
  <c r="AR127" i="79"/>
  <c r="AT127" i="79"/>
  <c r="AR168" i="79"/>
  <c r="AQ77" i="79"/>
  <c r="AT101" i="79"/>
  <c r="AL50" i="78" l="1"/>
  <c r="AF136" i="78"/>
  <c r="AW17" i="78" s="1"/>
  <c r="AW16" i="78"/>
  <c r="AR33" i="79"/>
  <c r="AR74" i="79"/>
  <c r="E44" i="6"/>
  <c r="E45" i="6" s="1"/>
  <c r="C388" i="66"/>
  <c r="AR31" i="79"/>
  <c r="AV101" i="79"/>
  <c r="C389" i="66" l="1"/>
  <c r="AV103" i="79"/>
  <c r="C390" i="66" l="1"/>
  <c r="C391" i="66" l="1"/>
  <c r="C392" i="66" l="1"/>
  <c r="C393" i="66" l="1"/>
  <c r="C394" i="66" l="1"/>
  <c r="H87" i="65"/>
  <c r="I87" i="65"/>
  <c r="J87" i="65"/>
  <c r="K87" i="65"/>
  <c r="L87" i="65"/>
  <c r="C395" i="66" l="1"/>
  <c r="C396" i="66" l="1"/>
  <c r="C397" i="66" l="1"/>
  <c r="C398" i="66" l="1"/>
  <c r="C399" i="66" l="1"/>
  <c r="C400" i="66" l="1"/>
  <c r="C401" i="66" l="1"/>
  <c r="C402" i="66" l="1"/>
  <c r="C403" i="66" l="1"/>
  <c r="C404" i="66" l="1"/>
  <c r="C405" i="66" l="1"/>
  <c r="C406" i="66" l="1"/>
  <c r="C407" i="66" l="1"/>
  <c r="C408" i="66" l="1"/>
  <c r="C409" i="66" l="1"/>
  <c r="C410" i="66" l="1"/>
  <c r="C411" i="66" l="1"/>
  <c r="C412" i="66" l="1"/>
  <c r="C413" i="66" l="1"/>
  <c r="C414" i="66" l="1"/>
  <c r="C415" i="66" l="1"/>
  <c r="C416" i="66" l="1"/>
  <c r="C417" i="66" l="1"/>
  <c r="C418" i="66" l="1"/>
  <c r="C419" i="66" l="1"/>
  <c r="C420" i="66" l="1"/>
  <c r="C421" i="66" l="1"/>
  <c r="C422" i="66" l="1"/>
  <c r="C423" i="66" l="1"/>
  <c r="C424" i="66" l="1"/>
  <c r="C425" i="66" l="1"/>
  <c r="C426" i="66" l="1"/>
  <c r="C427" i="66" l="1"/>
  <c r="C428" i="66" l="1"/>
  <c r="C429" i="66" l="1"/>
  <c r="C430" i="66" l="1"/>
  <c r="C431" i="66" l="1"/>
  <c r="C432" i="66" l="1"/>
  <c r="C433" i="66" l="1"/>
  <c r="C434" i="66" l="1"/>
  <c r="C435" i="66" l="1"/>
  <c r="C436" i="66" l="1"/>
  <c r="C437" i="66" l="1"/>
  <c r="C438" i="66" l="1"/>
  <c r="C439" i="66" l="1"/>
  <c r="C440" i="66" l="1"/>
  <c r="C441" i="66" l="1"/>
  <c r="C442" i="66" l="1"/>
  <c r="C443" i="66" l="1"/>
  <c r="C444" i="66" l="1"/>
  <c r="C445" i="66" l="1"/>
  <c r="C446" i="66" l="1"/>
  <c r="C447" i="66" l="1"/>
  <c r="C448" i="66" l="1"/>
  <c r="C449" i="66" l="1"/>
  <c r="C450" i="66" l="1"/>
  <c r="C451" i="66" l="1"/>
  <c r="C452" i="66" l="1"/>
  <c r="C453" i="66" l="1"/>
  <c r="C454" i="66" l="1"/>
  <c r="C455" i="66" l="1"/>
  <c r="C456" i="66" l="1"/>
  <c r="C457" i="66" l="1"/>
  <c r="C458" i="66" l="1"/>
  <c r="C459" i="66" l="1"/>
  <c r="C460" i="66" l="1"/>
  <c r="C461" i="66" l="1"/>
  <c r="C462" i="66" l="1"/>
  <c r="C463" i="66" l="1"/>
  <c r="C464" i="66" l="1"/>
  <c r="C465" i="66" l="1"/>
  <c r="C466" i="66" l="1"/>
  <c r="C467" i="66" l="1"/>
  <c r="C468" i="66" l="1"/>
  <c r="C469" i="66" l="1"/>
  <c r="C470" i="66" l="1"/>
  <c r="C471" i="66" l="1"/>
  <c r="C472" i="66" l="1"/>
  <c r="C473" i="66" l="1"/>
  <c r="C474" i="66" l="1"/>
  <c r="C475" i="66" l="1"/>
  <c r="C476" i="66" l="1"/>
  <c r="C477" i="66" l="1"/>
  <c r="C478" i="66" l="1"/>
  <c r="C479" i="66" l="1"/>
  <c r="C480" i="66" l="1"/>
  <c r="C481" i="66" l="1"/>
  <c r="C482" i="66" l="1"/>
  <c r="C483" i="66" l="1"/>
  <c r="C484" i="66" l="1"/>
  <c r="C485" i="66" l="1"/>
  <c r="C486" i="66" l="1"/>
  <c r="C487" i="66" l="1"/>
  <c r="C488" i="66" l="1"/>
  <c r="C489" i="66" l="1"/>
  <c r="C490" i="66" l="1"/>
  <c r="C491" i="66" l="1"/>
  <c r="C492" i="66" l="1"/>
  <c r="C493" i="66" l="1"/>
  <c r="C494" i="66" l="1"/>
  <c r="C495" i="66" l="1"/>
  <c r="C496" i="66" l="1"/>
  <c r="C497" i="66" l="1"/>
  <c r="C498" i="66" l="1"/>
  <c r="C499" i="66" l="1"/>
  <c r="C500" i="66" l="1"/>
  <c r="C501" i="66" l="1"/>
  <c r="C502" i="66" l="1"/>
  <c r="C503" i="66" l="1"/>
  <c r="C504" i="66" l="1"/>
  <c r="C505" i="66" l="1"/>
  <c r="C506" i="66" l="1"/>
  <c r="C507" i="66" l="1"/>
  <c r="C508" i="66" l="1"/>
  <c r="C509" i="66" l="1"/>
  <c r="C510" i="66" l="1"/>
  <c r="C511" i="66" l="1"/>
  <c r="C512" i="66" l="1"/>
  <c r="C513" i="66" l="1"/>
  <c r="C514" i="66" l="1"/>
  <c r="C515" i="66" l="1"/>
  <c r="C516" i="66" l="1"/>
  <c r="C517" i="66" l="1"/>
  <c r="C518" i="66" l="1"/>
  <c r="C519" i="66" l="1"/>
  <c r="C520" i="66" l="1"/>
  <c r="C521" i="66" l="1"/>
  <c r="C522" i="66" l="1"/>
  <c r="C523" i="66" l="1"/>
  <c r="C524" i="66" l="1"/>
  <c r="C525" i="66" l="1"/>
  <c r="C526" i="66" l="1"/>
  <c r="C527" i="66" l="1"/>
  <c r="C528" i="66" l="1"/>
  <c r="C529" i="66" l="1"/>
  <c r="C530" i="66" l="1"/>
  <c r="C531" i="66" l="1"/>
  <c r="C532" i="66" l="1"/>
  <c r="C533" i="66" l="1"/>
  <c r="C534" i="66" l="1"/>
  <c r="C535" i="66" l="1"/>
  <c r="C536" i="66" l="1"/>
  <c r="C537" i="66" l="1"/>
  <c r="C538" i="66" l="1"/>
  <c r="C539" i="66" l="1"/>
  <c r="C540" i="66" l="1"/>
  <c r="C541" i="66" l="1"/>
  <c r="C542" i="66" l="1"/>
  <c r="C543" i="66" l="1"/>
  <c r="C544" i="66" l="1"/>
  <c r="C545" i="66" l="1"/>
  <c r="C546" i="66" l="1"/>
  <c r="C547" i="66" l="1"/>
  <c r="C548" i="66" l="1"/>
  <c r="C549" i="66" l="1"/>
  <c r="C550" i="66" l="1"/>
  <c r="C551" i="66" l="1"/>
  <c r="C552" i="66" l="1"/>
  <c r="C553" i="66" l="1"/>
  <c r="C554" i="66" l="1"/>
  <c r="C555" i="66" l="1"/>
  <c r="C556" i="66" l="1"/>
  <c r="C557" i="66" l="1"/>
  <c r="C558" i="66" l="1"/>
  <c r="D558" i="66" l="1"/>
  <c r="D557" i="66" l="1"/>
  <c r="D556" i="66" l="1"/>
  <c r="D554" i="66" l="1"/>
  <c r="D555" i="66"/>
  <c r="D553" i="66" l="1"/>
  <c r="D552" i="66" l="1"/>
  <c r="D551" i="66" l="1"/>
  <c r="D550" i="66" l="1"/>
  <c r="D549" i="66" l="1"/>
  <c r="D547" i="66" l="1"/>
  <c r="D548" i="66"/>
  <c r="D546" i="66" l="1"/>
  <c r="D545" i="66" l="1"/>
  <c r="D544" i="66" l="1"/>
  <c r="D543" i="66" l="1"/>
  <c r="D542" i="66" l="1"/>
  <c r="D540" i="66" l="1"/>
  <c r="D541" i="66"/>
  <c r="D539" i="66" l="1"/>
  <c r="D538" i="66" l="1"/>
  <c r="D537" i="66" l="1"/>
  <c r="D536" i="66" l="1"/>
  <c r="D535" i="66" l="1"/>
  <c r="D533" i="66" l="1"/>
  <c r="D534" i="66"/>
  <c r="D532" i="66" l="1"/>
  <c r="D531" i="66" l="1"/>
  <c r="D530" i="66" l="1"/>
  <c r="D529" i="66" l="1"/>
  <c r="D528" i="66" l="1"/>
  <c r="D526" i="66" l="1"/>
  <c r="D527" i="66"/>
  <c r="D525" i="66" l="1"/>
  <c r="D524" i="66" l="1"/>
  <c r="D523" i="66" l="1"/>
  <c r="D522" i="66" l="1"/>
  <c r="D521" i="66" l="1"/>
  <c r="D519" i="66" l="1"/>
  <c r="D520" i="66"/>
  <c r="D518" i="66" l="1"/>
  <c r="D517" i="66" l="1"/>
  <c r="D516" i="66" l="1"/>
  <c r="D515" i="66" l="1"/>
  <c r="D514" i="66" l="1"/>
  <c r="D512" i="66" l="1"/>
  <c r="D513" i="66"/>
  <c r="D511" i="66" l="1"/>
  <c r="D510" i="66" l="1"/>
  <c r="D509" i="66" l="1"/>
  <c r="D508" i="66" l="1"/>
  <c r="D507" i="66" l="1"/>
  <c r="D505" i="66" l="1"/>
  <c r="D506" i="66"/>
  <c r="D504" i="66" l="1"/>
  <c r="D503" i="66" l="1"/>
  <c r="D502" i="66" l="1"/>
  <c r="D501" i="66" l="1"/>
  <c r="D500" i="66" l="1"/>
  <c r="D498" i="66" l="1"/>
  <c r="D499" i="66"/>
  <c r="D497" i="66" l="1"/>
  <c r="D496" i="66" l="1"/>
  <c r="D495" i="66" l="1"/>
  <c r="D494" i="66" l="1"/>
  <c r="D493" i="66" l="1"/>
  <c r="D492" i="66" l="1"/>
  <c r="D491" i="66" l="1"/>
  <c r="D490" i="66" l="1"/>
  <c r="D489" i="66" l="1"/>
  <c r="D488" i="66" l="1"/>
  <c r="D487" i="66" l="1"/>
  <c r="D486" i="66" l="1"/>
  <c r="D485" i="66" l="1"/>
  <c r="D484" i="66" l="1"/>
  <c r="D483" i="66" l="1"/>
  <c r="D481" i="66" l="1"/>
  <c r="D482" i="66"/>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5" i="66" l="1"/>
  <c r="D376" i="66"/>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c r="D275" i="66" l="1"/>
  <c r="D274" i="66" l="1"/>
  <c r="D273" i="66" l="1"/>
  <c r="D272" i="66" l="1"/>
  <c r="D271" i="66" l="1"/>
  <c r="D270" i="66" l="1"/>
  <c r="D269" i="66" l="1"/>
  <c r="D268" i="66" l="1"/>
  <c r="D267" i="66" l="1"/>
  <c r="D266" i="66" l="1"/>
  <c r="D265" i="66" l="1"/>
  <c r="D264" i="66" l="1"/>
  <c r="D263" i="66" l="1"/>
  <c r="D262" i="66" l="1"/>
  <c r="D261" i="66" l="1"/>
  <c r="D260" i="66" l="1"/>
  <c r="D259" i="66" l="1"/>
  <c r="D257" i="66" l="1"/>
  <c r="D258" i="66"/>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1" i="66" l="1"/>
  <c r="D200" i="66" l="1"/>
  <c r="D199" i="66" l="1"/>
  <c r="D198" i="66" l="1"/>
  <c r="D197" i="66" l="1"/>
  <c r="D196" i="66" l="1"/>
  <c r="D195" i="66" l="1"/>
  <c r="D193" i="66" l="1"/>
  <c r="E193" i="66" s="1"/>
  <c r="D194" i="66"/>
  <c r="D13" i="6" l="1"/>
  <c r="M15" i="83"/>
  <c r="D35" i="6" l="1"/>
  <c r="D14" i="6" s="1"/>
  <c r="E22" i="6"/>
  <c r="AF159" i="78"/>
  <c r="E17" i="6"/>
  <c r="F16" i="6" s="1"/>
  <c r="E19" i="6"/>
  <c r="D29" i="6" l="1"/>
  <c r="D23" i="6"/>
  <c r="E25" i="6"/>
  <c r="E23" i="6"/>
  <c r="Y149" i="78" l="1"/>
  <c r="E39" i="6"/>
  <c r="X149" i="78" l="1"/>
  <c r="AC149" i="78"/>
  <c r="AB149" i="78"/>
  <c r="AE149" i="78"/>
  <c r="AD149" i="78"/>
  <c r="X150" i="78" l="1"/>
  <c r="X152" i="78" s="1"/>
  <c r="AX86" i="79"/>
  <c r="AV98" i="79"/>
  <c r="AH34" i="78"/>
  <c r="AH73" i="78" s="1"/>
  <c r="AH106" i="78"/>
  <c r="AH109" i="78" s="1"/>
  <c r="AH61" i="78"/>
  <c r="AT33" i="74" s="1"/>
  <c r="AH122" i="78"/>
  <c r="AH126" i="78"/>
  <c r="AH112" i="78"/>
  <c r="F42" i="6"/>
  <c r="AH43" i="78"/>
  <c r="AH70" i="78"/>
  <c r="AT26" i="84"/>
  <c r="AT22" i="84"/>
  <c r="R13" i="6"/>
  <c r="F13" i="6"/>
  <c r="F35" i="6"/>
  <c r="F29" i="6" s="1"/>
  <c r="F14" i="6"/>
  <c r="AT14" i="84"/>
  <c r="AH58" i="78"/>
  <c r="AH100" i="78"/>
  <c r="AH76" i="78"/>
  <c r="AT18" i="84"/>
  <c r="AT13" i="84"/>
  <c r="AH21" i="78"/>
  <c r="AT15" i="84"/>
  <c r="AH97" i="78" l="1"/>
  <c r="AH88" i="78"/>
  <c r="AH103" i="78"/>
  <c r="AH132" i="78" s="1"/>
  <c r="AT77" i="79"/>
  <c r="AT74" i="79"/>
  <c r="F22" i="6"/>
  <c r="AT21" i="84"/>
  <c r="R12" i="6" s="1"/>
  <c r="R14" i="6"/>
  <c r="F41" i="6"/>
  <c r="AH134" i="78"/>
  <c r="AH37" i="78"/>
  <c r="AH85" i="78"/>
  <c r="AH101" i="78" l="1"/>
  <c r="AH64" i="78" s="1"/>
  <c r="AH130" i="78"/>
  <c r="AH40" i="78"/>
  <c r="AH79" i="78"/>
  <c r="F43" i="6"/>
  <c r="R18" i="6"/>
  <c r="H18" i="6" s="1"/>
  <c r="F19" i="6"/>
  <c r="F17" i="6"/>
  <c r="F25" i="6"/>
  <c r="F23" i="6"/>
  <c r="F39" i="6" l="1"/>
  <c r="AH149" i="78" s="1"/>
  <c r="F44" i="6"/>
  <c r="F45" i="6" s="1"/>
  <c r="AJ52" i="78"/>
  <c r="AH41" i="78"/>
  <c r="AH46" i="78"/>
  <c r="AH82" i="78" l="1"/>
  <c r="AJ55" i="78" l="1"/>
  <c r="AH49" i="78"/>
  <c r="AH94" i="78" s="1"/>
  <c r="AH128" i="78" l="1"/>
  <c r="AH95" i="78"/>
  <c r="AH136" i="78" l="1"/>
  <c r="AX16" i="78"/>
  <c r="AX17" i="78" l="1"/>
  <c r="AJ12" i="78"/>
  <c r="AV15" i="84" s="1"/>
  <c r="AX15" i="84"/>
  <c r="AJ11" i="78"/>
  <c r="AV14" i="84" s="1"/>
  <c r="AX14" i="84"/>
  <c r="AJ43" i="78"/>
  <c r="AV26" i="84"/>
  <c r="AV21" i="84" s="1"/>
  <c r="AV22" i="84"/>
  <c r="AJ70" i="78"/>
  <c r="AJ103" i="78" s="1"/>
  <c r="AJ132" i="78"/>
  <c r="AJ106" i="78"/>
  <c r="AJ34" i="78"/>
  <c r="AJ37" i="78"/>
  <c r="AV18" i="84"/>
  <c r="AJ76" i="78"/>
  <c r="AJ100" i="78"/>
  <c r="AJ58" i="78"/>
  <c r="AJ61" i="78"/>
  <c r="AV33" i="74" s="1"/>
  <c r="AJ122" i="78"/>
  <c r="AJ126" i="78"/>
  <c r="G13" i="6"/>
  <c r="G16" i="6"/>
  <c r="G19" i="6" s="1"/>
  <c r="AL21" i="78"/>
  <c r="AF161" i="78"/>
  <c r="G17" i="6" l="1"/>
  <c r="AJ97" i="78"/>
  <c r="AJ88" i="78"/>
  <c r="AV77" i="79"/>
  <c r="AV74" i="79"/>
  <c r="AX26" i="84"/>
  <c r="AL106" i="78"/>
  <c r="AL70" i="78"/>
  <c r="AL43" i="78"/>
  <c r="H13" i="6"/>
  <c r="AL34" i="78"/>
  <c r="AL61" i="78"/>
  <c r="AX33" i="74" s="1"/>
  <c r="AX18" i="84"/>
  <c r="AL76" i="78"/>
  <c r="AL58" i="78"/>
  <c r="AX13" i="84"/>
  <c r="AV13" i="84"/>
  <c r="AJ21" i="78"/>
  <c r="G35" i="6"/>
  <c r="G22" i="6"/>
  <c r="AJ112" i="78"/>
  <c r="G42" i="6" s="1"/>
  <c r="G41" i="6"/>
  <c r="AJ40" i="78"/>
  <c r="AJ73" i="78"/>
  <c r="AJ85" i="78"/>
  <c r="AJ109" i="78"/>
  <c r="AJ101" i="78" l="1"/>
  <c r="AJ64" i="78" s="1"/>
  <c r="AL100" i="78" s="1"/>
  <c r="AJ130" i="78"/>
  <c r="AJ79" i="78"/>
  <c r="AL52" i="78" s="1"/>
  <c r="AJ134" i="78"/>
  <c r="AX77" i="79"/>
  <c r="AX74" i="79"/>
  <c r="AL103" i="78"/>
  <c r="AL132" i="78" s="1"/>
  <c r="AJ46" i="78"/>
  <c r="AJ41" i="78"/>
  <c r="G43" i="6"/>
  <c r="G23" i="6"/>
  <c r="G25" i="6"/>
  <c r="H22" i="6"/>
  <c r="G14" i="6"/>
  <c r="G29" i="6"/>
  <c r="AL122" i="78"/>
  <c r="AL85" i="78"/>
  <c r="AL73" i="78"/>
  <c r="AL37" i="78"/>
  <c r="AL40" i="78" s="1"/>
  <c r="H35" i="6"/>
  <c r="H16" i="6"/>
  <c r="AL88" i="78"/>
  <c r="AL97" i="78"/>
  <c r="AL109" i="78"/>
  <c r="AL134" i="78"/>
  <c r="AX21" i="84"/>
  <c r="AL79" i="78" l="1"/>
  <c r="AL130" i="78"/>
  <c r="AL101" i="78"/>
  <c r="AL64" i="78" s="1"/>
  <c r="H17" i="6"/>
  <c r="H19" i="6"/>
  <c r="H29" i="6"/>
  <c r="H14" i="6"/>
  <c r="AL41" i="78"/>
  <c r="AL46" i="78"/>
  <c r="AL126" i="78"/>
  <c r="G39" i="6"/>
  <c r="AJ149" i="78" s="1"/>
  <c r="H23" i="6"/>
  <c r="H25" i="6"/>
  <c r="G44" i="6"/>
  <c r="G45" i="6" s="1"/>
  <c r="AJ82" i="78"/>
  <c r="AL55" i="78" l="1"/>
  <c r="AJ49" i="78"/>
  <c r="AJ94" i="78" s="1"/>
  <c r="H41" i="6"/>
  <c r="AL112" i="78"/>
  <c r="H42" i="6" s="1"/>
  <c r="AL82" i="78"/>
  <c r="AL49" i="78" s="1"/>
  <c r="AL94" i="78" s="1"/>
  <c r="H39" i="6"/>
  <c r="AL149" i="78" s="1"/>
  <c r="AL168" i="78"/>
  <c r="Z168" i="78"/>
  <c r="AF168" i="78"/>
  <c r="AL128" i="78" l="1"/>
  <c r="Z161" i="78" s="1"/>
  <c r="AL95" i="78"/>
  <c r="H43" i="6"/>
  <c r="H44" i="6" s="1"/>
  <c r="H45" i="6" s="1"/>
  <c r="AJ128" i="78"/>
  <c r="AJ95" i="78"/>
  <c r="AJ136" i="78" l="1"/>
  <c r="AY16" i="78"/>
  <c r="AZ16" i="78"/>
  <c r="AL136" i="78"/>
  <c r="AZ17" i="78" l="1"/>
  <c r="AL159" i="78"/>
  <c r="AL161" i="78"/>
  <c r="AY17" i="78"/>
  <c r="AL150" i="78" l="1"/>
  <c r="AF162" i="78" s="1"/>
  <c r="Z162" i="78" l="1"/>
  <c r="AL162" i="78"/>
  <c r="AL152" i="78"/>
  <c r="AJ150" i="78"/>
  <c r="AJ152" i="78" s="1"/>
  <c r="AH150" i="78"/>
  <c r="AH152" i="78" s="1"/>
  <c r="AC150" i="78"/>
  <c r="AC152" i="78" s="1"/>
  <c r="AD150" i="78"/>
  <c r="AD152" i="78" s="1"/>
  <c r="AE150" i="78"/>
  <c r="AE152" i="78" s="1"/>
  <c r="AB150" i="78"/>
  <c r="AB152" i="78" s="1"/>
  <c r="Y150" i="78"/>
  <c r="Y152" i="78" s="1"/>
  <c r="AF163" i="78" l="1"/>
  <c r="AF167" i="78" s="1"/>
  <c r="AF169" i="78" s="1"/>
  <c r="Z163" i="78"/>
  <c r="Z167" i="78" s="1"/>
  <c r="AL163" i="78"/>
  <c r="AL167" i="78" s="1"/>
  <c r="AL169" i="78" s="1"/>
  <c r="E162" i="66" l="1"/>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L160" i="66"/>
  <c r="T35" i="91"/>
  <c r="AF171" i="78"/>
  <c r="R162" i="78" s="1"/>
  <c r="Z169" i="78"/>
  <c r="Z171" i="78" s="1"/>
  <c r="AL171" i="78"/>
  <c r="T33" i="91"/>
  <c r="X44" i="91" l="1" a="1"/>
  <c r="X44" i="91" s="1"/>
  <c r="R163" i="78"/>
  <c r="R164" i="78"/>
  <c r="T34" i="91"/>
  <c r="Y40" i="91" s="1" a="1"/>
  <c r="Y40" i="91" s="1"/>
  <c r="Y44" i="91" a="1"/>
  <c r="Y44" i="91" s="1"/>
  <c r="Y43" i="91" a="1"/>
  <c r="Y43" i="91" s="1"/>
  <c r="Y39" i="91" l="1" a="1"/>
  <c r="Y39" i="91" s="1"/>
  <c r="X40" i="91" a="1"/>
  <c r="X40" i="91" s="1"/>
  <c r="Z40" i="91" s="1"/>
  <c r="X43" i="91" a="1"/>
  <c r="X43" i="91" s="1"/>
  <c r="Z43" i="91" s="1"/>
  <c r="X39" i="91" a="1"/>
  <c r="X39" i="91" s="1"/>
  <c r="X42" i="91" a="1"/>
  <c r="X42" i="91" s="1"/>
  <c r="Y42" i="91" a="1"/>
  <c r="Y42" i="91" s="1"/>
  <c r="X41" i="91" a="1"/>
  <c r="X41" i="91" s="1"/>
  <c r="Y41" i="91" a="1"/>
  <c r="Y41" i="91" s="1"/>
  <c r="Z44" i="91"/>
  <c r="Y38" i="91" a="1"/>
  <c r="Y38" i="91" s="1"/>
  <c r="Z39" i="91" l="1"/>
  <c r="Z42" i="91"/>
  <c r="Z41" i="91"/>
  <c r="Z38" i="91"/>
  <c r="AD28" i="91" l="1" a="1"/>
  <c r="AD28" i="9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Rodrigo Ji</author>
  </authors>
  <commentList>
    <comment ref="R34" authorId="0" shapeId="0" xr:uid="{333B8FFA-9F69-4AD9-A9B1-BCB363CC4C80}">
      <text>
        <r>
          <rPr>
            <b/>
            <sz val="9"/>
            <color indexed="81"/>
            <rFont val="Tahoma"/>
            <family val="2"/>
          </rPr>
          <t>Rodrigo Ji:</t>
        </r>
        <r>
          <rPr>
            <sz val="9"/>
            <color indexed="81"/>
            <rFont val="Tahoma"/>
            <family val="2"/>
          </rPr>
          <t xml:space="preserve">
substitutes and alternatives to traditional wafer cleaning methods exist, however, wafer cleaning use less harsh chemicals, offer improved environmental impact, and can provide superior cleaning for advanced semiconductor processes.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Gonçalves</author>
    <author>Mariana zhu</author>
  </authors>
  <commentList>
    <comment ref="B12" authorId="0" shapeId="0" xr:uid="{7CE6FF38-0D27-4437-B646-DDF9AFE255E4}">
      <text>
        <r>
          <rPr>
            <b/>
            <sz val="9"/>
            <color indexed="81"/>
            <rFont val="Tahoma"/>
            <family val="2"/>
          </rPr>
          <t>Maria Gonçalves:</t>
        </r>
        <r>
          <rPr>
            <sz val="9"/>
            <color indexed="81"/>
            <rFont val="Tahoma"/>
            <family val="2"/>
          </rPr>
          <t xml:space="preserve">
The data used refers to ACM Research Shanghai Inc, as it is the most recent (2024), and the ESG report used is also from ACM Research Shanghai Inc.</t>
        </r>
      </text>
    </comment>
    <comment ref="I55" authorId="0" shapeId="0" xr:uid="{01D880D7-A3EE-4E14-95AF-ABDAB6E1B0EF}">
      <text>
        <r>
          <rPr>
            <b/>
            <sz val="9"/>
            <color indexed="81"/>
            <rFont val="Tahoma"/>
            <family val="2"/>
          </rPr>
          <t>Maria Gonçalves:</t>
        </r>
        <r>
          <rPr>
            <sz val="9"/>
            <color indexed="81"/>
            <rFont val="Tahoma"/>
            <family val="2"/>
          </rPr>
          <t xml:space="preserve">
IOS 45001 is and international standard for Occupational Health and Safety management systems.</t>
        </r>
      </text>
    </comment>
    <comment ref="K67" authorId="0" shapeId="0" xr:uid="{5AAC9716-F181-4811-ADAC-709C29861213}">
      <text>
        <r>
          <rPr>
            <b/>
            <sz val="9"/>
            <color indexed="81"/>
            <rFont val="Tahoma"/>
            <family val="2"/>
          </rPr>
          <t>Maria Gonçalves:</t>
        </r>
        <r>
          <rPr>
            <sz val="9"/>
            <color indexed="81"/>
            <rFont val="Tahoma"/>
            <family val="2"/>
          </rPr>
          <t xml:space="preserve">
Source: securities.standford.edu
</t>
        </r>
      </text>
    </comment>
    <comment ref="B73" authorId="1" shapeId="0" xr:uid="{661D121E-7B3D-5049-A91A-7A51743EF44F}">
      <text>
        <r>
          <rPr>
            <b/>
            <sz val="10"/>
            <color rgb="FF000000"/>
            <rFont val="Tahoma"/>
            <family val="2"/>
          </rPr>
          <t>Mariana zhu:</t>
        </r>
        <r>
          <rPr>
            <sz val="10"/>
            <color rgb="FF000000"/>
            <rFont val="Tahoma"/>
            <family val="2"/>
          </rPr>
          <t xml:space="preserve">
</t>
        </r>
        <r>
          <rPr>
            <sz val="10"/>
            <color rgb="FF000000"/>
            <rFont val="Tahoma"/>
            <family val="2"/>
          </rPr>
          <t xml:space="preserve">Founder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Gonçalves</author>
  </authors>
  <commentList>
    <comment ref="B12" authorId="0" shapeId="0" xr:uid="{0BF34BBF-C507-4727-BDE9-38B81E2CB316}">
      <text>
        <r>
          <rPr>
            <b/>
            <sz val="9"/>
            <color indexed="81"/>
            <rFont val="Tahoma"/>
            <family val="2"/>
          </rPr>
          <t>Maria Gonçalves:</t>
        </r>
        <r>
          <rPr>
            <sz val="9"/>
            <color indexed="81"/>
            <rFont val="Tahoma"/>
            <family val="2"/>
          </rPr>
          <t xml:space="preserve">
source: Trefis.com and annual report
</t>
        </r>
      </text>
    </comment>
    <comment ref="B20" authorId="0" shapeId="0" xr:uid="{5ADF5296-D1EB-4007-B4DA-21D55A3F543D}">
      <text>
        <r>
          <rPr>
            <b/>
            <sz val="9"/>
            <color indexed="81"/>
            <rFont val="Tahoma"/>
            <family val="2"/>
          </rPr>
          <t>Maria Gonçalves:</t>
        </r>
        <r>
          <rPr>
            <sz val="9"/>
            <color indexed="81"/>
            <rFont val="Tahoma"/>
            <family val="2"/>
          </rPr>
          <t xml:space="preserve">
source: annual report 2024 and 2022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Rodrigo Ji</author>
  </authors>
  <commentList>
    <comment ref="Z7" authorId="0" shapeId="0" xr:uid="{A0784EC7-7D5E-4F3C-951A-1EE820E09207}">
      <text>
        <r>
          <rPr>
            <b/>
            <sz val="9"/>
            <color indexed="81"/>
            <rFont val="Tahoma"/>
            <family val="2"/>
          </rPr>
          <t>Rodrigo Ji:</t>
        </r>
        <r>
          <rPr>
            <sz val="9"/>
            <color indexed="81"/>
            <rFont val="Tahoma"/>
            <family val="2"/>
          </rPr>
          <t xml:space="preserve">
the ones I wrote manually is eps growth of 2025 Q1</t>
        </r>
      </text>
    </comment>
    <comment ref="B15" authorId="0" shapeId="0" xr:uid="{D8825B61-CCDE-4A49-823D-758685189026}">
      <text>
        <r>
          <rPr>
            <b/>
            <sz val="9"/>
            <color indexed="81"/>
            <rFont val="Tahoma"/>
            <family val="2"/>
          </rPr>
          <t>Rodrigo Ji:</t>
        </r>
        <r>
          <rPr>
            <sz val="9"/>
            <color indexed="81"/>
            <rFont val="Tahoma"/>
            <family val="2"/>
          </rPr>
          <t xml:space="preserve">
Wafer Cleaning</t>
        </r>
      </text>
    </comment>
    <comment ref="B16" authorId="0" shapeId="0" xr:uid="{5F8373E5-E469-4B3E-9953-29AC2059E1FB}">
      <text>
        <r>
          <rPr>
            <b/>
            <sz val="9"/>
            <color indexed="81"/>
            <rFont val="Tahoma"/>
            <family val="2"/>
          </rPr>
          <t>Rodrigo Ji:</t>
        </r>
        <r>
          <rPr>
            <sz val="9"/>
            <color indexed="81"/>
            <rFont val="Tahoma"/>
            <family val="2"/>
          </rPr>
          <t xml:space="preserve">
Wafer cleaning and electro planting</t>
        </r>
      </text>
    </comment>
    <comment ref="B17" authorId="0" shapeId="0" xr:uid="{CBB2D853-79A0-45D4-8B22-5447C2FB3C07}">
      <text>
        <r>
          <rPr>
            <b/>
            <sz val="9"/>
            <color indexed="81"/>
            <rFont val="Tahoma"/>
            <family val="2"/>
          </rPr>
          <t>Rodrigo Ji:</t>
        </r>
        <r>
          <rPr>
            <sz val="9"/>
            <color indexed="81"/>
            <rFont val="Tahoma"/>
            <family val="2"/>
          </rPr>
          <t xml:space="preserve">
Wafer cleaning</t>
        </r>
      </text>
    </comment>
    <comment ref="G17" authorId="0" shapeId="0" xr:uid="{8B4EBFCD-DBCE-4D2B-9E86-F3D3E7155F16}">
      <text>
        <r>
          <rPr>
            <b/>
            <sz val="9"/>
            <color indexed="81"/>
            <rFont val="Tahoma"/>
            <family val="2"/>
          </rPr>
          <t>Rodrigo Ji:</t>
        </r>
        <r>
          <rPr>
            <sz val="9"/>
            <color indexed="81"/>
            <rFont val="Tahoma"/>
            <family val="2"/>
          </rPr>
          <t xml:space="preserve">
EV from 2024, end of march</t>
        </r>
      </text>
    </comment>
    <comment ref="T17" authorId="0" shapeId="0" xr:uid="{B60D5DF5-150A-4CD5-AB70-C7666FEBB273}">
      <text>
        <r>
          <rPr>
            <b/>
            <sz val="9"/>
            <color indexed="81"/>
            <rFont val="Tahoma"/>
            <family val="2"/>
          </rPr>
          <t>Rodrigo Ji:</t>
        </r>
        <r>
          <rPr>
            <sz val="9"/>
            <color indexed="81"/>
            <rFont val="Tahoma"/>
            <family val="2"/>
          </rPr>
          <t xml:space="preserve"> 03/31/2024</t>
        </r>
      </text>
    </comment>
    <comment ref="B18" authorId="0" shapeId="0" xr:uid="{12A1163E-733C-4AC5-9152-E0DA7E89844B}">
      <text>
        <r>
          <rPr>
            <b/>
            <sz val="9"/>
            <color indexed="81"/>
            <rFont val="Tahoma"/>
            <family val="2"/>
          </rPr>
          <t>Rodrigo Ji:</t>
        </r>
        <r>
          <rPr>
            <sz val="9"/>
            <color indexed="81"/>
            <rFont val="Tahoma"/>
            <family val="2"/>
          </rPr>
          <t xml:space="preserve">
PECVD and electroplanting</t>
        </r>
      </text>
    </comment>
    <comment ref="B19" authorId="0" shapeId="0" xr:uid="{507228BF-F163-4085-81DD-C162A1154506}">
      <text>
        <r>
          <rPr>
            <b/>
            <sz val="9"/>
            <color indexed="81"/>
            <rFont val="Tahoma"/>
            <family val="2"/>
          </rPr>
          <t>Rodrigo Ji:</t>
        </r>
        <r>
          <rPr>
            <sz val="9"/>
            <color indexed="81"/>
            <rFont val="Tahoma"/>
            <family val="2"/>
          </rPr>
          <t xml:space="preserve">
Track system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MARIANA LIU E ZHU</author>
  </authors>
  <commentList>
    <comment ref="B10" authorId="0" shapeId="0" xr:uid="{BC18FE1F-C1DC-414A-B5B8-1674D425BFA2}">
      <text>
        <r>
          <rPr>
            <sz val="11"/>
            <color rgb="FF000000"/>
            <rFont val="Arial"/>
            <family val="2"/>
          </rPr>
          <t xml:space="preserve">MARIANA LIU E ZHU:
</t>
        </r>
        <r>
          <rPr>
            <sz val="11"/>
            <color rgb="FF000000"/>
            <rFont val="Arial"/>
            <family val="2"/>
          </rPr>
          <t xml:space="preserve">14,3
</t>
        </r>
        <r>
          <rPr>
            <sz val="11"/>
            <color rgb="FF000000"/>
            <rFont val="Arial"/>
            <family val="2"/>
          </rPr>
          <t xml:space="preserve">
</t>
        </r>
        <r>
          <rPr>
            <sz val="11"/>
            <color rgb="FF000000"/>
            <rFont val="Arial"/>
            <family val="2"/>
          </rPr>
          <t xml:space="preserve">https://www.mordorintelligence.com/industry-reports/wafer-cleaning-equipment-market
</t>
        </r>
      </text>
    </comment>
    <comment ref="B11" authorId="0" shapeId="0" xr:uid="{D1104E79-675A-45E7-9B25-E8E13FFAD9C7}">
      <text>
        <r>
          <rPr>
            <b/>
            <sz val="9"/>
            <color indexed="81"/>
            <rFont val="Tahoma"/>
            <family val="2"/>
          </rPr>
          <t>MARIANA LIU E ZHU:</t>
        </r>
        <r>
          <rPr>
            <sz val="9"/>
            <color indexed="81"/>
            <rFont val="Tahoma"/>
            <family val="2"/>
          </rPr>
          <t xml:space="preserve">
4,4%
https://www.researchandmarkets.com/report/asia-pacific-electroplating-market
5.9%
https://reports.valuates.com/market-reports/QYRE-Auto-25S16978/global-semiconductor-furnace-equipement</t>
        </r>
      </text>
    </comment>
    <comment ref="B12" authorId="0" shapeId="0" xr:uid="{3EB98658-9EA9-4EDD-8A73-C0E96261237A}">
      <text>
        <r>
          <rPr>
            <sz val="11"/>
            <color rgb="FF000000"/>
            <rFont val="Arial"/>
            <family val="2"/>
          </rPr>
          <t xml:space="preserve">MARIANA LIU E ZHU:
</t>
        </r>
        <r>
          <rPr>
            <sz val="11"/>
            <color rgb="FF000000"/>
            <rFont val="Arial"/>
            <family val="2"/>
          </rPr>
          <t xml:space="preserve">5,7% - 2030
</t>
        </r>
        <r>
          <rPr>
            <sz val="11"/>
            <color rgb="FF000000"/>
            <rFont val="Arial"/>
            <family val="2"/>
          </rPr>
          <t xml:space="preserve">https://www.grandviewresearch.com/industry-analysis/advanced-packaging-market-report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MARIANA LIU E ZHU</author>
  </authors>
  <commentList>
    <comment ref="T29" authorId="0" shapeId="0" xr:uid="{1AD1D255-D6AE-42CD-9CBB-9E1AF4011C3E}">
      <text>
        <r>
          <rPr>
            <b/>
            <sz val="9"/>
            <color indexed="81"/>
            <rFont val="Tahoma"/>
            <family val="2"/>
          </rPr>
          <t>MARIANA LIU E ZHU:</t>
        </r>
        <r>
          <rPr>
            <sz val="9"/>
            <color indexed="81"/>
            <rFont val="Tahoma"/>
            <family val="2"/>
          </rPr>
          <t xml:space="preserve">
PPE
</t>
        </r>
      </text>
    </comment>
    <comment ref="Z29" authorId="0" shapeId="0" xr:uid="{2E80A920-9233-4373-BDD1-A8F6690B6752}">
      <text>
        <r>
          <rPr>
            <b/>
            <sz val="9"/>
            <color indexed="81"/>
            <rFont val="Tahoma"/>
            <family val="2"/>
          </rPr>
          <t>MARIANA LIU E ZHU:</t>
        </r>
        <r>
          <rPr>
            <sz val="9"/>
            <color indexed="81"/>
            <rFont val="Tahoma"/>
            <family val="2"/>
          </rPr>
          <t xml:space="preserve">
PPE and LT inevestments
</t>
        </r>
      </text>
    </comment>
    <comment ref="AF29" authorId="0" shapeId="0" xr:uid="{E40DDDBB-A9F7-46F9-B095-D3C312DEEDB7}">
      <text>
        <r>
          <rPr>
            <b/>
            <sz val="9"/>
            <color indexed="81"/>
            <rFont val="Tahoma"/>
            <family val="2"/>
          </rPr>
          <t>MARIANA LIU E ZHU:</t>
        </r>
        <r>
          <rPr>
            <sz val="9"/>
            <color indexed="81"/>
            <rFont val="Tahoma"/>
            <family val="2"/>
          </rPr>
          <t xml:space="preserve">
PPE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bloomberg-alunos</author>
    <author>Rodrigo Ji</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 ref="H20" authorId="1" shapeId="0" xr:uid="{454B183E-5589-4382-990D-6419288A6F15}">
      <text>
        <r>
          <rPr>
            <b/>
            <sz val="9"/>
            <color indexed="81"/>
            <rFont val="Tahoma"/>
            <family val="2"/>
          </rPr>
          <t>Rodrigo Ji:</t>
        </r>
        <r>
          <rPr>
            <sz val="9"/>
            <color indexed="81"/>
            <rFont val="Tahoma"/>
            <family val="2"/>
          </rPr>
          <t xml:space="preserve">
Companies that are involved with wafer, Onto Innovation is exposed to the same industry cycle and customer base, it is not involved with wafer but it is in the same industry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<sst xmlns="http://schemas.openxmlformats.org/spreadsheetml/2006/main" count="2106" uniqueCount="816">
  <si>
    <t>TODAY</t>
  </si>
  <si>
    <t>Analysts</t>
  </si>
  <si>
    <t>LIS – Equity Research</t>
  </si>
  <si>
    <t>Stock Performance</t>
  </si>
  <si>
    <r>
      <t>Mariana Zhu</t>
    </r>
    <r>
      <rPr>
        <sz val="11"/>
        <color rgb="FF000000"/>
        <rFont val="Arial Nova"/>
        <family val="2"/>
      </rPr>
      <t>, Co-Head of Equity Research</t>
    </r>
  </si>
  <si>
    <t>Recommendation:</t>
  </si>
  <si>
    <t>MSc in Mathematical Finance, ISEG – Ulisboa</t>
  </si>
  <si>
    <t>Target Price (FCFF):</t>
  </si>
  <si>
    <t>l63113@aln.iseg.ulisboa.pt</t>
  </si>
  <si>
    <t>Upside:</t>
  </si>
  <si>
    <r>
      <t>Maria Ana Rocha</t>
    </r>
    <r>
      <rPr>
        <sz val="11"/>
        <color theme="1"/>
        <rFont val="Arial Nova"/>
        <family val="2"/>
      </rPr>
      <t>, Analyst</t>
    </r>
  </si>
  <si>
    <t>BSc in Applied Mathematics, ISEG – Ulisboa</t>
  </si>
  <si>
    <t>Ticker</t>
  </si>
  <si>
    <t>maria.ana.rocha@aln.iseg.ulisboa.pt</t>
  </si>
  <si>
    <t>Stock Exchange</t>
  </si>
  <si>
    <r>
      <t>Rodrigo Ji</t>
    </r>
    <r>
      <rPr>
        <sz val="11"/>
        <color theme="1"/>
        <rFont val="Arial Nova"/>
        <family val="2"/>
      </rPr>
      <t>, Analyst</t>
    </r>
  </si>
  <si>
    <t>BSc in Economics, ISEG – Ulisboa</t>
  </si>
  <si>
    <t>Current Price</t>
  </si>
  <si>
    <t>l63970@aln.iseg.ulisboa.pt</t>
  </si>
  <si>
    <r>
      <rPr>
        <b/>
        <sz val="11"/>
        <color theme="1"/>
        <rFont val="Arial Nova"/>
        <family val="2"/>
      </rPr>
      <t>Maria Gonçalves</t>
    </r>
    <r>
      <rPr>
        <sz val="11"/>
        <color theme="1"/>
        <rFont val="Arial Nova"/>
        <family val="2"/>
      </rPr>
      <t>, Analyst</t>
    </r>
  </si>
  <si>
    <t>Beta</t>
  </si>
  <si>
    <t>% of 52-Week High</t>
  </si>
  <si>
    <t>l63847@aln.iseg.ulisboa.pt</t>
  </si>
  <si>
    <t>100-Day Moving Average</t>
  </si>
  <si>
    <t>Reviewed by:</t>
  </si>
  <si>
    <t>Avg Vol (1 month)</t>
  </si>
  <si>
    <r>
      <t>José Lima</t>
    </r>
    <r>
      <rPr>
        <sz val="11"/>
        <color theme="1"/>
        <rFont val="Arial Nova"/>
        <family val="2"/>
      </rPr>
      <t>, Vice President</t>
    </r>
  </si>
  <si>
    <t>Shares Outstanding (millions)</t>
  </si>
  <si>
    <t>BSc in Management, ISEG – Ulisboa</t>
  </si>
  <si>
    <t>% Float</t>
  </si>
  <si>
    <t>l60456@aln.iseg.ulisboa.pt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</si>
  <si>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</si>
  <si>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</si>
  <si>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</si>
  <si>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</si>
  <si>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</si>
  <si>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</si>
  <si>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</si>
  <si>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</si>
  <si>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</si>
  <si>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</si>
  <si>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Market Size</t>
  </si>
  <si>
    <t>Market Share</t>
  </si>
  <si>
    <t>Industry Driver</t>
  </si>
  <si>
    <t>Description</t>
  </si>
  <si>
    <t>Porter's Five Forces</t>
  </si>
  <si>
    <t xml:space="preserve">Subsidies </t>
  </si>
  <si>
    <t>Governments encouraging domestic semiconductor fabs with subsidies</t>
  </si>
  <si>
    <t>Growth tied to China</t>
  </si>
  <si>
    <t>China is the largest consumer of semiconductors. Adittionally, the Chinese government could intervene in ACM Shanghai’s operations, impose restrictions on foreign listings, or change audit and access requirements</t>
  </si>
  <si>
    <t>Market Expansion</t>
  </si>
  <si>
    <t xml:space="preserve"> The semiconductor industry is currently in a massive expansion phase, due to the rising demand in chips fueled by AI, data centres, and high-performance computing.</t>
  </si>
  <si>
    <t>Rising Complexity of chips</t>
  </si>
  <si>
    <t>As chips move toward smaller nodes, manufacturing steps become more complex, requiring more advanced cleaning.</t>
  </si>
  <si>
    <t>Sustainability &amp; ESG Pressures</t>
  </si>
  <si>
    <t>Push for greener manufacturing processes in semiconductors (reducing water, energy, and chemical usage) and increases demand for advanced, efficient equipment.</t>
  </si>
  <si>
    <t>Rivalry Among Existing Competitors</t>
  </si>
  <si>
    <t>Threat of New Entrants</t>
  </si>
  <si>
    <t>Threat of Substitutes</t>
  </si>
  <si>
    <t>Bargaining Power of Customers</t>
  </si>
  <si>
    <t>Bargaining Power of Suppliers</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</si>
  <si>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</si>
  <si>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</si>
  <si>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</si>
  <si>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</si>
  <si>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</si>
  <si>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</si>
  <si>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</si>
  <si>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</si>
  <si>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 xml:space="preserve">   Environmental</t>
  </si>
  <si>
    <t>-</t>
  </si>
  <si>
    <t xml:space="preserve">   Social</t>
  </si>
  <si>
    <t xml:space="preserve">   Governance &amp; Economic</t>
  </si>
  <si>
    <t>Sustainalytics</t>
  </si>
  <si>
    <t>20.5</t>
  </si>
  <si>
    <t>ISS ESG Corporate Rating</t>
  </si>
  <si>
    <t>D</t>
  </si>
  <si>
    <t xml:space="preserve">   SDG Impact Rating</t>
  </si>
  <si>
    <t xml:space="preserve">   Governance Quality Score</t>
  </si>
  <si>
    <t>MSCI ESG Ratings</t>
  </si>
  <si>
    <t>Key Info</t>
  </si>
  <si>
    <t>Environmental</t>
  </si>
  <si>
    <t>Overview</t>
  </si>
  <si>
    <t>Targets</t>
  </si>
  <si>
    <t>Improvements</t>
  </si>
  <si>
    <t>Comments</t>
  </si>
  <si>
    <t>GICS Sector</t>
  </si>
  <si>
    <t>Information Technology</t>
  </si>
  <si>
    <t>GHG Scope 1 Emissions</t>
  </si>
  <si>
    <t xml:space="preserve"> Annual greenhouse gas emissions accounting is conducted across all facilities, with full coverage to be achieved in 2025.</t>
  </si>
  <si>
    <t>In 2024,  ACM Research iniciated measures to reduce potencial climate risks associated with GHG emissions by procuring energy-efficient equipment and promoting energy conservation awareness among employess.</t>
  </si>
  <si>
    <t>Annual emissions surveys ensure timely compliance with regulatory requirements.</t>
  </si>
  <si>
    <t>GICS Industry Group</t>
  </si>
  <si>
    <t>Semiconductors &amp; Semiconductor Equipment</t>
  </si>
  <si>
    <t>GICS Industry</t>
  </si>
  <si>
    <t>Semiconductor Equipment &amp; Materials</t>
  </si>
  <si>
    <t>Water Consumption</t>
  </si>
  <si>
    <t>Long-term water resource management goals include achieving a 75% purification rate of the water system by 2030.</t>
  </si>
  <si>
    <t>In 2024, water management practices were enhanced through conservation signage and strengthened maintenance of water-related equipment, improving utilization efficiency.</t>
  </si>
  <si>
    <t>Improper water management or shortages have been identified as potencial operation risks, ongoing assessments are conducted to evaluate likelihood and impact.</t>
  </si>
  <si>
    <t>GICS Sub-Industry</t>
  </si>
  <si>
    <t>Energy Consumption</t>
  </si>
  <si>
    <t>Annual upgrades to production processes and equipment are implemented to reduce energy consmption and environmental pollution.</t>
  </si>
  <si>
    <t>In 2024, energy-saving measures such as awareness signage and optimized office air conditioning were introduced, contributing to reductions in consumption.</t>
  </si>
  <si>
    <t>Energy management strategies are in place to anticipate and address risks, impacts and opportunities associated with energy use.</t>
  </si>
  <si>
    <t>Headquarters</t>
  </si>
  <si>
    <t>Fremont, CA 94539
United States</t>
  </si>
  <si>
    <t>Numer of Employees</t>
  </si>
  <si>
    <t>Waste Management</t>
  </si>
  <si>
    <t>Strict compliance with hazardous and non-hazardous waste seperation requirements in maintained, with a zero-tolerance target to non-compliance incidents.</t>
  </si>
  <si>
    <t xml:space="preserve">A dedicated hazardous waste storage facility has been constructed in compliance with all appicable regulations and standards. </t>
  </si>
  <si>
    <t>N/A</t>
  </si>
  <si>
    <t>Annual Report</t>
  </si>
  <si>
    <t>Other</t>
  </si>
  <si>
    <t>Sustainability Report</t>
  </si>
  <si>
    <t>Recent Headlines</t>
  </si>
  <si>
    <t>Social</t>
  </si>
  <si>
    <t>Employee Turnover %</t>
  </si>
  <si>
    <t>Maintain a fair and supportive work environment by upholding employee rights and benefits, with the goal of improving employee retention and attractiong top talent.</t>
  </si>
  <si>
    <t>Extensive training programmes covering about 91.9% of employees, along with share-ownership incentives involving 4.4% of the workforce, serve as key retention mechanisms and provide a baseline for monitoring future improvements.</t>
  </si>
  <si>
    <t>The ESG Report highlights workplace practices and notes that over 75% of employees report being "Satisfeid" or "Very Satisfied". However, it doesn't look into the reasons behind staff turnover or set any goals for reducing it.</t>
  </si>
  <si>
    <t>ACM Research, Inc. (ACMR) Suffers a Larger Drop Than the General Market: Key Insights --Yahoo Finance -- 7/10/2025</t>
  </si>
  <si>
    <t>Salaries &amp; Compensation</t>
  </si>
  <si>
    <t>Ensure competitive and fair salaries with comprehensive compensation benefits to attract and retain top talent.</t>
  </si>
  <si>
    <t>A performance-driven culture is promoted through ongoing feedback and quaterly assessments, culminating in an annual review that guides salary adjustments, position changes and year-end bonuses for all employees.</t>
  </si>
  <si>
    <t>Year-on-year salary increases and target salary levels are not included in the ESG or Annual Report.</t>
  </si>
  <si>
    <t>ACM Research (NASDAQ:ACMR) Receives Hold (C+) Rating from Weiss Ratings -- MarketBeat.com -- 8/10/25</t>
  </si>
  <si>
    <t>Reputation</t>
  </si>
  <si>
    <t>Maintain and communicate an externally verified reputation score.</t>
  </si>
  <si>
    <t>The report documents multiple awards and customer recognitions and outlines active stakeholder communication channels.</t>
  </si>
  <si>
    <t xml:space="preserve">ACM Research’s Operating Subsidiary ACM Research (Shanghai) Provides Backlog Data -- Yahoo Finance -- 29/09/2025 </t>
  </si>
  <si>
    <t>Discrimination Events</t>
  </si>
  <si>
    <t>Maintain a zero-tolerance policy toward any form of discrimination, ensuring an inclusive and equitable work environment for all employees.</t>
  </si>
  <si>
    <t>Discrimination or biased actions based on race, color, religion, gender, nationality or any other characteristic protected by local laws and regulations are strictly prohibited.</t>
  </si>
  <si>
    <t>The report provides gender breakdowns (total workforce: male 1,706; female 296) and indicates female representation in senior management (40%).</t>
  </si>
  <si>
    <t>ACM Research (NASDAQ:ACMR) Trading Down 3.8% - What's Next? -- MarketBeat.com -- 3/10/2025</t>
  </si>
  <si>
    <t>Work Safety</t>
  </si>
  <si>
    <t>Clear occupational health and safety targets are set, including maintaining ISO 45001 certification and achieving certification for newer facilities within 2 years.</t>
  </si>
  <si>
    <t>In 2024, safety management systems were further enhanced, with strengthened safety drills and awareness training to achieve occupational health and safety targets.</t>
  </si>
  <si>
    <t>Damage to consumer health</t>
  </si>
  <si>
    <t>Maintain 100% third-party safety assessment before shipment for all product models.</t>
  </si>
  <si>
    <t>The report records zero major liability incidents related to product safety in 2024.</t>
  </si>
  <si>
    <t>Pension Plan</t>
  </si>
  <si>
    <t>Insurance coverage is detailed, showing 100% coverage for work injury and work safety liability insurance, along with the amounts invested.</t>
  </si>
  <si>
    <t>The company offers statutory and contribution-based pension plans only. No defined benefit or formal enhancement targets reported.</t>
  </si>
  <si>
    <t>Supply chain</t>
  </si>
  <si>
    <t>Implement regular audits to ensure compliance and foster long-term partnerships that align with ACM Research's sustainability goals.</t>
  </si>
  <si>
    <t>In 2024, the supllier base expanded to 1.154 in total (1.069 in Mainland China; 85 overseas), including 451 new suppliers. Supply-chain governance was stregthened by introducing transparent procurement, regular conferences and dedicated due-diligence channels.</t>
  </si>
  <si>
    <t>Supllier management and supply-chain security are highlighted, but the report lacks dislosure of supplier ESG KPIs or identification of major suppliers.</t>
  </si>
  <si>
    <t>Community involvement</t>
  </si>
  <si>
    <t>Strengthen community impact through charitable programs, volunteer initiatives, and partnerships that align with social responsibility goals.</t>
  </si>
  <si>
    <t>Charitable donations are disclosed (for example the participation in the "SMIC Liver Transplant Program") along with awards for social contribution</t>
  </si>
  <si>
    <t>Community involvement highlights contributions, but quantitative KPI's (total beneficiaries or hours volunteered) are not provided.</t>
  </si>
  <si>
    <t>Public Sector</t>
  </si>
  <si>
    <t>Maintain full compliance with all governmental and regulatory disclosure requirements, while expanding constructive engagement with public authorities.</t>
  </si>
  <si>
    <t>The 10-K confirms U.S. public listing status, majority owership of ACM Shanghai (~81.5%), and includes expanded disclosure on regulatory risks and interactions with government and regulatory bodies.</t>
  </si>
  <si>
    <t>Litigation</t>
  </si>
  <si>
    <t xml:space="preserve">No material litigation disclosed in the 2024 annual report.  </t>
  </si>
  <si>
    <t xml:space="preserve">ACM faced a securities class action lawsuit in 2020 over allegedly misleading financial statements. The case was dismissed in January 2022. </t>
  </si>
  <si>
    <t>Board of Directors</t>
  </si>
  <si>
    <t>Governance</t>
  </si>
  <si>
    <t>Name</t>
  </si>
  <si>
    <t>Position</t>
  </si>
  <si>
    <t>M/F  – Age</t>
  </si>
  <si>
    <t>David H. Wang</t>
  </si>
  <si>
    <t xml:space="preserve">Chairman, CEO and President </t>
  </si>
  <si>
    <t>M    63</t>
  </si>
  <si>
    <t>Diversity (Gender, Age, Industry, Region)</t>
  </si>
  <si>
    <t>Enhance board-level diversity in age, gender, nationality and expertise</t>
  </si>
  <si>
    <t>In 2025, a new independent director nominee was added, enhancing the board´s industry expertise diversity.</t>
  </si>
  <si>
    <t>Gender diversity is limited, only 1 woman in the board, and there is concentration in older age groups.</t>
  </si>
  <si>
    <t>Haiping Dun</t>
  </si>
  <si>
    <t>Lead Independent Director</t>
  </si>
  <si>
    <t>M    75</t>
  </si>
  <si>
    <t>Tracy Liu</t>
  </si>
  <si>
    <t xml:space="preserve">Independent Director  </t>
  </si>
  <si>
    <t>F     60</t>
  </si>
  <si>
    <t>% Independence</t>
  </si>
  <si>
    <t>Maintain a majority of independent directors on the Board, in line with Nasdaq listing standards, board and committee guidelines, applicable laws and regulation</t>
  </si>
  <si>
    <t>As of 2025, 80% of the board is independent, with the Founder being the only non-independent director.</t>
  </si>
  <si>
    <t>The company annually reviews independence and has categorical standards posted.</t>
  </si>
  <si>
    <t>Charles Pappis</t>
  </si>
  <si>
    <t xml:space="preserve">Independent Director </t>
  </si>
  <si>
    <t>M    64</t>
  </si>
  <si>
    <t>Chenming C. Hu</t>
  </si>
  <si>
    <t>Independent Director</t>
  </si>
  <si>
    <t>M    76</t>
  </si>
  <si>
    <t>Average time as independent directors</t>
  </si>
  <si>
    <t>Board refreshment in 2025 with the addition of a new independent director (Charles Pappis, 1 month tenure), balancing the long service of existing members.</t>
  </si>
  <si>
    <t>The  company does not disclose a formal refreshment or rotation schedule.</t>
  </si>
  <si>
    <t>Departures of C-level executives</t>
  </si>
  <si>
    <t>No departures of C-level executives were reported in 2024.</t>
  </si>
  <si>
    <t>A director, Chenming Hu, is not standing for re-election and Xiao Xing resigned from the board effective 15 November 2024.</t>
  </si>
  <si>
    <t>CEO/Chairman duality</t>
  </si>
  <si>
    <t>To mitigate risks associated with the concentrated leadership, the board maintains an Independent Lead Director.</t>
  </si>
  <si>
    <t>David H. Wang serves as the Chair of the Board, Chief Executive Officer and President.</t>
  </si>
  <si>
    <t>Transparency when reporting</t>
  </si>
  <si>
    <t>Maintain a 100% response rate to investor inquiries via the Shanghai Stock Exchange (SSE) e-interactive platform.</t>
  </si>
  <si>
    <t>ACM Shanghai improved transparency by achieving an A rating in the SSE 2023-2024 Information Disclosure Assessment.</t>
  </si>
  <si>
    <t>Transparency procedures include management review and approval by the Board of Directors before external disclosure.</t>
  </si>
  <si>
    <t>Time taken to report</t>
  </si>
  <si>
    <t>Maintain financial and ESG disclosures within 1.5-2 months after the fiscal year-end.</t>
  </si>
  <si>
    <t>Reporting timeline meets international standards.</t>
  </si>
  <si>
    <t>The Annual Report was released around two months after the fiscal year end. This timeframe is within industry norms (1.5-2 months)</t>
  </si>
  <si>
    <t>CEO or Chairman in other boards?</t>
  </si>
  <si>
    <t>Maintain compliance with governance guidelines to ensure directors are not classified as having excessive commitments.</t>
  </si>
  <si>
    <t xml:space="preserve">The CEO/Chairman holds no other public directorships listed in the provided director nominee table. </t>
  </si>
  <si>
    <t>No overboarding concerns identified; director's other commitments are disclosed and comply with governance guidelines.</t>
  </si>
  <si>
    <t>Audit / Consulting</t>
  </si>
  <si>
    <t xml:space="preserve">Achieve and maintain compliance with PCAOB inspection access requirement to avoid being placed on the SEC's Conclusive List. </t>
  </si>
  <si>
    <t xml:space="preserve">Audit Committee oversight improved with clearer disclosure of audit vs non-audit fees and confirmation of auditor independence despite higher total fees. </t>
  </si>
  <si>
    <t>ESG-compensation related</t>
  </si>
  <si>
    <t xml:space="preserve">No ESG-specific incentive metrics currently disclosed; compensation remains primarily based on financial and idividual performance. </t>
  </si>
  <si>
    <t>Management compensation schemes</t>
  </si>
  <si>
    <t>Maintain a balanced pay structure that links compensation to both company performance and long-term shareholder valuewhile ensuring governance compliance.</t>
  </si>
  <si>
    <t>Adoption of a clawback policy, aligning with a new SEC requirements and enhancing accountability.</t>
  </si>
  <si>
    <t>Compensation includes salary, discretionary bonuses, and stock options.</t>
  </si>
  <si>
    <t>Segments</t>
  </si>
  <si>
    <t>Products</t>
  </si>
  <si>
    <t>Q1</t>
  </si>
  <si>
    <t>Q2</t>
  </si>
  <si>
    <t>Q3</t>
  </si>
  <si>
    <t>Q4</t>
  </si>
  <si>
    <t>FY</t>
  </si>
  <si>
    <t>Revenue by segment:</t>
  </si>
  <si>
    <t>Single Wafer Cleaning,Tahoe and Semi- Critical Cleaning Equipment</t>
  </si>
  <si>
    <t>Electro-chemical plating (ECP) (front-end and packaging), Furnace and Other Technologies</t>
  </si>
  <si>
    <t>Advanced Packaging, Services &amp; Spares</t>
  </si>
  <si>
    <t>Total revenue</t>
  </si>
  <si>
    <t>Revenue by region:</t>
  </si>
  <si>
    <t xml:space="preserve">Mainland China </t>
  </si>
  <si>
    <t>Other Regions</t>
  </si>
  <si>
    <t xml:space="preserve">    </t>
  </si>
  <si>
    <t>Products:</t>
  </si>
  <si>
    <t>Product 1</t>
  </si>
  <si>
    <t>Product 2</t>
  </si>
  <si>
    <t>Product 3</t>
  </si>
  <si>
    <t>Product 4</t>
  </si>
  <si>
    <t>Product 5</t>
  </si>
  <si>
    <t>Notes &amp; Forecasts</t>
  </si>
  <si>
    <t>Shift toward advanced wafer cleaning</t>
  </si>
  <si>
    <t>Growing microchip complexity and shrinking node sizes are increasing the need for advanced single-wafer cleaning systems. New processes like plasma and cryogenic cleaning are gaining traction as they reduce chemical waste and improve precision. This trend supports long-term growth in high-end cleaning equipment demand.</t>
  </si>
  <si>
    <t>China's expanding semiconductor self-sufficiency</t>
  </si>
  <si>
    <t>Mainland China remains one of the biggest investors in semiconductor manufacturing equipment, helped by strong government support and expanding local factories. Despite export restrictions from other countries, China continues to invest heavily in older but reliable chip technologies.</t>
  </si>
  <si>
    <t>Diversification beyond cleaning tools</t>
  </si>
  <si>
    <t>ACM Research is gradually expanding beyond its core cleaning business into electro-chemical planting (ECP), furnace, and advanced packaging equipment. These new segments are gaining traction, supported by growing demand for advanced interconnect and packaging technologies. The shift should help reduce dependence on traditional cleaning tools and provide higher-margin growth opportunities over the next few years.</t>
  </si>
  <si>
    <t>Expansion into other regions</t>
  </si>
  <si>
    <t>Although currently small, ACM's non-China revenue is expected to increase gradually as the company qualifies tools with international customers and builds service capabilities abroad. Successful expansion into overseas markets would help mitigate geographic concentration risk and improve long-term valuation potencial.</t>
  </si>
  <si>
    <t>on</t>
  </si>
  <si>
    <t>Peers</t>
  </si>
  <si>
    <t>TIER I</t>
  </si>
  <si>
    <t>TIER II</t>
  </si>
  <si>
    <t>TIER III</t>
  </si>
  <si>
    <t>Growth</t>
  </si>
  <si>
    <t>ACM RESEARCH-A</t>
  </si>
  <si>
    <t>NAURA TECH GR -A</t>
  </si>
  <si>
    <t>LAM RESEARCH</t>
  </si>
  <si>
    <t>TOKYO ELECTRON</t>
  </si>
  <si>
    <t>APPLIED MATERIAL</t>
  </si>
  <si>
    <t>KINGSEMI CO LT-A</t>
  </si>
  <si>
    <t>SCREEN HOLDINGS</t>
  </si>
  <si>
    <t>SAMSUNG ELECTRON</t>
  </si>
  <si>
    <t>HIMAX TECHNO-ADR</t>
  </si>
  <si>
    <t>ENTEGRIS INC</t>
  </si>
  <si>
    <t>ONTO INNOVATION</t>
  </si>
  <si>
    <t>SK HYNIX INC</t>
  </si>
  <si>
    <t>TAIWAN SEMIC-ADR</t>
  </si>
  <si>
    <t>NVIDIA CORP</t>
  </si>
  <si>
    <t>QUALCOMM INC</t>
  </si>
  <si>
    <t>ADV MICRO DEVICE</t>
  </si>
  <si>
    <t>Revenue (LTM)</t>
  </si>
  <si>
    <t>Revenue (3-yr CAGR)</t>
  </si>
  <si>
    <t>Gross profit (LTM)</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</si>
  <si>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</si>
  <si>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</si>
  <si>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</si>
  <si>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</si>
  <si>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</si>
  <si>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</si>
  <si>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</si>
  <si>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</si>
  <si>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</si>
  <si>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</si>
  <si>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</si>
  <si>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</si>
  <si>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</si>
  <si>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</si>
  <si>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</si>
  <si>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</si>
  <si>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</si>
  <si>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</si>
  <si>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</si>
  <si>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</si>
  <si>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</si>
  <si>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</si>
  <si>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</si>
  <si>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</si>
  <si>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</si>
  <si>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</si>
  <si>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</si>
  <si>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</si>
  <si>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</si>
  <si>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</si>
  <si>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</si>
  <si>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</si>
  <si>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</si>
  <si>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</si>
  <si>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</si>
  <si>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</si>
  <si>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</si>
  <si>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</si>
  <si>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</si>
  <si>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</si>
  <si>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</si>
  <si>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</si>
  <si>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</si>
  <si>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</si>
  <si>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</si>
  <si>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</si>
  <si>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</si>
  <si>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</si>
  <si>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</si>
  <si>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</si>
  <si>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</si>
  <si>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</si>
  <si>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</si>
  <si>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</si>
  <si>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</si>
  <si>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</si>
  <si>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</si>
  <si>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#N/A</t>
  </si>
  <si>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</si>
  <si>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</si>
  <si>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</si>
  <si>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</si>
  <si>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</si>
  <si>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</si>
  <si>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</si>
  <si>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</si>
  <si>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</si>
  <si>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</si>
  <si>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</si>
  <si>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</si>
  <si>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</si>
  <si>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</si>
  <si>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</si>
  <si>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</si>
  <si>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</si>
  <si>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</si>
  <si>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</si>
  <si>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</si>
  <si>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</si>
  <si>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</si>
  <si>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</si>
  <si>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ACMR US</t>
  </si>
  <si>
    <t>USD 41,07</t>
  </si>
  <si>
    <t>Tier I: Wafer Cleaning, Electroplanting and PECVD equipment and Track system</t>
  </si>
  <si>
    <t>002371 CH</t>
  </si>
  <si>
    <t>CNY 458,05</t>
  </si>
  <si>
    <t>LRCX US</t>
  </si>
  <si>
    <t>USD 141</t>
  </si>
  <si>
    <t>8035 JT</t>
  </si>
  <si>
    <t>JPY 29700</t>
  </si>
  <si>
    <t>AMAT US</t>
  </si>
  <si>
    <t>USD 220,3</t>
  </si>
  <si>
    <t>688037 CH</t>
  </si>
  <si>
    <t>CNY 150,1</t>
  </si>
  <si>
    <t>Mean</t>
  </si>
  <si>
    <t>Median</t>
  </si>
  <si>
    <t>Tier II: Related to Wafer</t>
  </si>
  <si>
    <t>7735 JT</t>
  </si>
  <si>
    <t>JPY 14295</t>
  </si>
  <si>
    <t>005930 KS</t>
  </si>
  <si>
    <t>KRW 89000</t>
  </si>
  <si>
    <t>HIMX US</t>
  </si>
  <si>
    <t>USD 8,94</t>
  </si>
  <si>
    <t>ENTG US</t>
  </si>
  <si>
    <t>USD 94,23</t>
  </si>
  <si>
    <t>ONTO US</t>
  </si>
  <si>
    <t>USD 136,6</t>
  </si>
  <si>
    <t>Tier III: Semiconductors Industry</t>
  </si>
  <si>
    <t>000660 KS</t>
  </si>
  <si>
    <t>KRW 395500</t>
  </si>
  <si>
    <t>TSM US</t>
  </si>
  <si>
    <t>USD 292,19</t>
  </si>
  <si>
    <t>NVDA US</t>
  </si>
  <si>
    <t>USD 187,62</t>
  </si>
  <si>
    <t>QCOM US</t>
  </si>
  <si>
    <t>USD 169,18</t>
  </si>
  <si>
    <t>AMD US</t>
  </si>
  <si>
    <t>USD 164,67</t>
  </si>
  <si>
    <t>Overall</t>
  </si>
  <si>
    <t>Low</t>
  </si>
  <si>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</si>
  <si>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</si>
  <si>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</si>
  <si>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</si>
  <si>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</si>
  <si>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</si>
  <si>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Korea and United States</t>
  </si>
  <si>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</si>
  <si>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</si>
  <si>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</si>
  <si>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</si>
  <si>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</si>
  <si>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</si>
  <si>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</si>
  <si>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</si>
  <si>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</si>
  <si>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</si>
  <si>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</si>
  <si>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</si>
  <si>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</si>
  <si>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</si>
  <si>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</si>
  <si>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</si>
  <si>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</si>
  <si>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</si>
  <si>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</si>
  <si>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</si>
  <si>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</si>
  <si>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</si>
  <si>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</si>
  <si>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</si>
  <si>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</si>
  <si>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Market Assumptions</t>
  </si>
  <si>
    <t>ECP, Furnace &amp; Other Technologies</t>
  </si>
  <si>
    <t>Single Wafer Cleaning,Tahoe and Semi- Critical Cleaning Equipment %</t>
  </si>
  <si>
    <t>ECP, Furnace &amp; Other Technologies %</t>
  </si>
  <si>
    <t>Advanced Packaging, Services &amp; Spares %</t>
  </si>
  <si>
    <t>FCFF</t>
  </si>
  <si>
    <t>Revenue Growth</t>
  </si>
  <si>
    <t>Income Statement</t>
  </si>
  <si>
    <t>Revenue</t>
  </si>
  <si>
    <t>% of growth</t>
  </si>
  <si>
    <t>Cost of Goods &amp; Services</t>
  </si>
  <si>
    <t>% of sales</t>
  </si>
  <si>
    <t>COGS Depreciation &amp; Amortization</t>
  </si>
  <si>
    <t>% of cost of goods &amp; services</t>
  </si>
  <si>
    <t>Gross Profit</t>
  </si>
  <si>
    <t>The</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</si>
  <si>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</si>
  <si>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</si>
  <si>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</si>
  <si>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</si>
  <si>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</si>
  <si>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</si>
  <si>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</si>
  <si>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</si>
  <si>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</si>
  <si>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</si>
  <si>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</si>
  <si>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</si>
  <si>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</si>
  <si>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</si>
  <si>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</si>
  <si>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</si>
  <si>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</si>
  <si>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</si>
  <si>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</si>
  <si>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</si>
  <si>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</si>
  <si>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</si>
  <si>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</si>
  <si>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</si>
  <si>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</si>
  <si>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</si>
  <si>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</si>
  <si>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</si>
  <si>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</si>
  <si>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</si>
  <si>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</si>
  <si>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</si>
  <si>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</si>
  <si>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</si>
  <si>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</si>
  <si>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</si>
  <si>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</si>
  <si>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</si>
  <si>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</si>
  <si>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</si>
  <si>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</si>
  <si>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</si>
  <si>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</si>
  <si>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</si>
  <si>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</si>
  <si>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</si>
  <si>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</si>
  <si>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</si>
  <si>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</si>
  <si>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</si>
  <si>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</si>
  <si>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</si>
  <si>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</si>
  <si>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</si>
  <si>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</si>
  <si>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</si>
  <si>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</si>
  <si>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</si>
  <si>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</si>
  <si>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</si>
  <si>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</si>
  <si>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</si>
  <si>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</si>
  <si>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</si>
  <si>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</si>
  <si>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</si>
  <si>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 of NOPAT</t>
  </si>
  <si>
    <t>Repurchase of Stock</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</si>
  <si>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</si>
  <si>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</si>
  <si>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</si>
  <si>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</si>
  <si>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</si>
  <si>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</si>
  <si>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</si>
  <si>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</si>
  <si>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</si>
  <si>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</si>
  <si>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</si>
  <si>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</si>
  <si>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</si>
  <si>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</si>
  <si>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</si>
  <si>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</si>
  <si>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</si>
  <si>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</si>
  <si>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</si>
  <si>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</si>
  <si>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</si>
  <si>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</si>
  <si>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</si>
  <si>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</si>
  <si>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</si>
  <si>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</si>
  <si>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</si>
  <si>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</si>
  <si>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</si>
  <si>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</si>
  <si>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</si>
  <si>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</si>
  <si>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</si>
  <si>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</si>
  <si>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</si>
  <si>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</si>
  <si>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</si>
  <si>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</si>
  <si>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</si>
  <si>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</si>
  <si>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</si>
  <si>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</si>
  <si>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</si>
  <si>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</si>
  <si>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</si>
  <si>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</si>
  <si>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</si>
  <si>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</si>
  <si>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</si>
  <si>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</si>
  <si>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</si>
  <si>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</si>
  <si>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</si>
  <si>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</si>
  <si>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</si>
  <si>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</si>
  <si>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</si>
  <si>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</si>
  <si>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</si>
  <si>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</si>
  <si>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</si>
  <si>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</si>
  <si>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</si>
  <si>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</si>
  <si>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Operating Assumptions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</si>
  <si>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</si>
  <si>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</si>
  <si>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</si>
  <si>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</si>
  <si>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</si>
  <si>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</si>
  <si>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</si>
  <si>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</si>
  <si>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</si>
  <si>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</si>
  <si>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</si>
  <si>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</si>
  <si>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</si>
  <si>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</si>
  <si>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</si>
  <si>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</si>
  <si>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</si>
  <si>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</si>
  <si>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</si>
  <si>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</si>
  <si>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</si>
  <si>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</si>
  <si>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</si>
  <si>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</si>
  <si>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</si>
  <si>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</si>
  <si>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</si>
  <si>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</si>
  <si>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</si>
  <si>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</si>
  <si>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</si>
  <si>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</si>
  <si>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</si>
  <si>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Δ</t>
  </si>
  <si>
    <t>Δ Applied</t>
  </si>
  <si>
    <t>PT Low</t>
  </si>
  <si>
    <t>PT High</t>
  </si>
  <si>
    <t>Δ Low</t>
  </si>
  <si>
    <t>Δ High</t>
  </si>
  <si>
    <t>Max</t>
  </si>
  <si>
    <t>Capex Intensity</t>
  </si>
  <si>
    <t>COGS Margin</t>
  </si>
  <si>
    <t>SG&amp;A Margin</t>
  </si>
  <si>
    <t>Historical VaR </t>
  </si>
  <si>
    <t>Parametric VaR </t>
  </si>
  <si>
    <t>Monte Carlos VaR  -Yearly</t>
  </si>
  <si>
    <t>Confidence Level 95.0%</t>
  </si>
  <si>
    <t>Terminal g</t>
  </si>
  <si>
    <t>Confidence Level 99.0%</t>
  </si>
  <si>
    <t>EBITDA Exit</t>
  </si>
  <si>
    <t>Revenue:</t>
  </si>
  <si>
    <t>Segment 1</t>
  </si>
  <si>
    <t>Segment 2</t>
  </si>
  <si>
    <t>Segment 3</t>
  </si>
  <si>
    <t>Segment 4</t>
  </si>
  <si>
    <t>Segment 5</t>
  </si>
  <si>
    <t>#N/A Start Date</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</si>
  <si>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</si>
  <si>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</si>
  <si>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</si>
  <si>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</si>
  <si>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</si>
  <si>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</si>
  <si>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</si>
  <si>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</si>
  <si>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</si>
  <si>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</si>
  <si>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</si>
  <si>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</si>
  <si>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</si>
  <si>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</si>
  <si>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</si>
  <si>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</si>
  <si>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</si>
  <si>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</si>
  <si>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</si>
  <si>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</si>
  <si>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</si>
  <si>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</si>
  <si>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</si>
  <si>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</si>
  <si>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</si>
  <si>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</si>
  <si>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</si>
  <si>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</si>
  <si>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</si>
  <si>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</si>
  <si>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</si>
  <si>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</si>
  <si>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</si>
  <si>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</si>
  <si>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</si>
  <si>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</si>
  <si>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</si>
  <si>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</si>
  <si>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</si>
  <si>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</si>
  <si>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</si>
  <si>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</si>
  <si>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</si>
  <si>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</si>
  <si>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</si>
  <si>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</si>
  <si>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</si>
  <si>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</si>
  <si>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</si>
  <si>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</si>
  <si>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</si>
  <si>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</si>
  <si>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</si>
  <si>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</si>
  <si>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</si>
  <si>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</si>
  <si>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</si>
  <si>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</si>
  <si>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</si>
  <si>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</si>
  <si>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</si>
  <si>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</si>
  <si>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</si>
  <si>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</si>
  <si>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</si>
  <si>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</si>
  <si>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</si>
  <si>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</si>
  <si>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</si>
  <si>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</si>
  <si>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</si>
  <si>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</si>
  <si>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</si>
  <si>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</si>
  <si>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</si>
  <si>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</si>
  <si>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</si>
  <si>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</si>
  <si>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</si>
  <si>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</si>
  <si>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</si>
  <si>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</si>
  <si>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</si>
  <si>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</si>
  <si>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</si>
  <si>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</si>
  <si>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</si>
  <si>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</si>
  <si>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</si>
  <si>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</si>
  <si>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</si>
  <si>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</si>
  <si>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</si>
  <si>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</si>
  <si>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</si>
  <si>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</si>
  <si>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</si>
  <si>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</si>
  <si>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</si>
  <si>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 xml:space="preserve"> </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</si>
  <si>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</si>
  <si>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</si>
  <si>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</si>
  <si>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</si>
  <si>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</si>
  <si>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</si>
  <si>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</si>
  <si>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</si>
  <si>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</si>
  <si>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</si>
  <si>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</si>
  <si>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</si>
  <si>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</si>
  <si>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ndx Index</t>
  </si>
  <si>
    <t>FORMAT</t>
  </si>
  <si>
    <t>MLN</t>
  </si>
  <si>
    <t>(+) Preferred Stock Market Capitalization</t>
  </si>
  <si>
    <t>EV / EBITDA</t>
  </si>
  <si>
    <t>Sox index</t>
  </si>
  <si>
    <t>TICKER</t>
  </si>
  <si>
    <t>ACMR US Equity</t>
  </si>
  <si>
    <t>(+) Non-controlling Interest</t>
  </si>
  <si>
    <t>P / E</t>
  </si>
  <si>
    <t>PREFERRED TICKER</t>
  </si>
  <si>
    <t>(+) Total Debt</t>
  </si>
  <si>
    <t>P / Sales</t>
  </si>
  <si>
    <t>Peers Formatting</t>
  </si>
  <si>
    <t>Year-end</t>
  </si>
  <si>
    <t>(-) Cash &amp; Cash Equivalents &amp; Short-term Investments</t>
  </si>
  <si>
    <t>Quarter-end</t>
  </si>
  <si>
    <t>Tier I Peers</t>
  </si>
  <si>
    <t>Tier II Peers</t>
  </si>
  <si>
    <t>Tier III Peers</t>
  </si>
  <si>
    <t>002371 CH Equity</t>
  </si>
  <si>
    <t>AMAT US Equity</t>
  </si>
  <si>
    <t>000660 KS Equity</t>
  </si>
  <si>
    <t>LRCX US Equity</t>
  </si>
  <si>
    <t>688037 CH Equity</t>
  </si>
  <si>
    <t>TSM US Equity</t>
  </si>
  <si>
    <t>8035 JT Equity</t>
  </si>
  <si>
    <t>HIMX US Equity</t>
  </si>
  <si>
    <t>NVDA US Equity</t>
  </si>
  <si>
    <t>7735 JT Equity</t>
  </si>
  <si>
    <t>ENTG US Equity</t>
  </si>
  <si>
    <t>QCOM US Equity</t>
  </si>
  <si>
    <t>005930 KS Equity</t>
  </si>
  <si>
    <t>Onto US Equity</t>
  </si>
  <si>
    <t>AMD US Equity</t>
  </si>
  <si>
    <t>Stock Returns vs Peers</t>
  </si>
  <si>
    <t>Out. Shares</t>
  </si>
  <si>
    <t>Market Cap</t>
  </si>
  <si>
    <t>Price / Sales</t>
  </si>
  <si>
    <t>Operating Income</t>
  </si>
  <si>
    <t>Capex</t>
  </si>
  <si>
    <t>Debt to Equity</t>
  </si>
  <si>
    <t>Operating Margin</t>
  </si>
  <si>
    <t>ROIC-to-WACC</t>
  </si>
  <si>
    <t>Capex-to-Sales</t>
  </si>
  <si>
    <t>Environmental Data</t>
  </si>
  <si>
    <t>GHG_SCOPE_1</t>
  </si>
  <si>
    <t>ENERGY_CONSUMPTION</t>
  </si>
  <si>
    <t>WATER_CONSMPTN</t>
  </si>
  <si>
    <t>Total Waste</t>
  </si>
  <si>
    <t>TOTAL_WASTE</t>
  </si>
  <si>
    <t>SALES_REV_TURN</t>
  </si>
  <si>
    <t>vs Index</t>
  </si>
  <si>
    <t>Stock Price</t>
  </si>
  <si>
    <t>Stock Returns</t>
  </si>
  <si>
    <t>Volume</t>
  </si>
  <si>
    <t>002371 CH EQUITY</t>
  </si>
  <si>
    <t>LRCX US EQUITY</t>
  </si>
  <si>
    <t>8035 JT EQUITY</t>
  </si>
  <si>
    <t>7735 JT EQUITY</t>
  </si>
  <si>
    <t>EQY_BETA</t>
  </si>
  <si>
    <t>RSI_PX_52WEEK</t>
  </si>
  <si>
    <t>MOV_AVG_100D</t>
  </si>
  <si>
    <t>VOLUME_AVG_30D</t>
  </si>
  <si>
    <t>EQY_SH_OUT</t>
  </si>
  <si>
    <t>EQY_FREE_FLOAT_PCT</t>
  </si>
  <si>
    <t>SI_PERCENT_EQUITY_FLOAT</t>
  </si>
  <si>
    <t>%Held by Insiders</t>
  </si>
  <si>
    <t>PCT_INSIDER_SHARES_OUT</t>
  </si>
  <si>
    <t>PCT_FLT_SHARES_INSTITUTIONS</t>
  </si>
  <si>
    <t>Year</t>
  </si>
  <si>
    <t>Strong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</si>
</sst>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00.00"/>
    <numFmt numFmtId="178" formatCode="yyyy\-mm\-dd;@"/>
    <numFmt numFmtId="179" formatCode="#,##0.0"/>
    <numFmt numFmtId="180" formatCode="#,##0.0000000"/>
    <numFmt numFmtId="181" formatCode="_-[$$-409]* #,##0.00_ ;_-[$$-409]* \-#,##0.00\ ;_-[$$-409]* &quot;-&quot;??_ ;_-@_ "/>
    <numFmt numFmtId="182" formatCode="0.00000%"/>
  </numFmts>
  <fonts count="92" x14ac:knownFonts="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1"/>
      <color rgb="FF00000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sz val="11"/>
      <color rgb="FFFFC000"/>
      <name val="Arial Nova"/>
      <family val="2"/>
    </font>
    <font>
      <sz val="11"/>
      <color theme="6" tint="-0.249977111117893"/>
      <name val="Arial Nova"/>
      <family val="2"/>
    </font>
    <font>
      <sz val="11"/>
      <color rgb="FFFFFF00"/>
      <name val="Arial Nova"/>
      <family val="2"/>
    </font>
    <font>
      <i/>
      <sz val="10"/>
      <color indexed="8"/>
      <name val="Arial"/>
      <family val="2"/>
    </font>
    <font>
      <sz val="14"/>
      <color rgb="FF000000"/>
      <name val="Arial"/>
      <family val="2"/>
    </font>
    <font>
      <b/>
      <sz val="10"/>
      <color rgb="FF000000"/>
      <name val="Tahoma"/>
      <family val="2"/>
    </font>
    <font>
      <sz val="10"/>
      <color rgb="FF000000"/>
      <name val="Tahoma"/>
      <family val="2"/>
    </font>
  </fonts>
  <fills count="20">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FF"/>
        <bgColor indexed="64"/>
      </patternFill>
    </fill>
  </fills>
  <borders count="30">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indexed="64"/>
      </left>
      <right style="thin">
        <color indexed="64"/>
      </right>
      <top/>
      <bottom/>
      <diagonal/>
    </border>
  </borders>
  <cellStyleXfs count="15">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xf numFmtId="179" fontId="88" fillId="19" borderId="29">
      <alignment horizontal="right"/>
    </xf>
  </cellStyleXfs>
  <cellXfs count="808">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9" fontId="0" fillId="0" borderId="0" xfId="0" applyNumberForma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1" borderId="0" xfId="0" applyFont="1" applyFill="1"/>
    <xf numFmtId="0" fontId="28" fillId="11" borderId="0" xfId="0" applyFont="1" applyFill="1"/>
    <xf numFmtId="0" fontId="37" fillId="2" borderId="0" xfId="0" applyFont="1" applyFill="1" applyAlignment="1">
      <alignment horizontal="right"/>
    </xf>
    <xf numFmtId="0" fontId="0" fillId="11"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0" applyNumberFormat="1" applyFont="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3" borderId="0" xfId="1" applyNumberFormat="1" applyFont="1" applyFill="1" applyProtection="1">
      <protection locked="0"/>
    </xf>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0" fontId="45" fillId="0" borderId="0" xfId="0" applyFont="1" applyProtection="1">
      <protection locked="0"/>
    </xf>
    <xf numFmtId="0" fontId="15" fillId="0" borderId="0" xfId="0" applyFont="1" applyAlignment="1" applyProtection="1">
      <alignment horizontal="left" indent="1"/>
      <protection locked="0"/>
    </xf>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1" borderId="0" xfId="0" applyFont="1" applyFill="1" applyProtection="1">
      <protection locked="0"/>
    </xf>
    <xf numFmtId="165" fontId="16" fillId="11" borderId="0" xfId="0" applyNumberFormat="1" applyFont="1" applyFill="1" applyProtection="1">
      <protection locked="0"/>
    </xf>
    <xf numFmtId="165" fontId="16" fillId="11" borderId="0" xfId="0" applyNumberFormat="1" applyFont="1" applyFill="1"/>
    <xf numFmtId="166" fontId="16" fillId="11" borderId="0" xfId="0" applyNumberFormat="1" applyFont="1" applyFill="1" applyProtection="1">
      <protection locked="0"/>
    </xf>
    <xf numFmtId="166" fontId="16" fillId="11"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1" borderId="0" xfId="0" applyFont="1" applyFill="1" applyAlignment="1" applyProtection="1">
      <alignment horizontal="left" indent="1"/>
      <protection locked="0"/>
    </xf>
    <xf numFmtId="37" fontId="27" fillId="11" borderId="0" xfId="0" applyNumberFormat="1" applyFont="1" applyFill="1" applyProtection="1">
      <protection locked="0"/>
    </xf>
    <xf numFmtId="37" fontId="27" fillId="11" borderId="0" xfId="1" applyNumberFormat="1" applyFont="1" applyFill="1" applyBorder="1" applyProtection="1">
      <protection locked="0"/>
    </xf>
    <xf numFmtId="37" fontId="27" fillId="11" borderId="0" xfId="1" applyNumberFormat="1" applyFont="1" applyFill="1" applyBorder="1" applyProtection="1"/>
    <xf numFmtId="37" fontId="39" fillId="11" borderId="0" xfId="0" applyNumberFormat="1" applyFont="1" applyFill="1" applyProtection="1">
      <protection locked="0"/>
    </xf>
    <xf numFmtId="37" fontId="39" fillId="11" borderId="0" xfId="1" applyNumberFormat="1" applyFont="1" applyFill="1" applyBorder="1" applyProtection="1">
      <protection locked="0"/>
    </xf>
    <xf numFmtId="37" fontId="39" fillId="11" borderId="0" xfId="1" applyNumberFormat="1" applyFont="1" applyFill="1" applyBorder="1" applyProtection="1"/>
    <xf numFmtId="3" fontId="27" fillId="11"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1" borderId="0" xfId="0" applyFont="1" applyFill="1" applyProtection="1">
      <protection locked="0"/>
    </xf>
    <xf numFmtId="0" fontId="34" fillId="11" borderId="0" xfId="0" applyFont="1" applyFill="1" applyProtection="1">
      <protection locked="0"/>
    </xf>
    <xf numFmtId="0" fontId="28" fillId="3" borderId="0" xfId="0" applyFont="1" applyFill="1" applyProtection="1">
      <protection locked="0"/>
    </xf>
    <xf numFmtId="0" fontId="34" fillId="12" borderId="7" xfId="0" applyFont="1" applyFill="1" applyBorder="1" applyProtection="1">
      <protection locked="0"/>
    </xf>
    <xf numFmtId="0" fontId="34" fillId="12" borderId="19" xfId="0" applyFont="1" applyFill="1" applyBorder="1" applyAlignment="1" applyProtection="1">
      <alignment horizontal="left" indent="1"/>
      <protection locked="0"/>
    </xf>
    <xf numFmtId="0" fontId="34" fillId="12"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2"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2" borderId="7" xfId="0" applyNumberFormat="1" applyFont="1" applyFill="1" applyBorder="1" applyProtection="1">
      <protection locked="0"/>
    </xf>
    <xf numFmtId="168" fontId="23" fillId="9" borderId="4" xfId="2" applyNumberFormat="1" applyFont="1" applyFill="1" applyBorder="1" applyProtection="1">
      <protection locked="0"/>
    </xf>
    <xf numFmtId="168" fontId="28" fillId="0" borderId="0" xfId="0" applyNumberFormat="1" applyFont="1" applyProtection="1">
      <protection locked="0"/>
    </xf>
    <xf numFmtId="168" fontId="25"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3" fillId="9" borderId="4" xfId="0" applyNumberFormat="1" applyFont="1" applyFill="1" applyBorder="1" applyProtection="1">
      <protection locked="0"/>
    </xf>
    <xf numFmtId="175" fontId="27" fillId="0" borderId="0" xfId="0" applyNumberFormat="1" applyFont="1" applyProtection="1">
      <protection locked="0"/>
    </xf>
    <xf numFmtId="175" fontId="27" fillId="0" borderId="0" xfId="0" applyNumberFormat="1" applyFont="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175" fontId="25" fillId="0" borderId="0" xfId="0" applyNumberFormat="1" applyFont="1" applyProtection="1">
      <protection locked="0"/>
    </xf>
    <xf numFmtId="39" fontId="25" fillId="0" borderId="0" xfId="0"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3" borderId="0" xfId="0" applyFont="1" applyFill="1"/>
    <xf numFmtId="170" fontId="2" fillId="0" borderId="0" xfId="0" applyNumberFormat="1" applyFont="1"/>
    <xf numFmtId="0" fontId="4" fillId="13" borderId="0" xfId="0" applyFont="1" applyFill="1"/>
    <xf numFmtId="0" fontId="2" fillId="13"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1"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1" borderId="0" xfId="0" applyFont="1" applyFill="1" applyProtection="1">
      <protection locked="0"/>
    </xf>
    <xf numFmtId="0" fontId="35" fillId="11" borderId="0" xfId="0" applyFont="1" applyFill="1"/>
    <xf numFmtId="165" fontId="37" fillId="11" borderId="0" xfId="0" applyNumberFormat="1" applyFont="1" applyFill="1" applyProtection="1">
      <protection locked="0"/>
    </xf>
    <xf numFmtId="165" fontId="37" fillId="11"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1" borderId="0" xfId="5" applyFont="1" applyFill="1" applyAlignment="1">
      <alignment vertical="center"/>
    </xf>
    <xf numFmtId="0" fontId="43" fillId="11"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0" fontId="53" fillId="0" borderId="0" xfId="5" applyFont="1" applyAlignment="1">
      <alignment vertical="center"/>
    </xf>
    <xf numFmtId="14" fontId="53" fillId="0" borderId="0" xfId="5" applyNumberFormat="1" applyFont="1" applyAlignment="1">
      <alignment horizontal="right" vertical="center"/>
    </xf>
    <xf numFmtId="0" fontId="6" fillId="9" borderId="21" xfId="13" applyFont="1" applyFill="1" applyBorder="1"/>
    <xf numFmtId="0" fontId="54"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5"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1" borderId="0" xfId="0" applyFont="1" applyFill="1"/>
    <xf numFmtId="0" fontId="35" fillId="0" borderId="0" xfId="0" applyFont="1"/>
    <xf numFmtId="0" fontId="37" fillId="11" borderId="0" xfId="0" applyFont="1" applyFill="1"/>
    <xf numFmtId="0" fontId="56" fillId="0" borderId="0" xfId="0" applyFont="1"/>
    <xf numFmtId="37" fontId="38" fillId="0" borderId="0" xfId="0" applyNumberFormat="1" applyFont="1"/>
    <xf numFmtId="168" fontId="26" fillId="10" borderId="4" xfId="2" applyNumberFormat="1" applyFont="1" applyFill="1" applyBorder="1"/>
    <xf numFmtId="9" fontId="26" fillId="10" borderId="4" xfId="2" applyFont="1" applyFill="1" applyBorder="1"/>
    <xf numFmtId="172" fontId="26" fillId="10" borderId="18" xfId="0" applyNumberFormat="1" applyFont="1" applyFill="1" applyBorder="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10" borderId="4" xfId="0" applyNumberFormat="1" applyFont="1" applyFill="1" applyBorder="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7" fillId="12" borderId="7" xfId="2" applyNumberFormat="1" applyFont="1" applyFill="1" applyBorder="1" applyAlignment="1">
      <alignment horizontal="center"/>
    </xf>
    <xf numFmtId="0" fontId="57" fillId="12" borderId="7" xfId="0" applyFont="1" applyFill="1" applyBorder="1"/>
    <xf numFmtId="10" fontId="24" fillId="12" borderId="7" xfId="2" applyNumberFormat="1" applyFont="1" applyFill="1" applyBorder="1"/>
    <xf numFmtId="10" fontId="24" fillId="12"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1" borderId="0" xfId="0" applyFont="1" applyFill="1" applyAlignment="1">
      <alignment horizontal="left" indent="1"/>
    </xf>
    <xf numFmtId="10" fontId="27" fillId="11" borderId="0" xfId="2" applyNumberFormat="1" applyFont="1" applyFill="1" applyAlignment="1">
      <alignment horizontal="center"/>
    </xf>
    <xf numFmtId="4" fontId="39" fillId="11" borderId="0" xfId="0" applyNumberFormat="1" applyFont="1" applyFill="1"/>
    <xf numFmtId="2" fontId="27" fillId="11"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8" fillId="0" borderId="0" xfId="1" applyNumberFormat="1" applyFont="1"/>
    <xf numFmtId="0" fontId="59" fillId="0" borderId="0" xfId="0" applyFont="1"/>
    <xf numFmtId="0" fontId="58"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1"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1" borderId="0" xfId="0" applyFont="1" applyFill="1"/>
    <xf numFmtId="169" fontId="38" fillId="0" borderId="0" xfId="1" applyNumberFormat="1" applyFont="1"/>
    <xf numFmtId="168" fontId="60" fillId="0" borderId="0" xfId="2" applyNumberFormat="1" applyFont="1"/>
    <xf numFmtId="0" fontId="61"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1"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2" fillId="3" borderId="13" xfId="2" applyNumberFormat="1" applyFont="1" applyFill="1" applyBorder="1"/>
    <xf numFmtId="37" fontId="34" fillId="12" borderId="17" xfId="0" applyNumberFormat="1" applyFont="1" applyFill="1" applyBorder="1" applyProtection="1">
      <protection locked="0"/>
    </xf>
    <xf numFmtId="0" fontId="33" fillId="12" borderId="19" xfId="0" applyFont="1" applyFill="1" applyBorder="1" applyAlignment="1">
      <alignment horizontal="left" indent="1"/>
    </xf>
    <xf numFmtId="0" fontId="33" fillId="12" borderId="7" xfId="0" applyFont="1" applyFill="1" applyBorder="1"/>
    <xf numFmtId="0" fontId="33" fillId="12" borderId="7" xfId="0" applyFont="1" applyFill="1" applyBorder="1" applyProtection="1">
      <protection locked="0"/>
    </xf>
    <xf numFmtId="0" fontId="33" fillId="12" borderId="17" xfId="0" applyFont="1" applyFill="1" applyBorder="1"/>
    <xf numFmtId="37" fontId="33" fillId="12" borderId="7" xfId="0" applyNumberFormat="1" applyFont="1" applyFill="1" applyBorder="1" applyProtection="1">
      <protection locked="0"/>
    </xf>
    <xf numFmtId="175"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3"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0" fontId="34" fillId="0" borderId="0" xfId="0" applyFont="1" applyAlignment="1">
      <alignment horizontal="left" wrapText="1" indent="1"/>
    </xf>
    <xf numFmtId="168" fontId="25" fillId="0" borderId="0" xfId="2" applyNumberFormat="1" applyFont="1"/>
    <xf numFmtId="0" fontId="64" fillId="0" borderId="0" xfId="0" applyFont="1" applyAlignment="1">
      <alignment horizontal="left" indent="1"/>
    </xf>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7" fillId="0" borderId="0" xfId="3" applyFont="1" applyAlignment="1">
      <alignment horizontal="left" indent="1"/>
    </xf>
    <xf numFmtId="0" fontId="65" fillId="0" borderId="0" xfId="3" applyFont="1" applyBorder="1" applyAlignment="1">
      <alignment horizontal="right"/>
    </xf>
    <xf numFmtId="170" fontId="8" fillId="0" borderId="0" xfId="0" applyNumberFormat="1" applyFont="1"/>
    <xf numFmtId="0" fontId="70"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9" fillId="0" borderId="0" xfId="0" applyFont="1"/>
    <xf numFmtId="0" fontId="55" fillId="2" borderId="0" xfId="0" applyFont="1" applyFill="1" applyAlignment="1">
      <alignment horizontal="left"/>
    </xf>
    <xf numFmtId="0" fontId="71" fillId="11" borderId="0" xfId="0" applyFont="1" applyFill="1"/>
    <xf numFmtId="0" fontId="72" fillId="0" borderId="0" xfId="0" applyFont="1"/>
    <xf numFmtId="0" fontId="71" fillId="0" borderId="0" xfId="0" applyFont="1"/>
    <xf numFmtId="0" fontId="73"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7" fillId="0" borderId="0" xfId="3" applyFont="1" applyAlignment="1">
      <alignment horizontal="left" vertical="top" indent="1"/>
    </xf>
    <xf numFmtId="0" fontId="34" fillId="0" borderId="0" xfId="0" applyFont="1" applyAlignment="1">
      <alignment horizontal="left" vertical="center" wrapText="1" indent="1"/>
    </xf>
    <xf numFmtId="0" fontId="8" fillId="15" borderId="0" xfId="0" applyFont="1" applyFill="1"/>
    <xf numFmtId="0" fontId="50" fillId="11" borderId="0" xfId="0" applyFont="1" applyFill="1"/>
    <xf numFmtId="0" fontId="15" fillId="11" borderId="0" xfId="0" applyFont="1" applyFill="1" applyProtection="1">
      <protection locked="0"/>
    </xf>
    <xf numFmtId="0" fontId="15" fillId="11" borderId="0" xfId="0" applyFont="1" applyFill="1"/>
    <xf numFmtId="0" fontId="33" fillId="11" borderId="0" xfId="0" applyFont="1" applyFill="1" applyProtection="1">
      <protection locked="0"/>
    </xf>
    <xf numFmtId="0" fontId="8" fillId="11" borderId="0" xfId="0" applyFont="1" applyFill="1"/>
    <xf numFmtId="0" fontId="28" fillId="16" borderId="0" xfId="0" applyFont="1" applyFill="1"/>
    <xf numFmtId="9" fontId="28" fillId="0" borderId="0" xfId="2" applyFont="1" applyAlignment="1">
      <alignment horizontal="center"/>
    </xf>
    <xf numFmtId="176" fontId="28" fillId="0" borderId="0" xfId="2" applyNumberFormat="1" applyFont="1" applyAlignment="1">
      <alignment horizontal="center"/>
    </xf>
    <xf numFmtId="9" fontId="8" fillId="0" borderId="0" xfId="2" applyFont="1"/>
    <xf numFmtId="2" fontId="81" fillId="0" borderId="0" xfId="0" applyNumberFormat="1" applyFont="1"/>
    <xf numFmtId="168" fontId="81" fillId="0" borderId="0" xfId="2" applyNumberFormat="1" applyFont="1"/>
    <xf numFmtId="0" fontId="81" fillId="0" borderId="0" xfId="0" applyFont="1"/>
    <xf numFmtId="3" fontId="81" fillId="0" borderId="0" xfId="0" applyNumberFormat="1" applyFont="1"/>
    <xf numFmtId="0" fontId="82" fillId="0" borderId="0" xfId="0" applyFont="1" applyAlignment="1">
      <alignment horizontal="right"/>
    </xf>
    <xf numFmtId="0" fontId="37" fillId="16" borderId="0" xfId="0" applyFont="1" applyFill="1"/>
    <xf numFmtId="177" fontId="28" fillId="0" borderId="0" xfId="2" applyNumberFormat="1" applyFont="1" applyAlignment="1">
      <alignment horizontal="center"/>
    </xf>
    <xf numFmtId="0" fontId="43" fillId="16" borderId="0" xfId="5" applyFont="1" applyFill="1" applyAlignment="1">
      <alignment vertical="center"/>
    </xf>
    <xf numFmtId="0" fontId="27" fillId="16" borderId="0" xfId="5" applyFont="1" applyFill="1" applyAlignment="1">
      <alignment vertical="center"/>
    </xf>
    <xf numFmtId="0" fontId="28" fillId="11" borderId="0" xfId="0" applyFont="1" applyFill="1" applyAlignment="1">
      <alignment horizontal="left" indent="1"/>
    </xf>
    <xf numFmtId="0" fontId="37" fillId="16" borderId="0" xfId="0" applyFont="1" applyFill="1" applyAlignment="1">
      <alignment horizontal="left"/>
    </xf>
    <xf numFmtId="0" fontId="68" fillId="16"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73" fontId="26" fillId="9" borderId="4" xfId="0" applyNumberFormat="1" applyFont="1" applyFill="1" applyBorder="1" applyProtection="1">
      <protection locked="0"/>
    </xf>
    <xf numFmtId="168" fontId="27" fillId="0" borderId="0" xfId="0" applyNumberFormat="1" applyFont="1" applyProtection="1">
      <protection locked="0"/>
    </xf>
    <xf numFmtId="173" fontId="27" fillId="0" borderId="0" xfId="0" applyNumberFormat="1" applyFont="1" applyProtection="1">
      <protection locked="0"/>
    </xf>
    <xf numFmtId="178" fontId="8" fillId="11" borderId="0" xfId="0" applyNumberFormat="1" applyFont="1" applyFill="1"/>
    <xf numFmtId="178" fontId="5" fillId="11"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7" borderId="19"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0" fontId="83"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2" borderId="14" xfId="0" applyFont="1" applyFill="1" applyBorder="1"/>
    <xf numFmtId="0" fontId="28" fillId="12" borderId="9" xfId="0" applyFont="1" applyFill="1" applyBorder="1"/>
    <xf numFmtId="172" fontId="34" fillId="12" borderId="9" xfId="0" applyNumberFormat="1" applyFont="1" applyFill="1" applyBorder="1"/>
    <xf numFmtId="172" fontId="34" fillId="12" borderId="28" xfId="0" applyNumberFormat="1" applyFont="1" applyFill="1" applyBorder="1"/>
    <xf numFmtId="168" fontId="34" fillId="12" borderId="9" xfId="2" applyNumberFormat="1" applyFont="1" applyFill="1" applyBorder="1"/>
    <xf numFmtId="0" fontId="28" fillId="12" borderId="28" xfId="0" applyFont="1" applyFill="1" applyBorder="1"/>
    <xf numFmtId="0" fontId="34" fillId="12" borderId="15" xfId="0" applyFont="1" applyFill="1" applyBorder="1"/>
    <xf numFmtId="0" fontId="28" fillId="12" borderId="1" xfId="0" applyFont="1" applyFill="1" applyBorder="1"/>
    <xf numFmtId="172" fontId="34" fillId="12" borderId="1" xfId="0" applyNumberFormat="1" applyFont="1" applyFill="1" applyBorder="1"/>
    <xf numFmtId="172" fontId="34" fillId="12" borderId="26" xfId="0" applyNumberFormat="1" applyFont="1" applyFill="1" applyBorder="1"/>
    <xf numFmtId="168" fontId="34" fillId="12" borderId="1" xfId="2" applyNumberFormat="1" applyFont="1" applyFill="1" applyBorder="1"/>
    <xf numFmtId="0" fontId="28" fillId="12" borderId="26" xfId="0" applyFont="1" applyFill="1" applyBorder="1"/>
    <xf numFmtId="0" fontId="28" fillId="0" borderId="26" xfId="0" applyFont="1" applyBorder="1"/>
    <xf numFmtId="9" fontId="28" fillId="12" borderId="12" xfId="0" applyNumberFormat="1" applyFont="1" applyFill="1" applyBorder="1"/>
    <xf numFmtId="9" fontId="28" fillId="12" borderId="13" xfId="0" applyNumberFormat="1" applyFont="1" applyFill="1" applyBorder="1"/>
    <xf numFmtId="14" fontId="28" fillId="0" borderId="0" xfId="0" applyNumberFormat="1" applyFont="1"/>
    <xf numFmtId="14" fontId="35" fillId="2" borderId="0" xfId="0" applyNumberFormat="1" applyFont="1" applyFill="1"/>
    <xf numFmtId="14" fontId="28" fillId="11"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8"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2" borderId="19" xfId="0" applyNumberFormat="1" applyFont="1" applyFill="1" applyBorder="1" applyAlignment="1">
      <alignment horizontal="left" indent="1"/>
    </xf>
    <xf numFmtId="10" fontId="34" fillId="12"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8"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8" fontId="39" fillId="0" borderId="1" xfId="2" applyNumberFormat="1" applyFont="1" applyFill="1" applyBorder="1"/>
    <xf numFmtId="10" fontId="28" fillId="9" borderId="4" xfId="2" applyNumberFormat="1" applyFont="1" applyFill="1" applyBorder="1"/>
    <xf numFmtId="0" fontId="34" fillId="12" borderId="19" xfId="0" applyFont="1" applyFill="1" applyBorder="1" applyAlignment="1">
      <alignment horizontal="left" indent="1"/>
    </xf>
    <xf numFmtId="0" fontId="28" fillId="12" borderId="7" xfId="0" applyFont="1" applyFill="1" applyBorder="1"/>
    <xf numFmtId="10" fontId="34" fillId="12" borderId="7" xfId="2" applyNumberFormat="1" applyFont="1" applyFill="1" applyBorder="1"/>
    <xf numFmtId="10" fontId="34" fillId="12" borderId="17" xfId="2" applyNumberFormat="1" applyFont="1" applyFill="1" applyBorder="1"/>
    <xf numFmtId="9" fontId="28" fillId="0" borderId="0" xfId="0" applyNumberFormat="1" applyFont="1"/>
    <xf numFmtId="0" fontId="28" fillId="17" borderId="7" xfId="0" applyFont="1" applyFill="1" applyBorder="1"/>
    <xf numFmtId="10" fontId="34" fillId="17" borderId="7" xfId="2" applyNumberFormat="1" applyFont="1" applyFill="1" applyBorder="1"/>
    <xf numFmtId="10" fontId="34" fillId="17" borderId="17" xfId="2" applyNumberFormat="1" applyFont="1" applyFill="1" applyBorder="1"/>
    <xf numFmtId="0" fontId="35" fillId="0" borderId="0" xfId="0" applyFont="1" applyAlignment="1" applyProtection="1">
      <alignment wrapText="1"/>
      <protection locked="0"/>
    </xf>
    <xf numFmtId="0" fontId="28" fillId="0" borderId="0" xfId="0" applyFont="1" applyAlignment="1">
      <alignment wrapText="1"/>
    </xf>
    <xf numFmtId="37" fontId="27" fillId="3" borderId="0" xfId="0" applyNumberFormat="1" applyFont="1" applyFill="1" applyAlignment="1" applyProtection="1">
      <alignment wrapText="1"/>
      <protection locked="0"/>
    </xf>
    <xf numFmtId="37" fontId="27" fillId="0" borderId="0" xfId="1" applyNumberFormat="1" applyFont="1" applyFill="1" applyAlignment="1" applyProtection="1">
      <alignment wrapText="1"/>
      <protection locked="0"/>
    </xf>
    <xf numFmtId="37" fontId="27" fillId="0" borderId="0" xfId="0" applyNumberFormat="1" applyFont="1" applyAlignment="1">
      <alignment wrapText="1"/>
    </xf>
    <xf numFmtId="37" fontId="27" fillId="0" borderId="3" xfId="1" applyNumberFormat="1" applyFont="1" applyFill="1" applyBorder="1" applyAlignment="1" applyProtection="1">
      <alignment wrapText="1"/>
    </xf>
    <xf numFmtId="37" fontId="39" fillId="3" borderId="0" xfId="0" applyNumberFormat="1" applyFont="1" applyFill="1" applyAlignment="1" applyProtection="1">
      <alignment wrapText="1"/>
      <protection locked="0"/>
    </xf>
    <xf numFmtId="37" fontId="27" fillId="0" borderId="0" xfId="1" applyNumberFormat="1" applyFont="1" applyFill="1" applyAlignment="1" applyProtection="1">
      <alignment wrapText="1"/>
    </xf>
    <xf numFmtId="37" fontId="39" fillId="0" borderId="0" xfId="1" applyNumberFormat="1" applyFont="1" applyFill="1" applyAlignment="1" applyProtection="1">
      <alignment wrapText="1"/>
    </xf>
    <xf numFmtId="3" fontId="27" fillId="0" borderId="0" xfId="0" applyNumberFormat="1" applyFont="1" applyAlignment="1" applyProtection="1">
      <alignment wrapText="1"/>
      <protection locked="0"/>
    </xf>
    <xf numFmtId="49" fontId="28" fillId="0" borderId="0" xfId="0" applyNumberFormat="1" applyFont="1" applyAlignment="1" applyProtection="1">
      <alignment horizontal="left" vertical="center" wrapText="1"/>
      <protection locked="0"/>
    </xf>
    <xf numFmtId="0" fontId="28" fillId="0" borderId="0" xfId="0" applyFont="1" applyAlignment="1" applyProtection="1">
      <alignment horizontal="left" vertical="center" wrapText="1"/>
      <protection locked="0"/>
    </xf>
    <xf numFmtId="3" fontId="0" fillId="0" borderId="0" xfId="0" applyNumberFormat="1"/>
    <xf numFmtId="3" fontId="27" fillId="0" borderId="0" xfId="1" applyNumberFormat="1" applyFont="1" applyFill="1" applyProtection="1">
      <protection locked="0"/>
    </xf>
    <xf numFmtId="3" fontId="0" fillId="0" borderId="0" xfId="0" applyNumberFormat="1" applyAlignment="1">
      <alignment horizontal="right"/>
    </xf>
    <xf numFmtId="0" fontId="28" fillId="0" borderId="0" xfId="0" applyFont="1" applyAlignment="1">
      <alignment horizontal="left" vertical="center" wrapText="1"/>
    </xf>
    <xf numFmtId="9" fontId="26" fillId="0" borderId="0" xfId="2" applyFont="1" applyAlignment="1">
      <alignment horizontal="center"/>
    </xf>
    <xf numFmtId="37" fontId="27" fillId="3" borderId="0" xfId="2" applyNumberFormat="1" applyFont="1" applyFill="1" applyProtection="1">
      <protection locked="0"/>
    </xf>
    <xf numFmtId="37" fontId="27" fillId="3" borderId="0" xfId="2" applyNumberFormat="1" applyFont="1" applyFill="1" applyBorder="1" applyAlignment="1" applyProtection="1">
      <alignment wrapText="1"/>
      <protection locked="0"/>
    </xf>
    <xf numFmtId="37" fontId="27" fillId="3" borderId="0" xfId="2" applyNumberFormat="1" applyFont="1" applyFill="1" applyAlignment="1" applyProtection="1">
      <alignment wrapText="1"/>
      <protection locked="0"/>
    </xf>
    <xf numFmtId="37" fontId="39" fillId="4" borderId="0" xfId="1" applyNumberFormat="1" applyFont="1" applyFill="1" applyBorder="1" applyProtection="1">
      <protection locked="0"/>
    </xf>
    <xf numFmtId="37" fontId="27" fillId="4" borderId="0" xfId="2" applyNumberFormat="1" applyFont="1" applyFill="1" applyProtection="1">
      <protection locked="0"/>
    </xf>
    <xf numFmtId="37" fontId="27" fillId="4" borderId="0" xfId="1" applyNumberFormat="1" applyFont="1" applyFill="1" applyProtection="1">
      <protection locked="0"/>
    </xf>
    <xf numFmtId="37" fontId="27" fillId="4" borderId="0" xfId="0" applyNumberFormat="1" applyFont="1" applyFill="1" applyProtection="1">
      <protection locked="0"/>
    </xf>
    <xf numFmtId="37" fontId="27" fillId="4" borderId="0" xfId="2" applyNumberFormat="1" applyFont="1" applyFill="1" applyAlignment="1" applyProtection="1">
      <alignment wrapText="1"/>
      <protection locked="0"/>
    </xf>
    <xf numFmtId="37" fontId="27" fillId="4" borderId="1" xfId="0" applyNumberFormat="1" applyFont="1" applyFill="1" applyBorder="1" applyProtection="1">
      <protection locked="0"/>
    </xf>
    <xf numFmtId="37" fontId="27" fillId="4" borderId="7" xfId="0" applyNumberFormat="1" applyFont="1" applyFill="1" applyBorder="1" applyProtection="1">
      <protection locked="0"/>
    </xf>
    <xf numFmtId="37" fontId="27" fillId="4" borderId="0" xfId="0" applyNumberFormat="1" applyFont="1" applyFill="1" applyAlignment="1" applyProtection="1">
      <alignment wrapText="1"/>
      <protection locked="0"/>
    </xf>
    <xf numFmtId="3" fontId="27" fillId="4" borderId="0" xfId="0" applyNumberFormat="1" applyFont="1" applyFill="1" applyProtection="1">
      <protection locked="0"/>
    </xf>
    <xf numFmtId="0" fontId="28" fillId="4" borderId="0" xfId="0" applyFont="1" applyFill="1" applyProtection="1">
      <protection locked="0"/>
    </xf>
    <xf numFmtId="39" fontId="27" fillId="4" borderId="0" xfId="0" applyNumberFormat="1" applyFont="1" applyFill="1" applyProtection="1">
      <protection locked="0"/>
    </xf>
    <xf numFmtId="175" fontId="27" fillId="4" borderId="0" xfId="0" applyNumberFormat="1" applyFont="1" applyFill="1" applyProtection="1">
      <protection locked="0"/>
    </xf>
    <xf numFmtId="37" fontId="39" fillId="4" borderId="0" xfId="1" applyNumberFormat="1" applyFont="1" applyFill="1" applyProtection="1">
      <protection locked="0"/>
    </xf>
    <xf numFmtId="37" fontId="27" fillId="0" borderId="0" xfId="1" applyNumberFormat="1" applyFont="1" applyProtection="1">
      <protection locked="0"/>
    </xf>
    <xf numFmtId="0" fontId="86" fillId="0" borderId="0" xfId="3" applyFont="1" applyAlignment="1">
      <alignment horizontal="left" vertical="top" indent="1"/>
    </xf>
    <xf numFmtId="1" fontId="28" fillId="0" borderId="0" xfId="0" applyNumberFormat="1" applyFont="1" applyProtection="1">
      <protection locked="0"/>
    </xf>
    <xf numFmtId="1" fontId="28" fillId="0" borderId="0" xfId="0" applyNumberFormat="1" applyFont="1"/>
    <xf numFmtId="168" fontId="23" fillId="9" borderId="4" xfId="2" applyNumberFormat="1" applyFont="1" applyFill="1" applyBorder="1" applyAlignment="1" applyProtection="1">
      <alignment wrapText="1"/>
      <protection locked="0"/>
    </xf>
    <xf numFmtId="37" fontId="58" fillId="3" borderId="0" xfId="2" applyNumberFormat="1" applyFont="1" applyFill="1" applyBorder="1" applyProtection="1">
      <protection locked="0"/>
    </xf>
    <xf numFmtId="37" fontId="58" fillId="3" borderId="0" xfId="0" applyNumberFormat="1" applyFont="1" applyFill="1" applyProtection="1">
      <protection locked="0"/>
    </xf>
    <xf numFmtId="0" fontId="20" fillId="4" borderId="0" xfId="0" applyFont="1" applyFill="1" applyAlignment="1">
      <alignment horizontal="left" indent="1"/>
    </xf>
    <xf numFmtId="0" fontId="60" fillId="4" borderId="0" xfId="0" applyFont="1" applyFill="1"/>
    <xf numFmtId="37" fontId="58" fillId="4" borderId="0" xfId="0" applyNumberFormat="1" applyFont="1" applyFill="1" applyProtection="1">
      <protection locked="0"/>
    </xf>
    <xf numFmtId="37" fontId="58" fillId="4" borderId="0" xfId="0" applyNumberFormat="1" applyFont="1" applyFill="1"/>
    <xf numFmtId="37" fontId="58" fillId="4" borderId="0" xfId="1" applyNumberFormat="1" applyFont="1" applyFill="1" applyBorder="1" applyProtection="1"/>
    <xf numFmtId="37" fontId="58" fillId="4" borderId="3" xfId="1" applyNumberFormat="1" applyFont="1" applyFill="1" applyBorder="1" applyProtection="1"/>
    <xf numFmtId="37" fontId="58" fillId="4" borderId="0" xfId="1" applyNumberFormat="1" applyFont="1" applyFill="1" applyBorder="1" applyProtection="1">
      <protection locked="0"/>
    </xf>
    <xf numFmtId="3" fontId="58" fillId="4" borderId="0" xfId="0" applyNumberFormat="1" applyFont="1" applyFill="1" applyProtection="1">
      <protection locked="0"/>
    </xf>
    <xf numFmtId="179" fontId="88" fillId="19" borderId="29" xfId="14">
      <alignment horizontal="right"/>
    </xf>
    <xf numFmtId="168" fontId="28" fillId="0" borderId="0" xfId="0" applyNumberFormat="1" applyFont="1"/>
    <xf numFmtId="0" fontId="15" fillId="4" borderId="0" xfId="0" applyFont="1" applyFill="1" applyAlignment="1">
      <alignment horizontal="left" indent="1"/>
    </xf>
    <xf numFmtId="37" fontId="39" fillId="4" borderId="0" xfId="0" applyNumberFormat="1" applyFont="1" applyFill="1" applyProtection="1">
      <protection locked="0"/>
    </xf>
    <xf numFmtId="0" fontId="28" fillId="4" borderId="3" xfId="0" applyFont="1" applyFill="1" applyBorder="1"/>
    <xf numFmtId="37" fontId="28" fillId="4" borderId="0" xfId="0" applyNumberFormat="1" applyFont="1" applyFill="1" applyProtection="1">
      <protection locked="0"/>
    </xf>
    <xf numFmtId="37" fontId="25" fillId="4" borderId="0" xfId="0" applyNumberFormat="1" applyFont="1" applyFill="1" applyProtection="1">
      <protection locked="0"/>
    </xf>
    <xf numFmtId="168" fontId="24" fillId="4" borderId="0" xfId="2" applyNumberFormat="1" applyFont="1" applyFill="1" applyProtection="1">
      <protection locked="0"/>
    </xf>
    <xf numFmtId="37" fontId="27" fillId="4" borderId="0" xfId="1" applyNumberFormat="1" applyFont="1" applyFill="1" applyBorder="1" applyProtection="1">
      <protection locked="0"/>
    </xf>
    <xf numFmtId="9" fontId="24" fillId="3" borderId="0" xfId="2" applyFont="1" applyFill="1" applyProtection="1">
      <protection locked="0"/>
    </xf>
    <xf numFmtId="9" fontId="24" fillId="0" borderId="0" xfId="2" applyFont="1" applyProtection="1">
      <protection locked="0"/>
    </xf>
    <xf numFmtId="9" fontId="28" fillId="0" borderId="3" xfId="0" applyNumberFormat="1" applyFont="1" applyBorder="1"/>
    <xf numFmtId="1" fontId="39" fillId="3" borderId="0" xfId="0" applyNumberFormat="1" applyFont="1" applyFill="1" applyProtection="1">
      <protection locked="0"/>
    </xf>
    <xf numFmtId="1" fontId="23" fillId="9" borderId="4" xfId="2" applyNumberFormat="1" applyFont="1" applyFill="1" applyBorder="1" applyProtection="1">
      <protection locked="0"/>
    </xf>
    <xf numFmtId="1" fontId="27" fillId="0" borderId="0" xfId="1" applyNumberFormat="1" applyFont="1" applyFill="1" applyBorder="1" applyProtection="1">
      <protection locked="0"/>
    </xf>
    <xf numFmtId="180" fontId="27" fillId="0" borderId="0" xfId="0" applyNumberFormat="1" applyFont="1" applyProtection="1">
      <protection locked="0"/>
    </xf>
    <xf numFmtId="37" fontId="26" fillId="0" borderId="0" xfId="1" applyNumberFormat="1" applyFont="1" applyAlignment="1">
      <alignment horizontal="right" wrapText="1"/>
    </xf>
    <xf numFmtId="9" fontId="26" fillId="0" borderId="0" xfId="2" applyFont="1"/>
    <xf numFmtId="172" fontId="26" fillId="0" borderId="0" xfId="1" applyNumberFormat="1" applyFont="1" applyAlignment="1">
      <alignment horizontal="right"/>
    </xf>
    <xf numFmtId="173" fontId="26" fillId="0" borderId="0" xfId="2" applyNumberFormat="1" applyFont="1" applyAlignment="1">
      <alignment horizontal="center"/>
    </xf>
    <xf numFmtId="37" fontId="34" fillId="12" borderId="7" xfId="0" applyNumberFormat="1" applyFont="1" applyFill="1" applyBorder="1" applyAlignment="1" applyProtection="1">
      <alignment wrapText="1"/>
      <protection locked="0"/>
    </xf>
    <xf numFmtId="2" fontId="28" fillId="0" borderId="0" xfId="0" applyNumberFormat="1" applyFont="1" applyAlignment="1" applyProtection="1">
      <alignment wrapText="1"/>
      <protection locked="0"/>
    </xf>
    <xf numFmtId="168" fontId="24" fillId="3" borderId="0" xfId="2" applyNumberFormat="1" applyFont="1" applyFill="1" applyAlignment="1" applyProtection="1">
      <alignment wrapText="1"/>
      <protection locked="0"/>
    </xf>
    <xf numFmtId="37" fontId="38" fillId="3" borderId="0" xfId="0" applyNumberFormat="1" applyFont="1" applyFill="1" applyAlignment="1" applyProtection="1">
      <alignment wrapText="1"/>
      <protection locked="0"/>
    </xf>
    <xf numFmtId="1" fontId="27" fillId="0" borderId="0" xfId="1" applyNumberFormat="1" applyFont="1" applyFill="1" applyBorder="1" applyAlignment="1" applyProtection="1">
      <alignment wrapText="1"/>
      <protection locked="0"/>
    </xf>
    <xf numFmtId="175" fontId="25" fillId="4" borderId="0" xfId="0" applyNumberFormat="1" applyFont="1" applyFill="1" applyProtection="1">
      <protection locked="0"/>
    </xf>
    <xf numFmtId="0" fontId="34" fillId="4" borderId="0" xfId="0" applyFont="1" applyFill="1" applyProtection="1">
      <protection locked="0"/>
    </xf>
    <xf numFmtId="170" fontId="28" fillId="0" borderId="0" xfId="0" applyNumberFormat="1" applyFont="1"/>
    <xf numFmtId="37" fontId="27" fillId="4" borderId="0" xfId="0" applyNumberFormat="1" applyFont="1" applyFill="1"/>
    <xf numFmtId="172" fontId="28" fillId="0" borderId="0" xfId="0" applyNumberFormat="1" applyFont="1"/>
    <xf numFmtId="181" fontId="81" fillId="0" borderId="0" xfId="0" applyNumberFormat="1" applyFont="1"/>
    <xf numFmtId="173" fontId="28" fillId="0" borderId="0" xfId="2" applyNumberFormat="1" applyFont="1" applyAlignment="1">
      <alignment horizontal="center"/>
    </xf>
    <xf numFmtId="1" fontId="27" fillId="0" borderId="0" xfId="0" applyNumberFormat="1" applyFont="1" applyProtection="1">
      <protection locked="0"/>
    </xf>
    <xf numFmtId="37" fontId="38" fillId="4" borderId="0" xfId="0" applyNumberFormat="1" applyFont="1" applyFill="1" applyProtection="1">
      <protection locked="0"/>
    </xf>
    <xf numFmtId="168" fontId="23" fillId="4" borderId="4" xfId="2" applyNumberFormat="1" applyFont="1" applyFill="1" applyBorder="1" applyProtection="1">
      <protection locked="0"/>
    </xf>
    <xf numFmtId="168" fontId="27" fillId="3" borderId="0" xfId="0" applyNumberFormat="1" applyFont="1" applyFill="1" applyProtection="1">
      <protection locked="0"/>
    </xf>
    <xf numFmtId="10" fontId="23" fillId="9" borderId="4" xfId="0" applyNumberFormat="1" applyFont="1" applyFill="1" applyBorder="1" applyProtection="1">
      <protection locked="0"/>
    </xf>
    <xf numFmtId="168" fontId="23" fillId="9" borderId="4" xfId="0" applyNumberFormat="1" applyFont="1" applyFill="1" applyBorder="1" applyProtection="1">
      <protection locked="0"/>
    </xf>
    <xf numFmtId="9" fontId="23" fillId="9" borderId="4" xfId="0" applyNumberFormat="1" applyFont="1" applyFill="1" applyBorder="1" applyProtection="1">
      <protection locked="0"/>
    </xf>
    <xf numFmtId="10" fontId="23" fillId="9" borderId="4" xfId="2" applyNumberFormat="1" applyFont="1" applyFill="1" applyBorder="1" applyProtection="1">
      <protection locked="0"/>
    </xf>
    <xf numFmtId="1" fontId="23" fillId="9" borderId="4" xfId="0" applyNumberFormat="1" applyFont="1" applyFill="1" applyBorder="1" applyProtection="1">
      <protection locked="0"/>
    </xf>
    <xf numFmtId="37" fontId="27" fillId="0" borderId="0" xfId="2" applyNumberFormat="1" applyFont="1"/>
    <xf numFmtId="0" fontId="58" fillId="0" borderId="0" xfId="0" applyFont="1"/>
    <xf numFmtId="0" fontId="89" fillId="0" borderId="0" xfId="0" applyFont="1"/>
    <xf numFmtId="0" fontId="6" fillId="0" borderId="0" xfId="0" applyFont="1"/>
    <xf numFmtId="168" fontId="24" fillId="0" borderId="0" xfId="2" applyNumberFormat="1" applyFont="1" applyFill="1" applyBorder="1" applyProtection="1"/>
    <xf numFmtId="168" fontId="81" fillId="8" borderId="0" xfId="2" applyNumberFormat="1" applyFont="1" applyFill="1"/>
    <xf numFmtId="182" fontId="25" fillId="3" borderId="0" xfId="2" applyNumberFormat="1" applyFont="1" applyFill="1"/>
    <xf numFmtId="37" fontId="39" fillId="8" borderId="0" xfId="9" applyNumberFormat="1" applyFont="1" applyFill="1" applyAlignment="1">
      <alignment horizontal="right"/>
    </xf>
    <xf numFmtId="9" fontId="27" fillId="0" borderId="0" xfId="2" applyFont="1" applyProtection="1">
      <protection locked="0"/>
    </xf>
    <xf numFmtId="0" fontId="24" fillId="8" borderId="0" xfId="0" applyFont="1" applyFill="1" applyAlignment="1">
      <alignment horizontal="left" indent="2"/>
    </xf>
    <xf numFmtId="10" fontId="23" fillId="8" borderId="4" xfId="0" applyNumberFormat="1" applyFont="1" applyFill="1" applyBorder="1" applyProtection="1">
      <protection locked="0"/>
    </xf>
    <xf numFmtId="0" fontId="77" fillId="0" borderId="0" xfId="0" applyFont="1" applyAlignment="1">
      <alignment horizontal="left" vertical="top" wrapText="1"/>
    </xf>
    <xf numFmtId="0" fontId="28" fillId="0" borderId="0" xfId="0" applyFont="1" applyAlignment="1">
      <alignment horizontal="left" vertical="top" wrapText="1" indent="1"/>
    </xf>
    <xf numFmtId="0" fontId="27" fillId="0" borderId="0" xfId="5" applyFont="1" applyAlignment="1">
      <alignment horizontal="center" vertical="center" wrapText="1"/>
    </xf>
    <xf numFmtId="0" fontId="27" fillId="18" borderId="0" xfId="5" applyFont="1" applyFill="1" applyAlignment="1">
      <alignment horizontal="left" vertical="center"/>
    </xf>
    <xf numFmtId="0" fontId="52" fillId="14" borderId="0" xfId="5" applyFont="1" applyFill="1" applyAlignment="1">
      <alignment horizontal="left" vertical="center"/>
    </xf>
    <xf numFmtId="0" fontId="27" fillId="7" borderId="0" xfId="5" applyFont="1" applyFill="1" applyAlignment="1">
      <alignment horizontal="left" vertical="center"/>
    </xf>
    <xf numFmtId="0" fontId="27" fillId="0" borderId="0" xfId="5" applyFont="1" applyAlignment="1">
      <alignment horizontal="left" vertical="center"/>
    </xf>
    <xf numFmtId="0" fontId="34" fillId="0" borderId="0" xfId="0" applyFont="1" applyAlignment="1">
      <alignment horizontal="left" vertical="top" wrapText="1" indent="1"/>
    </xf>
    <xf numFmtId="0" fontId="27" fillId="5" borderId="0" xfId="5" applyFont="1" applyFill="1" applyAlignment="1">
      <alignment horizontal="center" vertical="center"/>
    </xf>
    <xf numFmtId="0" fontId="27" fillId="18" borderId="0" xfId="5" applyFont="1" applyFill="1" applyAlignment="1">
      <alignment horizontal="center" vertical="center"/>
    </xf>
    <xf numFmtId="0" fontId="27" fillId="7" borderId="0" xfId="5" applyFont="1" applyFill="1" applyAlignment="1">
      <alignment horizontal="center" vertical="center"/>
    </xf>
    <xf numFmtId="0" fontId="87" fillId="5" borderId="0" xfId="5" applyFont="1" applyFill="1" applyAlignment="1">
      <alignment horizontal="left" vertical="center"/>
    </xf>
    <xf numFmtId="0" fontId="34" fillId="0" borderId="0" xfId="0" applyFont="1" applyAlignment="1">
      <alignment horizontal="center" vertical="center" wrapText="1"/>
    </xf>
    <xf numFmtId="0" fontId="28" fillId="0" borderId="0" xfId="0" applyFont="1" applyAlignment="1">
      <alignment horizontal="left" vertical="top" wrapText="1"/>
    </xf>
    <xf numFmtId="0" fontId="27" fillId="0" borderId="0" xfId="5" applyFont="1" applyAlignment="1">
      <alignment horizontal="center" vertical="center"/>
    </xf>
    <xf numFmtId="0" fontId="85" fillId="14" borderId="0" xfId="5" applyFont="1" applyFill="1" applyAlignment="1">
      <alignment horizontal="center" vertical="center"/>
    </xf>
    <xf numFmtId="0" fontId="27" fillId="0" borderId="0" xfId="5" applyFont="1" applyAlignment="1">
      <alignment horizontal="center" vertical="top" wrapText="1"/>
    </xf>
    <xf numFmtId="0" fontId="27" fillId="0" borderId="0" xfId="5" applyFont="1" applyAlignment="1">
      <alignment horizontal="left" vertical="top" wrapText="1"/>
    </xf>
    <xf numFmtId="0" fontId="53" fillId="0" borderId="0" xfId="5" applyFont="1" applyAlignment="1">
      <alignment horizontal="right" vertical="center"/>
    </xf>
    <xf numFmtId="0" fontId="53" fillId="0" borderId="0" xfId="5" applyFont="1" applyAlignment="1">
      <alignment horizontal="right" vertical="center" wrapText="1"/>
    </xf>
    <xf numFmtId="0" fontId="53" fillId="0" borderId="0" xfId="5" applyFont="1" applyAlignment="1">
      <alignment horizontal="center" vertical="center"/>
    </xf>
    <xf numFmtId="0" fontId="27" fillId="0" borderId="0" xfId="5" applyFont="1" applyAlignment="1">
      <alignment horizontal="left" vertical="center" wrapText="1"/>
    </xf>
    <xf numFmtId="3" fontId="53" fillId="0" borderId="0" xfId="5" applyNumberFormat="1" applyFont="1" applyAlignment="1">
      <alignment horizontal="right" vertical="center"/>
    </xf>
    <xf numFmtId="9" fontId="28" fillId="0" borderId="0" xfId="0" applyNumberFormat="1" applyFont="1" applyAlignment="1">
      <alignment horizontal="right"/>
    </xf>
    <xf numFmtId="9" fontId="34" fillId="5" borderId="0" xfId="0" applyNumberFormat="1" applyFont="1" applyFill="1" applyAlignment="1">
      <alignment horizontal="right"/>
    </xf>
    <xf numFmtId="9" fontId="34" fillId="8" borderId="0" xfId="0" applyNumberFormat="1" applyFont="1" applyFill="1" applyAlignment="1">
      <alignment horizontal="right"/>
    </xf>
    <xf numFmtId="0" fontId="34" fillId="14" borderId="0" xfId="0" applyFont="1" applyFill="1" applyAlignment="1">
      <alignment horizontal="right"/>
    </xf>
    <xf numFmtId="1" fontId="34" fillId="5" borderId="0" xfId="0" applyNumberFormat="1" applyFont="1" applyFill="1" applyAlignment="1">
      <alignment horizontal="right"/>
    </xf>
    <xf numFmtId="1" fontId="24" fillId="0" borderId="0" xfId="5" applyNumberFormat="1" applyFont="1" applyAlignment="1">
      <alignment horizontal="right" vertical="center"/>
    </xf>
    <xf numFmtId="0" fontId="28" fillId="0" borderId="2" xfId="0" applyFont="1" applyBorder="1" applyAlignment="1">
      <alignment horizontal="center"/>
    </xf>
    <xf numFmtId="0" fontId="28" fillId="0" borderId="0" xfId="0" applyFont="1" applyAlignment="1">
      <alignment horizontal="center" vertical="center" wrapText="1"/>
    </xf>
    <xf numFmtId="0" fontId="28" fillId="0" borderId="0" xfId="0" applyFont="1" applyAlignment="1">
      <alignment horizontal="center" wrapText="1"/>
    </xf>
    <xf numFmtId="0" fontId="28" fillId="0" borderId="0" xfId="0" applyFont="1" applyAlignment="1">
      <alignment horizontal="center"/>
    </xf>
    <xf numFmtId="0" fontId="27" fillId="0" borderId="2" xfId="5" applyFont="1" applyBorder="1" applyAlignment="1">
      <alignment horizontal="left" vertical="center" wrapText="1"/>
    </xf>
    <xf numFmtId="49" fontId="27" fillId="0" borderId="0" xfId="5" applyNumberFormat="1" applyFont="1" applyAlignment="1">
      <alignment horizontal="left" vertical="center" wrapText="1"/>
    </xf>
    <xf numFmtId="0" fontId="28" fillId="0" borderId="0" xfId="0" applyFont="1" applyAlignment="1">
      <alignment horizontal="center" vertical="top" wrapText="1"/>
    </xf>
    <xf numFmtId="166" fontId="16" fillId="2" borderId="10" xfId="0" applyNumberFormat="1" applyFont="1" applyFill="1" applyBorder="1" applyAlignment="1">
      <alignment horizontal="center"/>
    </xf>
    <xf numFmtId="165" fontId="16" fillId="2" borderId="10" xfId="0" applyNumberFormat="1" applyFont="1" applyFill="1" applyBorder="1" applyAlignment="1">
      <alignment horizontal="center"/>
    </xf>
    <xf numFmtId="0" fontId="68" fillId="16" borderId="0" xfId="0" applyFont="1" applyFill="1" applyAlignment="1">
      <alignment horizontal="center"/>
    </xf>
    <xf numFmtId="0" fontId="37" fillId="2" borderId="10" xfId="0" applyFont="1" applyFill="1" applyBorder="1" applyAlignment="1">
      <alignment horizontal="center"/>
    </xf>
    <xf numFmtId="0" fontId="69" fillId="0" borderId="11" xfId="0" applyFont="1" applyBorder="1" applyAlignment="1">
      <alignment horizontal="center"/>
    </xf>
    <xf numFmtId="0" fontId="8" fillId="0" borderId="11" xfId="0" applyFont="1" applyBorder="1" applyAlignment="1">
      <alignment horizontal="center"/>
    </xf>
  </cellXfs>
  <cellStyles count="15">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fa_data_italic_1_grouped" xfId="14" xr:uid="{B39D7648-2967-4A1F-B397-F15320CFFF4F}"/>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 cent" xfId="2" builtinId="5"/>
    <cellStyle name="Percent 2" xfId="4" xr:uid="{00000000-0005-0000-0000-00000C000000}"/>
    <cellStyle name="Porcentaje 3" xfId="7" xr:uid="{00000000-0005-0000-0000-00000D000000}"/>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ichStyles" Target="richData/richStyl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microsoft.com/office/2017/06/relationships/rdSupportingPropertyBag" Target="richData/rdsupportingpropertybag.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SupportingPropertyBagStructure" Target="richData/rdsupportingpropertybagstructure.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noFill/>
            </a:ln>
          </c:spPr>
          <c:explosion val="6"/>
          <c:dPt>
            <c:idx val="0"/>
            <c:bubble3D val="0"/>
            <c:spPr>
              <a:solidFill>
                <a:schemeClr val="accent1"/>
              </a:solidFill>
              <a:ln w="19050">
                <a:noFill/>
              </a:ln>
              <a:effectLst/>
            </c:spPr>
            <c:extLst>
              <c:ext xmlns:c16="http://schemas.microsoft.com/office/drawing/2014/chart" uri="{C3380CC4-5D6E-409C-BE32-E72D297353CC}">
                <c16:uniqueId val="{00000001-9308-49AE-A481-1F06B1D5BB5E}"/>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9308-49AE-A481-1F06B1D5BB5E}"/>
              </c:ext>
            </c:extLst>
          </c:dPt>
          <c:val>
            <c:numRef>
              <c:f>FCFF!$R$162:$R$163</c:f>
              <c:numCache>
                <c:formatCode>0.0%</c:formatCode>
                <c:ptCount val="2"/>
                <c:pt idx="0">
                  <c:v>0.26175425759435278</c:v>
                </c:pt>
                <c:pt idx="1">
                  <c:v>0.73824574240564722</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FCFF!$AR$16</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FCFF!$AS$16:$AZ$16</c:f>
              <c:numCache>
                <c:formatCode>#,##0_);\(#,##0\)</c:formatCode>
                <c:ptCount val="8"/>
                <c:pt idx="0">
                  <c:v>64.38900000000001</c:v>
                </c:pt>
                <c:pt idx="1">
                  <c:v>103.929</c:v>
                </c:pt>
                <c:pt idx="2">
                  <c:v>160.02000000000001</c:v>
                </c:pt>
                <c:pt idx="3">
                  <c:v>165.56257380423662</c:v>
                </c:pt>
                <c:pt idx="4">
                  <c:v>206.4441337898995</c:v>
                </c:pt>
                <c:pt idx="5">
                  <c:v>241.01170536613523</c:v>
                </c:pt>
                <c:pt idx="6">
                  <c:v>279.74862866872388</c:v>
                </c:pt>
                <c:pt idx="7">
                  <c:v>319.85058762887024</c:v>
                </c:pt>
              </c:numCache>
            </c:numRef>
          </c:val>
          <c:extLst>
            <c:ext xmlns:c16="http://schemas.microsoft.com/office/drawing/2014/chart" uri="{C3380CC4-5D6E-409C-BE32-E72D297353CC}">
              <c16:uniqueId val="{00000000-EDEC-4D47-9C20-D8D9D241E889}"/>
            </c:ext>
          </c:extLst>
        </c:ser>
        <c:ser>
          <c:idx val="1"/>
          <c:order val="1"/>
          <c:tx>
            <c:strRef>
              <c:f>FCFF!$AR$17</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FCFF!$AS$17:$AZ$17</c:f>
              <c:numCache>
                <c:formatCode>#,##0_);\(#,##0\)</c:formatCode>
                <c:ptCount val="8"/>
                <c:pt idx="0">
                  <c:v>-171.72758096536137</c:v>
                </c:pt>
                <c:pt idx="1">
                  <c:v>-137.49706369681633</c:v>
                </c:pt>
                <c:pt idx="2">
                  <c:v>16.513302499057076</c:v>
                </c:pt>
                <c:pt idx="3">
                  <c:v>-112.51087078390749</c:v>
                </c:pt>
                <c:pt idx="4">
                  <c:v>99.493810252032247</c:v>
                </c:pt>
                <c:pt idx="5">
                  <c:v>142.71881997247334</c:v>
                </c:pt>
                <c:pt idx="6">
                  <c:v>157.47185321863208</c:v>
                </c:pt>
                <c:pt idx="7">
                  <c:v>194.58486204486442</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FCFF!$AR$18</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FCFF!$AS$18:$AZ$18</c:f>
              <c:numCache>
                <c:formatCode>0.0%</c:formatCode>
                <c:ptCount val="8"/>
                <c:pt idx="0">
                  <c:v>0.49694130147718396</c:v>
                </c:pt>
                <c:pt idx="1">
                  <c:v>0.43435468274216116</c:v>
                </c:pt>
                <c:pt idx="2">
                  <c:v>0.40234130563021453</c:v>
                </c:pt>
                <c:pt idx="3">
                  <c:v>0.21031977240821953</c:v>
                </c:pt>
                <c:pt idx="4">
                  <c:v>0.19999999999999996</c:v>
                </c:pt>
                <c:pt idx="5">
                  <c:v>0.18333333333333329</c:v>
                </c:pt>
                <c:pt idx="6">
                  <c:v>0.16666666666666663</c:v>
                </c:pt>
                <c:pt idx="7">
                  <c:v>0.14999999999999997</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395"/>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85-44C8-92FF-16EB67DE575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45984</c:v>
                </c:pt>
                <c:pt idx="1">
                  <c:v>45983</c:v>
                </c:pt>
                <c:pt idx="2">
                  <c:v>45982</c:v>
                </c:pt>
                <c:pt idx="3">
                  <c:v>45981</c:v>
                </c:pt>
                <c:pt idx="4">
                  <c:v>45980</c:v>
                </c:pt>
                <c:pt idx="5">
                  <c:v>45979</c:v>
                </c:pt>
                <c:pt idx="6">
                  <c:v>45978</c:v>
                </c:pt>
                <c:pt idx="7">
                  <c:v>45977</c:v>
                </c:pt>
                <c:pt idx="8">
                  <c:v>45976</c:v>
                </c:pt>
                <c:pt idx="9">
                  <c:v>45975</c:v>
                </c:pt>
                <c:pt idx="10">
                  <c:v>45974</c:v>
                </c:pt>
                <c:pt idx="11">
                  <c:v>45973</c:v>
                </c:pt>
                <c:pt idx="12">
                  <c:v>45972</c:v>
                </c:pt>
                <c:pt idx="13">
                  <c:v>45971</c:v>
                </c:pt>
                <c:pt idx="14">
                  <c:v>45970</c:v>
                </c:pt>
                <c:pt idx="15">
                  <c:v>45969</c:v>
                </c:pt>
                <c:pt idx="16">
                  <c:v>45968</c:v>
                </c:pt>
                <c:pt idx="17">
                  <c:v>45967</c:v>
                </c:pt>
                <c:pt idx="18">
                  <c:v>45966</c:v>
                </c:pt>
                <c:pt idx="19">
                  <c:v>45965</c:v>
                </c:pt>
                <c:pt idx="20">
                  <c:v>45964</c:v>
                </c:pt>
                <c:pt idx="21">
                  <c:v>45963</c:v>
                </c:pt>
                <c:pt idx="22">
                  <c:v>45962</c:v>
                </c:pt>
                <c:pt idx="23">
                  <c:v>45961</c:v>
                </c:pt>
                <c:pt idx="24">
                  <c:v>45960</c:v>
                </c:pt>
                <c:pt idx="25">
                  <c:v>45959</c:v>
                </c:pt>
                <c:pt idx="26">
                  <c:v>45958</c:v>
                </c:pt>
                <c:pt idx="27">
                  <c:v>45957</c:v>
                </c:pt>
                <c:pt idx="28">
                  <c:v>45956</c:v>
                </c:pt>
                <c:pt idx="29">
                  <c:v>45955</c:v>
                </c:pt>
                <c:pt idx="30">
                  <c:v>45954</c:v>
                </c:pt>
                <c:pt idx="31">
                  <c:v>45953</c:v>
                </c:pt>
                <c:pt idx="32">
                  <c:v>45952</c:v>
                </c:pt>
                <c:pt idx="33">
                  <c:v>45951</c:v>
                </c:pt>
                <c:pt idx="34">
                  <c:v>45950</c:v>
                </c:pt>
                <c:pt idx="35">
                  <c:v>45949</c:v>
                </c:pt>
                <c:pt idx="36">
                  <c:v>45948</c:v>
                </c:pt>
                <c:pt idx="37">
                  <c:v>45947</c:v>
                </c:pt>
                <c:pt idx="38">
                  <c:v>45946</c:v>
                </c:pt>
                <c:pt idx="39">
                  <c:v>45945</c:v>
                </c:pt>
                <c:pt idx="40">
                  <c:v>45944</c:v>
                </c:pt>
                <c:pt idx="41">
                  <c:v>45943</c:v>
                </c:pt>
                <c:pt idx="42">
                  <c:v>45942</c:v>
                </c:pt>
                <c:pt idx="43">
                  <c:v>45941</c:v>
                </c:pt>
                <c:pt idx="44">
                  <c:v>45940</c:v>
                </c:pt>
                <c:pt idx="45">
                  <c:v>45939</c:v>
                </c:pt>
                <c:pt idx="46">
                  <c:v>45938</c:v>
                </c:pt>
                <c:pt idx="47">
                  <c:v>45937</c:v>
                </c:pt>
                <c:pt idx="48">
                  <c:v>45936</c:v>
                </c:pt>
                <c:pt idx="49">
                  <c:v>45935</c:v>
                </c:pt>
                <c:pt idx="50">
                  <c:v>45934</c:v>
                </c:pt>
                <c:pt idx="51">
                  <c:v>45933</c:v>
                </c:pt>
                <c:pt idx="52">
                  <c:v>45932</c:v>
                </c:pt>
                <c:pt idx="53">
                  <c:v>45931</c:v>
                </c:pt>
                <c:pt idx="54">
                  <c:v>45930</c:v>
                </c:pt>
                <c:pt idx="55">
                  <c:v>45929</c:v>
                </c:pt>
                <c:pt idx="56">
                  <c:v>45928</c:v>
                </c:pt>
                <c:pt idx="57">
                  <c:v>45927</c:v>
                </c:pt>
                <c:pt idx="58">
                  <c:v>45926</c:v>
                </c:pt>
                <c:pt idx="59">
                  <c:v>45925</c:v>
                </c:pt>
                <c:pt idx="60">
                  <c:v>45924</c:v>
                </c:pt>
                <c:pt idx="61">
                  <c:v>45923</c:v>
                </c:pt>
                <c:pt idx="62">
                  <c:v>45922</c:v>
                </c:pt>
                <c:pt idx="63">
                  <c:v>45921</c:v>
                </c:pt>
                <c:pt idx="64">
                  <c:v>45920</c:v>
                </c:pt>
                <c:pt idx="65">
                  <c:v>45919</c:v>
                </c:pt>
                <c:pt idx="66">
                  <c:v>45918</c:v>
                </c:pt>
                <c:pt idx="67">
                  <c:v>45917</c:v>
                </c:pt>
                <c:pt idx="68">
                  <c:v>45916</c:v>
                </c:pt>
                <c:pt idx="69">
                  <c:v>45915</c:v>
                </c:pt>
                <c:pt idx="70">
                  <c:v>45914</c:v>
                </c:pt>
                <c:pt idx="71">
                  <c:v>45913</c:v>
                </c:pt>
                <c:pt idx="72">
                  <c:v>45912</c:v>
                </c:pt>
                <c:pt idx="73">
                  <c:v>45911</c:v>
                </c:pt>
                <c:pt idx="74">
                  <c:v>45910</c:v>
                </c:pt>
                <c:pt idx="75">
                  <c:v>45909</c:v>
                </c:pt>
                <c:pt idx="76">
                  <c:v>45908</c:v>
                </c:pt>
                <c:pt idx="77">
                  <c:v>45907</c:v>
                </c:pt>
                <c:pt idx="78">
                  <c:v>45906</c:v>
                </c:pt>
                <c:pt idx="79">
                  <c:v>45905</c:v>
                </c:pt>
                <c:pt idx="80">
                  <c:v>45904</c:v>
                </c:pt>
                <c:pt idx="81">
                  <c:v>45903</c:v>
                </c:pt>
                <c:pt idx="82">
                  <c:v>45902</c:v>
                </c:pt>
                <c:pt idx="83">
                  <c:v>45901</c:v>
                </c:pt>
                <c:pt idx="84">
                  <c:v>45900</c:v>
                </c:pt>
                <c:pt idx="85">
                  <c:v>45899</c:v>
                </c:pt>
                <c:pt idx="86">
                  <c:v>45898</c:v>
                </c:pt>
                <c:pt idx="87">
                  <c:v>45897</c:v>
                </c:pt>
                <c:pt idx="88">
                  <c:v>45896</c:v>
                </c:pt>
                <c:pt idx="89">
                  <c:v>45895</c:v>
                </c:pt>
                <c:pt idx="90">
                  <c:v>45894</c:v>
                </c:pt>
                <c:pt idx="91">
                  <c:v>45893</c:v>
                </c:pt>
                <c:pt idx="92">
                  <c:v>45892</c:v>
                </c:pt>
                <c:pt idx="93">
                  <c:v>45891</c:v>
                </c:pt>
                <c:pt idx="94">
                  <c:v>45890</c:v>
                </c:pt>
                <c:pt idx="95">
                  <c:v>45889</c:v>
                </c:pt>
                <c:pt idx="96">
                  <c:v>45888</c:v>
                </c:pt>
                <c:pt idx="97">
                  <c:v>45887</c:v>
                </c:pt>
                <c:pt idx="98">
                  <c:v>45886</c:v>
                </c:pt>
                <c:pt idx="99">
                  <c:v>45885</c:v>
                </c:pt>
                <c:pt idx="100">
                  <c:v>45884</c:v>
                </c:pt>
                <c:pt idx="101">
                  <c:v>45883</c:v>
                </c:pt>
                <c:pt idx="102">
                  <c:v>45882</c:v>
                </c:pt>
                <c:pt idx="103">
                  <c:v>45881</c:v>
                </c:pt>
                <c:pt idx="104">
                  <c:v>45880</c:v>
                </c:pt>
                <c:pt idx="105">
                  <c:v>45879</c:v>
                </c:pt>
                <c:pt idx="106">
                  <c:v>45878</c:v>
                </c:pt>
                <c:pt idx="107">
                  <c:v>45877</c:v>
                </c:pt>
                <c:pt idx="108">
                  <c:v>45876</c:v>
                </c:pt>
                <c:pt idx="109">
                  <c:v>45875</c:v>
                </c:pt>
                <c:pt idx="110">
                  <c:v>45874</c:v>
                </c:pt>
                <c:pt idx="111">
                  <c:v>45873</c:v>
                </c:pt>
                <c:pt idx="112">
                  <c:v>45872</c:v>
                </c:pt>
                <c:pt idx="113">
                  <c:v>45871</c:v>
                </c:pt>
                <c:pt idx="114">
                  <c:v>45870</c:v>
                </c:pt>
                <c:pt idx="115">
                  <c:v>45869</c:v>
                </c:pt>
                <c:pt idx="116">
                  <c:v>45868</c:v>
                </c:pt>
                <c:pt idx="117">
                  <c:v>45867</c:v>
                </c:pt>
                <c:pt idx="118">
                  <c:v>45866</c:v>
                </c:pt>
                <c:pt idx="119">
                  <c:v>45865</c:v>
                </c:pt>
                <c:pt idx="120">
                  <c:v>45864</c:v>
                </c:pt>
                <c:pt idx="121">
                  <c:v>45863</c:v>
                </c:pt>
                <c:pt idx="122">
                  <c:v>45862</c:v>
                </c:pt>
                <c:pt idx="123">
                  <c:v>45861</c:v>
                </c:pt>
                <c:pt idx="124">
                  <c:v>45860</c:v>
                </c:pt>
                <c:pt idx="125">
                  <c:v>45859</c:v>
                </c:pt>
                <c:pt idx="126">
                  <c:v>45858</c:v>
                </c:pt>
                <c:pt idx="127">
                  <c:v>45857</c:v>
                </c:pt>
                <c:pt idx="128">
                  <c:v>45856</c:v>
                </c:pt>
                <c:pt idx="129">
                  <c:v>45855</c:v>
                </c:pt>
                <c:pt idx="130">
                  <c:v>45854</c:v>
                </c:pt>
                <c:pt idx="131">
                  <c:v>45853</c:v>
                </c:pt>
                <c:pt idx="132">
                  <c:v>45852</c:v>
                </c:pt>
                <c:pt idx="133">
                  <c:v>45851</c:v>
                </c:pt>
                <c:pt idx="134">
                  <c:v>45850</c:v>
                </c:pt>
                <c:pt idx="135">
                  <c:v>45849</c:v>
                </c:pt>
                <c:pt idx="136">
                  <c:v>45848</c:v>
                </c:pt>
                <c:pt idx="137">
                  <c:v>45847</c:v>
                </c:pt>
                <c:pt idx="138">
                  <c:v>45846</c:v>
                </c:pt>
                <c:pt idx="139">
                  <c:v>45845</c:v>
                </c:pt>
                <c:pt idx="140">
                  <c:v>45844</c:v>
                </c:pt>
                <c:pt idx="141">
                  <c:v>45843</c:v>
                </c:pt>
                <c:pt idx="142">
                  <c:v>45842</c:v>
                </c:pt>
                <c:pt idx="143">
                  <c:v>45841</c:v>
                </c:pt>
                <c:pt idx="144">
                  <c:v>45840</c:v>
                </c:pt>
                <c:pt idx="145">
                  <c:v>45839</c:v>
                </c:pt>
                <c:pt idx="146">
                  <c:v>45838</c:v>
                </c:pt>
                <c:pt idx="147">
                  <c:v>45837</c:v>
                </c:pt>
                <c:pt idx="148">
                  <c:v>45836</c:v>
                </c:pt>
                <c:pt idx="149">
                  <c:v>45835</c:v>
                </c:pt>
                <c:pt idx="150">
                  <c:v>45834</c:v>
                </c:pt>
                <c:pt idx="151">
                  <c:v>45833</c:v>
                </c:pt>
                <c:pt idx="152">
                  <c:v>45832</c:v>
                </c:pt>
                <c:pt idx="153">
                  <c:v>45831</c:v>
                </c:pt>
                <c:pt idx="154">
                  <c:v>45830</c:v>
                </c:pt>
                <c:pt idx="155">
                  <c:v>45829</c:v>
                </c:pt>
                <c:pt idx="156">
                  <c:v>45828</c:v>
                </c:pt>
                <c:pt idx="157">
                  <c:v>45827</c:v>
                </c:pt>
                <c:pt idx="158">
                  <c:v>45826</c:v>
                </c:pt>
                <c:pt idx="159">
                  <c:v>45825</c:v>
                </c:pt>
                <c:pt idx="160">
                  <c:v>45824</c:v>
                </c:pt>
                <c:pt idx="161">
                  <c:v>45823</c:v>
                </c:pt>
                <c:pt idx="162">
                  <c:v>45822</c:v>
                </c:pt>
                <c:pt idx="163">
                  <c:v>45821</c:v>
                </c:pt>
                <c:pt idx="164">
                  <c:v>45820</c:v>
                </c:pt>
                <c:pt idx="165">
                  <c:v>45819</c:v>
                </c:pt>
                <c:pt idx="166">
                  <c:v>45818</c:v>
                </c:pt>
                <c:pt idx="167">
                  <c:v>45817</c:v>
                </c:pt>
                <c:pt idx="168">
                  <c:v>45816</c:v>
                </c:pt>
                <c:pt idx="169">
                  <c:v>45815</c:v>
                </c:pt>
                <c:pt idx="170">
                  <c:v>45814</c:v>
                </c:pt>
                <c:pt idx="171">
                  <c:v>45813</c:v>
                </c:pt>
                <c:pt idx="172">
                  <c:v>45812</c:v>
                </c:pt>
                <c:pt idx="173">
                  <c:v>45811</c:v>
                </c:pt>
                <c:pt idx="174">
                  <c:v>45810</c:v>
                </c:pt>
                <c:pt idx="175">
                  <c:v>45809</c:v>
                </c:pt>
                <c:pt idx="176">
                  <c:v>45808</c:v>
                </c:pt>
                <c:pt idx="177">
                  <c:v>45807</c:v>
                </c:pt>
                <c:pt idx="178">
                  <c:v>45806</c:v>
                </c:pt>
                <c:pt idx="179">
                  <c:v>45805</c:v>
                </c:pt>
                <c:pt idx="180">
                  <c:v>45804</c:v>
                </c:pt>
                <c:pt idx="181">
                  <c:v>45803</c:v>
                </c:pt>
                <c:pt idx="182">
                  <c:v>45802</c:v>
                </c:pt>
                <c:pt idx="183">
                  <c:v>45801</c:v>
                </c:pt>
                <c:pt idx="184">
                  <c:v>45800</c:v>
                </c:pt>
                <c:pt idx="185">
                  <c:v>45799</c:v>
                </c:pt>
                <c:pt idx="186">
                  <c:v>45798</c:v>
                </c:pt>
                <c:pt idx="187">
                  <c:v>45797</c:v>
                </c:pt>
                <c:pt idx="188">
                  <c:v>45796</c:v>
                </c:pt>
                <c:pt idx="189">
                  <c:v>45795</c:v>
                </c:pt>
                <c:pt idx="190">
                  <c:v>45794</c:v>
                </c:pt>
                <c:pt idx="191">
                  <c:v>45793</c:v>
                </c:pt>
                <c:pt idx="192">
                  <c:v>45792</c:v>
                </c:pt>
                <c:pt idx="193">
                  <c:v>45791</c:v>
                </c:pt>
                <c:pt idx="194">
                  <c:v>45790</c:v>
                </c:pt>
                <c:pt idx="195">
                  <c:v>45789</c:v>
                </c:pt>
                <c:pt idx="196">
                  <c:v>45788</c:v>
                </c:pt>
                <c:pt idx="197">
                  <c:v>45787</c:v>
                </c:pt>
                <c:pt idx="198">
                  <c:v>45786</c:v>
                </c:pt>
                <c:pt idx="199">
                  <c:v>45785</c:v>
                </c:pt>
                <c:pt idx="200">
                  <c:v>45784</c:v>
                </c:pt>
                <c:pt idx="201">
                  <c:v>45783</c:v>
                </c:pt>
                <c:pt idx="202">
                  <c:v>45782</c:v>
                </c:pt>
                <c:pt idx="203">
                  <c:v>45781</c:v>
                </c:pt>
                <c:pt idx="204">
                  <c:v>45780</c:v>
                </c:pt>
                <c:pt idx="205">
                  <c:v>45779</c:v>
                </c:pt>
                <c:pt idx="206">
                  <c:v>45778</c:v>
                </c:pt>
                <c:pt idx="207">
                  <c:v>45777</c:v>
                </c:pt>
                <c:pt idx="208">
                  <c:v>45776</c:v>
                </c:pt>
                <c:pt idx="209">
                  <c:v>45775</c:v>
                </c:pt>
                <c:pt idx="210">
                  <c:v>45774</c:v>
                </c:pt>
                <c:pt idx="211">
                  <c:v>45773</c:v>
                </c:pt>
                <c:pt idx="212">
                  <c:v>45772</c:v>
                </c:pt>
                <c:pt idx="213">
                  <c:v>45771</c:v>
                </c:pt>
                <c:pt idx="214">
                  <c:v>45770</c:v>
                </c:pt>
                <c:pt idx="215">
                  <c:v>45769</c:v>
                </c:pt>
                <c:pt idx="216">
                  <c:v>45768</c:v>
                </c:pt>
                <c:pt idx="217">
                  <c:v>45767</c:v>
                </c:pt>
                <c:pt idx="218">
                  <c:v>45766</c:v>
                </c:pt>
                <c:pt idx="219">
                  <c:v>45765</c:v>
                </c:pt>
                <c:pt idx="220">
                  <c:v>45764</c:v>
                </c:pt>
                <c:pt idx="221">
                  <c:v>45763</c:v>
                </c:pt>
                <c:pt idx="222">
                  <c:v>45762</c:v>
                </c:pt>
                <c:pt idx="223">
                  <c:v>45761</c:v>
                </c:pt>
                <c:pt idx="224">
                  <c:v>45760</c:v>
                </c:pt>
                <c:pt idx="225">
                  <c:v>45759</c:v>
                </c:pt>
                <c:pt idx="226">
                  <c:v>45758</c:v>
                </c:pt>
                <c:pt idx="227">
                  <c:v>45757</c:v>
                </c:pt>
                <c:pt idx="228">
                  <c:v>45756</c:v>
                </c:pt>
                <c:pt idx="229">
                  <c:v>45755</c:v>
                </c:pt>
                <c:pt idx="230">
                  <c:v>45754</c:v>
                </c:pt>
                <c:pt idx="231">
                  <c:v>45753</c:v>
                </c:pt>
                <c:pt idx="232">
                  <c:v>45752</c:v>
                </c:pt>
                <c:pt idx="233">
                  <c:v>45751</c:v>
                </c:pt>
                <c:pt idx="234">
                  <c:v>45750</c:v>
                </c:pt>
                <c:pt idx="235">
                  <c:v>45749</c:v>
                </c:pt>
                <c:pt idx="236">
                  <c:v>45748</c:v>
                </c:pt>
                <c:pt idx="237">
                  <c:v>45747</c:v>
                </c:pt>
                <c:pt idx="238">
                  <c:v>45746</c:v>
                </c:pt>
                <c:pt idx="239">
                  <c:v>45745</c:v>
                </c:pt>
                <c:pt idx="240">
                  <c:v>45744</c:v>
                </c:pt>
                <c:pt idx="241">
                  <c:v>45743</c:v>
                </c:pt>
                <c:pt idx="242">
                  <c:v>45742</c:v>
                </c:pt>
                <c:pt idx="243">
                  <c:v>45741</c:v>
                </c:pt>
                <c:pt idx="244">
                  <c:v>45740</c:v>
                </c:pt>
                <c:pt idx="245">
                  <c:v>45739</c:v>
                </c:pt>
                <c:pt idx="246">
                  <c:v>45738</c:v>
                </c:pt>
                <c:pt idx="247">
                  <c:v>45737</c:v>
                </c:pt>
                <c:pt idx="248">
                  <c:v>45736</c:v>
                </c:pt>
                <c:pt idx="249">
                  <c:v>45735</c:v>
                </c:pt>
                <c:pt idx="250">
                  <c:v>45734</c:v>
                </c:pt>
                <c:pt idx="251">
                  <c:v>45733</c:v>
                </c:pt>
                <c:pt idx="252">
                  <c:v>45732</c:v>
                </c:pt>
                <c:pt idx="253">
                  <c:v>45731</c:v>
                </c:pt>
                <c:pt idx="254">
                  <c:v>45730</c:v>
                </c:pt>
                <c:pt idx="255">
                  <c:v>45729</c:v>
                </c:pt>
                <c:pt idx="256">
                  <c:v>45728</c:v>
                </c:pt>
                <c:pt idx="257">
                  <c:v>45727</c:v>
                </c:pt>
                <c:pt idx="258">
                  <c:v>45726</c:v>
                </c:pt>
                <c:pt idx="259">
                  <c:v>45725</c:v>
                </c:pt>
                <c:pt idx="260">
                  <c:v>45724</c:v>
                </c:pt>
                <c:pt idx="261">
                  <c:v>45723</c:v>
                </c:pt>
                <c:pt idx="262">
                  <c:v>45722</c:v>
                </c:pt>
                <c:pt idx="263">
                  <c:v>45721</c:v>
                </c:pt>
                <c:pt idx="264">
                  <c:v>45720</c:v>
                </c:pt>
                <c:pt idx="265">
                  <c:v>45719</c:v>
                </c:pt>
                <c:pt idx="266">
                  <c:v>45718</c:v>
                </c:pt>
                <c:pt idx="267">
                  <c:v>45717</c:v>
                </c:pt>
                <c:pt idx="268">
                  <c:v>45716</c:v>
                </c:pt>
                <c:pt idx="269">
                  <c:v>45715</c:v>
                </c:pt>
                <c:pt idx="270">
                  <c:v>45714</c:v>
                </c:pt>
                <c:pt idx="271">
                  <c:v>45713</c:v>
                </c:pt>
                <c:pt idx="272">
                  <c:v>45712</c:v>
                </c:pt>
                <c:pt idx="273">
                  <c:v>45711</c:v>
                </c:pt>
                <c:pt idx="274">
                  <c:v>45710</c:v>
                </c:pt>
                <c:pt idx="275">
                  <c:v>45709</c:v>
                </c:pt>
                <c:pt idx="276">
                  <c:v>45708</c:v>
                </c:pt>
                <c:pt idx="277">
                  <c:v>45707</c:v>
                </c:pt>
                <c:pt idx="278">
                  <c:v>45706</c:v>
                </c:pt>
                <c:pt idx="279">
                  <c:v>45705</c:v>
                </c:pt>
                <c:pt idx="280">
                  <c:v>45704</c:v>
                </c:pt>
                <c:pt idx="281">
                  <c:v>45703</c:v>
                </c:pt>
                <c:pt idx="282">
                  <c:v>45702</c:v>
                </c:pt>
                <c:pt idx="283">
                  <c:v>45701</c:v>
                </c:pt>
                <c:pt idx="284">
                  <c:v>45700</c:v>
                </c:pt>
                <c:pt idx="285">
                  <c:v>45699</c:v>
                </c:pt>
                <c:pt idx="286">
                  <c:v>45698</c:v>
                </c:pt>
                <c:pt idx="287">
                  <c:v>45697</c:v>
                </c:pt>
                <c:pt idx="288">
                  <c:v>45696</c:v>
                </c:pt>
                <c:pt idx="289">
                  <c:v>45695</c:v>
                </c:pt>
                <c:pt idx="290">
                  <c:v>45694</c:v>
                </c:pt>
                <c:pt idx="291">
                  <c:v>45693</c:v>
                </c:pt>
                <c:pt idx="292">
                  <c:v>45692</c:v>
                </c:pt>
                <c:pt idx="293">
                  <c:v>45691</c:v>
                </c:pt>
                <c:pt idx="294">
                  <c:v>45690</c:v>
                </c:pt>
                <c:pt idx="295">
                  <c:v>45689</c:v>
                </c:pt>
                <c:pt idx="296">
                  <c:v>45688</c:v>
                </c:pt>
                <c:pt idx="297">
                  <c:v>45687</c:v>
                </c:pt>
                <c:pt idx="298">
                  <c:v>45686</c:v>
                </c:pt>
                <c:pt idx="299">
                  <c:v>45685</c:v>
                </c:pt>
                <c:pt idx="300">
                  <c:v>45684</c:v>
                </c:pt>
                <c:pt idx="301">
                  <c:v>45683</c:v>
                </c:pt>
                <c:pt idx="302">
                  <c:v>45682</c:v>
                </c:pt>
                <c:pt idx="303">
                  <c:v>45681</c:v>
                </c:pt>
                <c:pt idx="304">
                  <c:v>45680</c:v>
                </c:pt>
                <c:pt idx="305">
                  <c:v>45679</c:v>
                </c:pt>
                <c:pt idx="306">
                  <c:v>45678</c:v>
                </c:pt>
                <c:pt idx="307">
                  <c:v>45677</c:v>
                </c:pt>
                <c:pt idx="308">
                  <c:v>45676</c:v>
                </c:pt>
                <c:pt idx="309">
                  <c:v>45675</c:v>
                </c:pt>
                <c:pt idx="310">
                  <c:v>45674</c:v>
                </c:pt>
                <c:pt idx="311">
                  <c:v>45673</c:v>
                </c:pt>
                <c:pt idx="312">
                  <c:v>45672</c:v>
                </c:pt>
                <c:pt idx="313">
                  <c:v>45671</c:v>
                </c:pt>
                <c:pt idx="314">
                  <c:v>45670</c:v>
                </c:pt>
                <c:pt idx="315">
                  <c:v>45669</c:v>
                </c:pt>
                <c:pt idx="316">
                  <c:v>45668</c:v>
                </c:pt>
                <c:pt idx="317">
                  <c:v>45667</c:v>
                </c:pt>
                <c:pt idx="318">
                  <c:v>45666</c:v>
                </c:pt>
                <c:pt idx="319">
                  <c:v>45665</c:v>
                </c:pt>
                <c:pt idx="320">
                  <c:v>45664</c:v>
                </c:pt>
                <c:pt idx="321">
                  <c:v>45663</c:v>
                </c:pt>
                <c:pt idx="322">
                  <c:v>45662</c:v>
                </c:pt>
                <c:pt idx="323">
                  <c:v>45661</c:v>
                </c:pt>
                <c:pt idx="324">
                  <c:v>45660</c:v>
                </c:pt>
                <c:pt idx="325">
                  <c:v>45659</c:v>
                </c:pt>
                <c:pt idx="326">
                  <c:v>45658</c:v>
                </c:pt>
                <c:pt idx="327">
                  <c:v>45657</c:v>
                </c:pt>
                <c:pt idx="328">
                  <c:v>45656</c:v>
                </c:pt>
                <c:pt idx="329">
                  <c:v>45655</c:v>
                </c:pt>
                <c:pt idx="330">
                  <c:v>45654</c:v>
                </c:pt>
                <c:pt idx="331">
                  <c:v>45653</c:v>
                </c:pt>
                <c:pt idx="332">
                  <c:v>45652</c:v>
                </c:pt>
                <c:pt idx="333">
                  <c:v>45651</c:v>
                </c:pt>
                <c:pt idx="334">
                  <c:v>45650</c:v>
                </c:pt>
                <c:pt idx="335">
                  <c:v>45649</c:v>
                </c:pt>
                <c:pt idx="336">
                  <c:v>45648</c:v>
                </c:pt>
                <c:pt idx="337">
                  <c:v>45647</c:v>
                </c:pt>
                <c:pt idx="338">
                  <c:v>45646</c:v>
                </c:pt>
                <c:pt idx="339">
                  <c:v>45645</c:v>
                </c:pt>
                <c:pt idx="340">
                  <c:v>45644</c:v>
                </c:pt>
                <c:pt idx="341">
                  <c:v>45643</c:v>
                </c:pt>
                <c:pt idx="342">
                  <c:v>45642</c:v>
                </c:pt>
                <c:pt idx="343">
                  <c:v>45641</c:v>
                </c:pt>
                <c:pt idx="344">
                  <c:v>45640</c:v>
                </c:pt>
                <c:pt idx="345">
                  <c:v>45639</c:v>
                </c:pt>
                <c:pt idx="346">
                  <c:v>45638</c:v>
                </c:pt>
                <c:pt idx="347">
                  <c:v>45637</c:v>
                </c:pt>
                <c:pt idx="348">
                  <c:v>45636</c:v>
                </c:pt>
                <c:pt idx="349">
                  <c:v>45635</c:v>
                </c:pt>
                <c:pt idx="350">
                  <c:v>45634</c:v>
                </c:pt>
                <c:pt idx="351">
                  <c:v>45633</c:v>
                </c:pt>
                <c:pt idx="352">
                  <c:v>45632</c:v>
                </c:pt>
                <c:pt idx="353">
                  <c:v>45631</c:v>
                </c:pt>
                <c:pt idx="354">
                  <c:v>45630</c:v>
                </c:pt>
                <c:pt idx="355">
                  <c:v>45629</c:v>
                </c:pt>
                <c:pt idx="356">
                  <c:v>45628</c:v>
                </c:pt>
                <c:pt idx="357">
                  <c:v>45627</c:v>
                </c:pt>
                <c:pt idx="358">
                  <c:v>45626</c:v>
                </c:pt>
                <c:pt idx="359">
                  <c:v>45625</c:v>
                </c:pt>
                <c:pt idx="360">
                  <c:v>45624</c:v>
                </c:pt>
                <c:pt idx="361">
                  <c:v>45623</c:v>
                </c:pt>
                <c:pt idx="362">
                  <c:v>45622</c:v>
                </c:pt>
                <c:pt idx="363">
                  <c:v>45621</c:v>
                </c:pt>
                <c:pt idx="364">
                  <c:v>45620</c:v>
                </c:pt>
                <c:pt idx="365">
                  <c:v>45619</c:v>
                </c:pt>
                <c:pt idx="366">
                  <c:v>45618</c:v>
                </c:pt>
                <c:pt idx="367">
                  <c:v>45617</c:v>
                </c:pt>
                <c:pt idx="368">
                  <c:v>45616</c:v>
                </c:pt>
                <c:pt idx="369">
                  <c:v>45615</c:v>
                </c:pt>
                <c:pt idx="370">
                  <c:v>45614</c:v>
                </c:pt>
                <c:pt idx="371">
                  <c:v>45613</c:v>
                </c:pt>
                <c:pt idx="372">
                  <c:v>45612</c:v>
                </c:pt>
                <c:pt idx="373">
                  <c:v>45611</c:v>
                </c:pt>
                <c:pt idx="374">
                  <c:v>45610</c:v>
                </c:pt>
                <c:pt idx="375">
                  <c:v>45609</c:v>
                </c:pt>
                <c:pt idx="376">
                  <c:v>45608</c:v>
                </c:pt>
                <c:pt idx="377">
                  <c:v>45607</c:v>
                </c:pt>
                <c:pt idx="378">
                  <c:v>45606</c:v>
                </c:pt>
                <c:pt idx="379">
                  <c:v>45605</c:v>
                </c:pt>
                <c:pt idx="380">
                  <c:v>45604</c:v>
                </c:pt>
                <c:pt idx="381">
                  <c:v>45603</c:v>
                </c:pt>
                <c:pt idx="382">
                  <c:v>45602</c:v>
                </c:pt>
                <c:pt idx="383">
                  <c:v>45601</c:v>
                </c:pt>
                <c:pt idx="384">
                  <c:v>45600</c:v>
                </c:pt>
                <c:pt idx="385">
                  <c:v>45599</c:v>
                </c:pt>
                <c:pt idx="386">
                  <c:v>45598</c:v>
                </c:pt>
                <c:pt idx="387">
                  <c:v>45597</c:v>
                </c:pt>
                <c:pt idx="388">
                  <c:v>45596</c:v>
                </c:pt>
                <c:pt idx="389">
                  <c:v>45595</c:v>
                </c:pt>
                <c:pt idx="390">
                  <c:v>45594</c:v>
                </c:pt>
                <c:pt idx="391">
                  <c:v>45593</c:v>
                </c:pt>
                <c:pt idx="392">
                  <c:v>45592</c:v>
                </c:pt>
                <c:pt idx="393">
                  <c:v>45591</c:v>
                </c:pt>
                <c:pt idx="394">
                  <c:v>45590</c:v>
                </c:pt>
                <c:pt idx="395">
                  <c:v>45589</c:v>
                </c:pt>
                <c:pt idx="396">
                  <c:v>45588</c:v>
                </c:pt>
                <c:pt idx="397">
                  <c:v>45587</c:v>
                </c:pt>
                <c:pt idx="398">
                  <c:v>45586</c:v>
                </c:pt>
                <c:pt idx="399">
                  <c:v>45585</c:v>
                </c:pt>
                <c:pt idx="400">
                  <c:v>45584</c:v>
                </c:pt>
                <c:pt idx="401">
                  <c:v>45583</c:v>
                </c:pt>
                <c:pt idx="402">
                  <c:v>45582</c:v>
                </c:pt>
                <c:pt idx="403">
                  <c:v>45581</c:v>
                </c:pt>
                <c:pt idx="404">
                  <c:v>45580</c:v>
                </c:pt>
              </c:numCache>
            </c:numRef>
          </c:cat>
          <c:val>
            <c:numRef>
              <c:f>Dashboard!$E$154:$E$558</c:f>
              <c:numCache>
                <c:formatCode>General</c:formatCode>
                <c:ptCount val="405"/>
                <c:pt idx="8">
                  <c:v>46.16758828537737</c:v>
                </c:pt>
                <c:pt idx="9">
                  <c:v>48.762827372945821</c:v>
                </c:pt>
                <c:pt idx="10">
                  <c:v>51.358066460514294</c:v>
                </c:pt>
                <c:pt idx="11">
                  <c:v>53.953305548082767</c:v>
                </c:pt>
                <c:pt idx="12">
                  <c:v>56.54854463565124</c:v>
                </c:pt>
                <c:pt idx="13">
                  <c:v>59.143783723219713</c:v>
                </c:pt>
                <c:pt idx="14">
                  <c:v>61.739022810788185</c:v>
                </c:pt>
                <c:pt idx="15">
                  <c:v>64.334261898356658</c:v>
                </c:pt>
                <c:pt idx="16">
                  <c:v>66.929500985925131</c:v>
                </c:pt>
                <c:pt idx="17">
                  <c:v>69.524740073493604</c:v>
                </c:pt>
                <c:pt idx="18">
                  <c:v>72.119979161062076</c:v>
                </c:pt>
                <c:pt idx="19">
                  <c:v>74.715218248630549</c:v>
                </c:pt>
                <c:pt idx="20">
                  <c:v>77.310457336199022</c:v>
                </c:pt>
                <c:pt idx="21">
                  <c:v>79.905696423767495</c:v>
                </c:pt>
                <c:pt idx="22">
                  <c:v>82.500935511335967</c:v>
                </c:pt>
                <c:pt idx="23">
                  <c:v>85.09617459890444</c:v>
                </c:pt>
                <c:pt idx="24">
                  <c:v>87.691413686472913</c:v>
                </c:pt>
                <c:pt idx="25">
                  <c:v>90.286652774041386</c:v>
                </c:pt>
                <c:pt idx="26">
                  <c:v>92.881891861609859</c:v>
                </c:pt>
                <c:pt idx="27">
                  <c:v>95.477130949178331</c:v>
                </c:pt>
                <c:pt idx="28">
                  <c:v>98.072370036746804</c:v>
                </c:pt>
                <c:pt idx="29">
                  <c:v>100.66760912431528</c:v>
                </c:pt>
                <c:pt idx="30">
                  <c:v>103.26284821188375</c:v>
                </c:pt>
                <c:pt idx="31">
                  <c:v>105.85808729945222</c:v>
                </c:pt>
                <c:pt idx="32">
                  <c:v>108.4533263870207</c:v>
                </c:pt>
                <c:pt idx="33">
                  <c:v>111.04856547458917</c:v>
                </c:pt>
                <c:pt idx="34">
                  <c:v>113.64380456215764</c:v>
                </c:pt>
                <c:pt idx="35">
                  <c:v>116.23904364972611</c:v>
                </c:pt>
                <c:pt idx="36">
                  <c:v>118.83428273729459</c:v>
                </c:pt>
                <c:pt idx="37">
                  <c:v>121.42952182486306</c:v>
                </c:pt>
                <c:pt idx="38">
                  <c:v>124.02476091243153</c:v>
                </c:pt>
                <c:pt idx="39">
                  <c:v>126.62</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45984</c:v>
                </c:pt>
                <c:pt idx="1">
                  <c:v>45983</c:v>
                </c:pt>
                <c:pt idx="2">
                  <c:v>45982</c:v>
                </c:pt>
                <c:pt idx="3">
                  <c:v>45981</c:v>
                </c:pt>
                <c:pt idx="4">
                  <c:v>45980</c:v>
                </c:pt>
                <c:pt idx="5">
                  <c:v>45979</c:v>
                </c:pt>
                <c:pt idx="6">
                  <c:v>45978</c:v>
                </c:pt>
                <c:pt idx="7">
                  <c:v>45977</c:v>
                </c:pt>
                <c:pt idx="8">
                  <c:v>45976</c:v>
                </c:pt>
                <c:pt idx="9">
                  <c:v>45975</c:v>
                </c:pt>
                <c:pt idx="10">
                  <c:v>45974</c:v>
                </c:pt>
                <c:pt idx="11">
                  <c:v>45973</c:v>
                </c:pt>
                <c:pt idx="12">
                  <c:v>45972</c:v>
                </c:pt>
                <c:pt idx="13">
                  <c:v>45971</c:v>
                </c:pt>
                <c:pt idx="14">
                  <c:v>45970</c:v>
                </c:pt>
                <c:pt idx="15">
                  <c:v>45969</c:v>
                </c:pt>
                <c:pt idx="16">
                  <c:v>45968</c:v>
                </c:pt>
                <c:pt idx="17">
                  <c:v>45967</c:v>
                </c:pt>
                <c:pt idx="18">
                  <c:v>45966</c:v>
                </c:pt>
                <c:pt idx="19">
                  <c:v>45965</c:v>
                </c:pt>
                <c:pt idx="20">
                  <c:v>45964</c:v>
                </c:pt>
                <c:pt idx="21">
                  <c:v>45963</c:v>
                </c:pt>
                <c:pt idx="22">
                  <c:v>45962</c:v>
                </c:pt>
                <c:pt idx="23">
                  <c:v>45961</c:v>
                </c:pt>
                <c:pt idx="24">
                  <c:v>45960</c:v>
                </c:pt>
                <c:pt idx="25">
                  <c:v>45959</c:v>
                </c:pt>
                <c:pt idx="26">
                  <c:v>45958</c:v>
                </c:pt>
                <c:pt idx="27">
                  <c:v>45957</c:v>
                </c:pt>
                <c:pt idx="28">
                  <c:v>45956</c:v>
                </c:pt>
                <c:pt idx="29">
                  <c:v>45955</c:v>
                </c:pt>
                <c:pt idx="30">
                  <c:v>45954</c:v>
                </c:pt>
                <c:pt idx="31">
                  <c:v>45953</c:v>
                </c:pt>
                <c:pt idx="32">
                  <c:v>45952</c:v>
                </c:pt>
                <c:pt idx="33">
                  <c:v>45951</c:v>
                </c:pt>
                <c:pt idx="34">
                  <c:v>45950</c:v>
                </c:pt>
                <c:pt idx="35">
                  <c:v>45949</c:v>
                </c:pt>
                <c:pt idx="36">
                  <c:v>45948</c:v>
                </c:pt>
                <c:pt idx="37">
                  <c:v>45947</c:v>
                </c:pt>
                <c:pt idx="38">
                  <c:v>45946</c:v>
                </c:pt>
                <c:pt idx="39">
                  <c:v>45945</c:v>
                </c:pt>
                <c:pt idx="40">
                  <c:v>45944</c:v>
                </c:pt>
                <c:pt idx="41">
                  <c:v>45943</c:v>
                </c:pt>
                <c:pt idx="42">
                  <c:v>45942</c:v>
                </c:pt>
                <c:pt idx="43">
                  <c:v>45941</c:v>
                </c:pt>
                <c:pt idx="44">
                  <c:v>45940</c:v>
                </c:pt>
                <c:pt idx="45">
                  <c:v>45939</c:v>
                </c:pt>
                <c:pt idx="46">
                  <c:v>45938</c:v>
                </c:pt>
                <c:pt idx="47">
                  <c:v>45937</c:v>
                </c:pt>
                <c:pt idx="48">
                  <c:v>45936</c:v>
                </c:pt>
                <c:pt idx="49">
                  <c:v>45935</c:v>
                </c:pt>
                <c:pt idx="50">
                  <c:v>45934</c:v>
                </c:pt>
                <c:pt idx="51">
                  <c:v>45933</c:v>
                </c:pt>
                <c:pt idx="52">
                  <c:v>45932</c:v>
                </c:pt>
                <c:pt idx="53">
                  <c:v>45931</c:v>
                </c:pt>
                <c:pt idx="54">
                  <c:v>45930</c:v>
                </c:pt>
                <c:pt idx="55">
                  <c:v>45929</c:v>
                </c:pt>
                <c:pt idx="56">
                  <c:v>45928</c:v>
                </c:pt>
                <c:pt idx="57">
                  <c:v>45927</c:v>
                </c:pt>
                <c:pt idx="58">
                  <c:v>45926</c:v>
                </c:pt>
                <c:pt idx="59">
                  <c:v>45925</c:v>
                </c:pt>
                <c:pt idx="60">
                  <c:v>45924</c:v>
                </c:pt>
                <c:pt idx="61">
                  <c:v>45923</c:v>
                </c:pt>
                <c:pt idx="62">
                  <c:v>45922</c:v>
                </c:pt>
                <c:pt idx="63">
                  <c:v>45921</c:v>
                </c:pt>
                <c:pt idx="64">
                  <c:v>45920</c:v>
                </c:pt>
                <c:pt idx="65">
                  <c:v>45919</c:v>
                </c:pt>
                <c:pt idx="66">
                  <c:v>45918</c:v>
                </c:pt>
                <c:pt idx="67">
                  <c:v>45917</c:v>
                </c:pt>
                <c:pt idx="68">
                  <c:v>45916</c:v>
                </c:pt>
                <c:pt idx="69">
                  <c:v>45915</c:v>
                </c:pt>
                <c:pt idx="70">
                  <c:v>45914</c:v>
                </c:pt>
                <c:pt idx="71">
                  <c:v>45913</c:v>
                </c:pt>
                <c:pt idx="72">
                  <c:v>45912</c:v>
                </c:pt>
                <c:pt idx="73">
                  <c:v>45911</c:v>
                </c:pt>
                <c:pt idx="74">
                  <c:v>45910</c:v>
                </c:pt>
                <c:pt idx="75">
                  <c:v>45909</c:v>
                </c:pt>
                <c:pt idx="76">
                  <c:v>45908</c:v>
                </c:pt>
                <c:pt idx="77">
                  <c:v>45907</c:v>
                </c:pt>
                <c:pt idx="78">
                  <c:v>45906</c:v>
                </c:pt>
                <c:pt idx="79">
                  <c:v>45905</c:v>
                </c:pt>
                <c:pt idx="80">
                  <c:v>45904</c:v>
                </c:pt>
                <c:pt idx="81">
                  <c:v>45903</c:v>
                </c:pt>
                <c:pt idx="82">
                  <c:v>45902</c:v>
                </c:pt>
                <c:pt idx="83">
                  <c:v>45901</c:v>
                </c:pt>
                <c:pt idx="84">
                  <c:v>45900</c:v>
                </c:pt>
                <c:pt idx="85">
                  <c:v>45899</c:v>
                </c:pt>
                <c:pt idx="86">
                  <c:v>45898</c:v>
                </c:pt>
                <c:pt idx="87">
                  <c:v>45897</c:v>
                </c:pt>
                <c:pt idx="88">
                  <c:v>45896</c:v>
                </c:pt>
                <c:pt idx="89">
                  <c:v>45895</c:v>
                </c:pt>
                <c:pt idx="90">
                  <c:v>45894</c:v>
                </c:pt>
                <c:pt idx="91">
                  <c:v>45893</c:v>
                </c:pt>
                <c:pt idx="92">
                  <c:v>45892</c:v>
                </c:pt>
                <c:pt idx="93">
                  <c:v>45891</c:v>
                </c:pt>
                <c:pt idx="94">
                  <c:v>45890</c:v>
                </c:pt>
                <c:pt idx="95">
                  <c:v>45889</c:v>
                </c:pt>
                <c:pt idx="96">
                  <c:v>45888</c:v>
                </c:pt>
                <c:pt idx="97">
                  <c:v>45887</c:v>
                </c:pt>
                <c:pt idx="98">
                  <c:v>45886</c:v>
                </c:pt>
                <c:pt idx="99">
                  <c:v>45885</c:v>
                </c:pt>
                <c:pt idx="100">
                  <c:v>45884</c:v>
                </c:pt>
                <c:pt idx="101">
                  <c:v>45883</c:v>
                </c:pt>
                <c:pt idx="102">
                  <c:v>45882</c:v>
                </c:pt>
                <c:pt idx="103">
                  <c:v>45881</c:v>
                </c:pt>
                <c:pt idx="104">
                  <c:v>45880</c:v>
                </c:pt>
                <c:pt idx="105">
                  <c:v>45879</c:v>
                </c:pt>
                <c:pt idx="106">
                  <c:v>45878</c:v>
                </c:pt>
                <c:pt idx="107">
                  <c:v>45877</c:v>
                </c:pt>
                <c:pt idx="108">
                  <c:v>45876</c:v>
                </c:pt>
                <c:pt idx="109">
                  <c:v>45875</c:v>
                </c:pt>
                <c:pt idx="110">
                  <c:v>45874</c:v>
                </c:pt>
                <c:pt idx="111">
                  <c:v>45873</c:v>
                </c:pt>
                <c:pt idx="112">
                  <c:v>45872</c:v>
                </c:pt>
                <c:pt idx="113">
                  <c:v>45871</c:v>
                </c:pt>
                <c:pt idx="114">
                  <c:v>45870</c:v>
                </c:pt>
                <c:pt idx="115">
                  <c:v>45869</c:v>
                </c:pt>
                <c:pt idx="116">
                  <c:v>45868</c:v>
                </c:pt>
                <c:pt idx="117">
                  <c:v>45867</c:v>
                </c:pt>
                <c:pt idx="118">
                  <c:v>45866</c:v>
                </c:pt>
                <c:pt idx="119">
                  <c:v>45865</c:v>
                </c:pt>
                <c:pt idx="120">
                  <c:v>45864</c:v>
                </c:pt>
                <c:pt idx="121">
                  <c:v>45863</c:v>
                </c:pt>
                <c:pt idx="122">
                  <c:v>45862</c:v>
                </c:pt>
                <c:pt idx="123">
                  <c:v>45861</c:v>
                </c:pt>
                <c:pt idx="124">
                  <c:v>45860</c:v>
                </c:pt>
                <c:pt idx="125">
                  <c:v>45859</c:v>
                </c:pt>
                <c:pt idx="126">
                  <c:v>45858</c:v>
                </c:pt>
                <c:pt idx="127">
                  <c:v>45857</c:v>
                </c:pt>
                <c:pt idx="128">
                  <c:v>45856</c:v>
                </c:pt>
                <c:pt idx="129">
                  <c:v>45855</c:v>
                </c:pt>
                <c:pt idx="130">
                  <c:v>45854</c:v>
                </c:pt>
                <c:pt idx="131">
                  <c:v>45853</c:v>
                </c:pt>
                <c:pt idx="132">
                  <c:v>45852</c:v>
                </c:pt>
                <c:pt idx="133">
                  <c:v>45851</c:v>
                </c:pt>
                <c:pt idx="134">
                  <c:v>45850</c:v>
                </c:pt>
                <c:pt idx="135">
                  <c:v>45849</c:v>
                </c:pt>
                <c:pt idx="136">
                  <c:v>45848</c:v>
                </c:pt>
                <c:pt idx="137">
                  <c:v>45847</c:v>
                </c:pt>
                <c:pt idx="138">
                  <c:v>45846</c:v>
                </c:pt>
                <c:pt idx="139">
                  <c:v>45845</c:v>
                </c:pt>
                <c:pt idx="140">
                  <c:v>45844</c:v>
                </c:pt>
                <c:pt idx="141">
                  <c:v>45843</c:v>
                </c:pt>
                <c:pt idx="142">
                  <c:v>45842</c:v>
                </c:pt>
                <c:pt idx="143">
                  <c:v>45841</c:v>
                </c:pt>
                <c:pt idx="144">
                  <c:v>45840</c:v>
                </c:pt>
                <c:pt idx="145">
                  <c:v>45839</c:v>
                </c:pt>
                <c:pt idx="146">
                  <c:v>45838</c:v>
                </c:pt>
                <c:pt idx="147">
                  <c:v>45837</c:v>
                </c:pt>
                <c:pt idx="148">
                  <c:v>45836</c:v>
                </c:pt>
                <c:pt idx="149">
                  <c:v>45835</c:v>
                </c:pt>
                <c:pt idx="150">
                  <c:v>45834</c:v>
                </c:pt>
                <c:pt idx="151">
                  <c:v>45833</c:v>
                </c:pt>
                <c:pt idx="152">
                  <c:v>45832</c:v>
                </c:pt>
                <c:pt idx="153">
                  <c:v>45831</c:v>
                </c:pt>
                <c:pt idx="154">
                  <c:v>45830</c:v>
                </c:pt>
                <c:pt idx="155">
                  <c:v>45829</c:v>
                </c:pt>
                <c:pt idx="156">
                  <c:v>45828</c:v>
                </c:pt>
                <c:pt idx="157">
                  <c:v>45827</c:v>
                </c:pt>
                <c:pt idx="158">
                  <c:v>45826</c:v>
                </c:pt>
                <c:pt idx="159">
                  <c:v>45825</c:v>
                </c:pt>
                <c:pt idx="160">
                  <c:v>45824</c:v>
                </c:pt>
                <c:pt idx="161">
                  <c:v>45823</c:v>
                </c:pt>
                <c:pt idx="162">
                  <c:v>45822</c:v>
                </c:pt>
                <c:pt idx="163">
                  <c:v>45821</c:v>
                </c:pt>
                <c:pt idx="164">
                  <c:v>45820</c:v>
                </c:pt>
                <c:pt idx="165">
                  <c:v>45819</c:v>
                </c:pt>
                <c:pt idx="166">
                  <c:v>45818</c:v>
                </c:pt>
                <c:pt idx="167">
                  <c:v>45817</c:v>
                </c:pt>
                <c:pt idx="168">
                  <c:v>45816</c:v>
                </c:pt>
                <c:pt idx="169">
                  <c:v>45815</c:v>
                </c:pt>
                <c:pt idx="170">
                  <c:v>45814</c:v>
                </c:pt>
                <c:pt idx="171">
                  <c:v>45813</c:v>
                </c:pt>
                <c:pt idx="172">
                  <c:v>45812</c:v>
                </c:pt>
                <c:pt idx="173">
                  <c:v>45811</c:v>
                </c:pt>
                <c:pt idx="174">
                  <c:v>45810</c:v>
                </c:pt>
                <c:pt idx="175">
                  <c:v>45809</c:v>
                </c:pt>
                <c:pt idx="176">
                  <c:v>45808</c:v>
                </c:pt>
                <c:pt idx="177">
                  <c:v>45807</c:v>
                </c:pt>
                <c:pt idx="178">
                  <c:v>45806</c:v>
                </c:pt>
                <c:pt idx="179">
                  <c:v>45805</c:v>
                </c:pt>
                <c:pt idx="180">
                  <c:v>45804</c:v>
                </c:pt>
                <c:pt idx="181">
                  <c:v>45803</c:v>
                </c:pt>
                <c:pt idx="182">
                  <c:v>45802</c:v>
                </c:pt>
                <c:pt idx="183">
                  <c:v>45801</c:v>
                </c:pt>
                <c:pt idx="184">
                  <c:v>45800</c:v>
                </c:pt>
                <c:pt idx="185">
                  <c:v>45799</c:v>
                </c:pt>
                <c:pt idx="186">
                  <c:v>45798</c:v>
                </c:pt>
                <c:pt idx="187">
                  <c:v>45797</c:v>
                </c:pt>
                <c:pt idx="188">
                  <c:v>45796</c:v>
                </c:pt>
                <c:pt idx="189">
                  <c:v>45795</c:v>
                </c:pt>
                <c:pt idx="190">
                  <c:v>45794</c:v>
                </c:pt>
                <c:pt idx="191">
                  <c:v>45793</c:v>
                </c:pt>
                <c:pt idx="192">
                  <c:v>45792</c:v>
                </c:pt>
                <c:pt idx="193">
                  <c:v>45791</c:v>
                </c:pt>
                <c:pt idx="194">
                  <c:v>45790</c:v>
                </c:pt>
                <c:pt idx="195">
                  <c:v>45789</c:v>
                </c:pt>
                <c:pt idx="196">
                  <c:v>45788</c:v>
                </c:pt>
                <c:pt idx="197">
                  <c:v>45787</c:v>
                </c:pt>
                <c:pt idx="198">
                  <c:v>45786</c:v>
                </c:pt>
                <c:pt idx="199">
                  <c:v>45785</c:v>
                </c:pt>
                <c:pt idx="200">
                  <c:v>45784</c:v>
                </c:pt>
                <c:pt idx="201">
                  <c:v>45783</c:v>
                </c:pt>
                <c:pt idx="202">
                  <c:v>45782</c:v>
                </c:pt>
                <c:pt idx="203">
                  <c:v>45781</c:v>
                </c:pt>
                <c:pt idx="204">
                  <c:v>45780</c:v>
                </c:pt>
                <c:pt idx="205">
                  <c:v>45779</c:v>
                </c:pt>
                <c:pt idx="206">
                  <c:v>45778</c:v>
                </c:pt>
                <c:pt idx="207">
                  <c:v>45777</c:v>
                </c:pt>
                <c:pt idx="208">
                  <c:v>45776</c:v>
                </c:pt>
                <c:pt idx="209">
                  <c:v>45775</c:v>
                </c:pt>
                <c:pt idx="210">
                  <c:v>45774</c:v>
                </c:pt>
                <c:pt idx="211">
                  <c:v>45773</c:v>
                </c:pt>
                <c:pt idx="212">
                  <c:v>45772</c:v>
                </c:pt>
                <c:pt idx="213">
                  <c:v>45771</c:v>
                </c:pt>
                <c:pt idx="214">
                  <c:v>45770</c:v>
                </c:pt>
                <c:pt idx="215">
                  <c:v>45769</c:v>
                </c:pt>
                <c:pt idx="216">
                  <c:v>45768</c:v>
                </c:pt>
                <c:pt idx="217">
                  <c:v>45767</c:v>
                </c:pt>
                <c:pt idx="218">
                  <c:v>45766</c:v>
                </c:pt>
                <c:pt idx="219">
                  <c:v>45765</c:v>
                </c:pt>
                <c:pt idx="220">
                  <c:v>45764</c:v>
                </c:pt>
                <c:pt idx="221">
                  <c:v>45763</c:v>
                </c:pt>
                <c:pt idx="222">
                  <c:v>45762</c:v>
                </c:pt>
                <c:pt idx="223">
                  <c:v>45761</c:v>
                </c:pt>
                <c:pt idx="224">
                  <c:v>45760</c:v>
                </c:pt>
                <c:pt idx="225">
                  <c:v>45759</c:v>
                </c:pt>
                <c:pt idx="226">
                  <c:v>45758</c:v>
                </c:pt>
                <c:pt idx="227">
                  <c:v>45757</c:v>
                </c:pt>
                <c:pt idx="228">
                  <c:v>45756</c:v>
                </c:pt>
                <c:pt idx="229">
                  <c:v>45755</c:v>
                </c:pt>
                <c:pt idx="230">
                  <c:v>45754</c:v>
                </c:pt>
                <c:pt idx="231">
                  <c:v>45753</c:v>
                </c:pt>
                <c:pt idx="232">
                  <c:v>45752</c:v>
                </c:pt>
                <c:pt idx="233">
                  <c:v>45751</c:v>
                </c:pt>
                <c:pt idx="234">
                  <c:v>45750</c:v>
                </c:pt>
                <c:pt idx="235">
                  <c:v>45749</c:v>
                </c:pt>
                <c:pt idx="236">
                  <c:v>45748</c:v>
                </c:pt>
                <c:pt idx="237">
                  <c:v>45747</c:v>
                </c:pt>
                <c:pt idx="238">
                  <c:v>45746</c:v>
                </c:pt>
                <c:pt idx="239">
                  <c:v>45745</c:v>
                </c:pt>
                <c:pt idx="240">
                  <c:v>45744</c:v>
                </c:pt>
                <c:pt idx="241">
                  <c:v>45743</c:v>
                </c:pt>
                <c:pt idx="242">
                  <c:v>45742</c:v>
                </c:pt>
                <c:pt idx="243">
                  <c:v>45741</c:v>
                </c:pt>
                <c:pt idx="244">
                  <c:v>45740</c:v>
                </c:pt>
                <c:pt idx="245">
                  <c:v>45739</c:v>
                </c:pt>
                <c:pt idx="246">
                  <c:v>45738</c:v>
                </c:pt>
                <c:pt idx="247">
                  <c:v>45737</c:v>
                </c:pt>
                <c:pt idx="248">
                  <c:v>45736</c:v>
                </c:pt>
                <c:pt idx="249">
                  <c:v>45735</c:v>
                </c:pt>
                <c:pt idx="250">
                  <c:v>45734</c:v>
                </c:pt>
                <c:pt idx="251">
                  <c:v>45733</c:v>
                </c:pt>
                <c:pt idx="252">
                  <c:v>45732</c:v>
                </c:pt>
                <c:pt idx="253">
                  <c:v>45731</c:v>
                </c:pt>
                <c:pt idx="254">
                  <c:v>45730</c:v>
                </c:pt>
                <c:pt idx="255">
                  <c:v>45729</c:v>
                </c:pt>
                <c:pt idx="256">
                  <c:v>45728</c:v>
                </c:pt>
                <c:pt idx="257">
                  <c:v>45727</c:v>
                </c:pt>
                <c:pt idx="258">
                  <c:v>45726</c:v>
                </c:pt>
                <c:pt idx="259">
                  <c:v>45725</c:v>
                </c:pt>
                <c:pt idx="260">
                  <c:v>45724</c:v>
                </c:pt>
                <c:pt idx="261">
                  <c:v>45723</c:v>
                </c:pt>
                <c:pt idx="262">
                  <c:v>45722</c:v>
                </c:pt>
                <c:pt idx="263">
                  <c:v>45721</c:v>
                </c:pt>
                <c:pt idx="264">
                  <c:v>45720</c:v>
                </c:pt>
                <c:pt idx="265">
                  <c:v>45719</c:v>
                </c:pt>
                <c:pt idx="266">
                  <c:v>45718</c:v>
                </c:pt>
                <c:pt idx="267">
                  <c:v>45717</c:v>
                </c:pt>
                <c:pt idx="268">
                  <c:v>45716</c:v>
                </c:pt>
                <c:pt idx="269">
                  <c:v>45715</c:v>
                </c:pt>
                <c:pt idx="270">
                  <c:v>45714</c:v>
                </c:pt>
                <c:pt idx="271">
                  <c:v>45713</c:v>
                </c:pt>
                <c:pt idx="272">
                  <c:v>45712</c:v>
                </c:pt>
                <c:pt idx="273">
                  <c:v>45711</c:v>
                </c:pt>
                <c:pt idx="274">
                  <c:v>45710</c:v>
                </c:pt>
                <c:pt idx="275">
                  <c:v>45709</c:v>
                </c:pt>
                <c:pt idx="276">
                  <c:v>45708</c:v>
                </c:pt>
                <c:pt idx="277">
                  <c:v>45707</c:v>
                </c:pt>
                <c:pt idx="278">
                  <c:v>45706</c:v>
                </c:pt>
                <c:pt idx="279">
                  <c:v>45705</c:v>
                </c:pt>
                <c:pt idx="280">
                  <c:v>45704</c:v>
                </c:pt>
                <c:pt idx="281">
                  <c:v>45703</c:v>
                </c:pt>
                <c:pt idx="282">
                  <c:v>45702</c:v>
                </c:pt>
                <c:pt idx="283">
                  <c:v>45701</c:v>
                </c:pt>
                <c:pt idx="284">
                  <c:v>45700</c:v>
                </c:pt>
                <c:pt idx="285">
                  <c:v>45699</c:v>
                </c:pt>
                <c:pt idx="286">
                  <c:v>45698</c:v>
                </c:pt>
                <c:pt idx="287">
                  <c:v>45697</c:v>
                </c:pt>
                <c:pt idx="288">
                  <c:v>45696</c:v>
                </c:pt>
                <c:pt idx="289">
                  <c:v>45695</c:v>
                </c:pt>
                <c:pt idx="290">
                  <c:v>45694</c:v>
                </c:pt>
                <c:pt idx="291">
                  <c:v>45693</c:v>
                </c:pt>
                <c:pt idx="292">
                  <c:v>45692</c:v>
                </c:pt>
                <c:pt idx="293">
                  <c:v>45691</c:v>
                </c:pt>
                <c:pt idx="294">
                  <c:v>45690</c:v>
                </c:pt>
                <c:pt idx="295">
                  <c:v>45689</c:v>
                </c:pt>
                <c:pt idx="296">
                  <c:v>45688</c:v>
                </c:pt>
                <c:pt idx="297">
                  <c:v>45687</c:v>
                </c:pt>
                <c:pt idx="298">
                  <c:v>45686</c:v>
                </c:pt>
                <c:pt idx="299">
                  <c:v>45685</c:v>
                </c:pt>
                <c:pt idx="300">
                  <c:v>45684</c:v>
                </c:pt>
                <c:pt idx="301">
                  <c:v>45683</c:v>
                </c:pt>
                <c:pt idx="302">
                  <c:v>45682</c:v>
                </c:pt>
                <c:pt idx="303">
                  <c:v>45681</c:v>
                </c:pt>
                <c:pt idx="304">
                  <c:v>45680</c:v>
                </c:pt>
                <c:pt idx="305">
                  <c:v>45679</c:v>
                </c:pt>
                <c:pt idx="306">
                  <c:v>45678</c:v>
                </c:pt>
                <c:pt idx="307">
                  <c:v>45677</c:v>
                </c:pt>
                <c:pt idx="308">
                  <c:v>45676</c:v>
                </c:pt>
                <c:pt idx="309">
                  <c:v>45675</c:v>
                </c:pt>
                <c:pt idx="310">
                  <c:v>45674</c:v>
                </c:pt>
                <c:pt idx="311">
                  <c:v>45673</c:v>
                </c:pt>
                <c:pt idx="312">
                  <c:v>45672</c:v>
                </c:pt>
                <c:pt idx="313">
                  <c:v>45671</c:v>
                </c:pt>
                <c:pt idx="314">
                  <c:v>45670</c:v>
                </c:pt>
                <c:pt idx="315">
                  <c:v>45669</c:v>
                </c:pt>
                <c:pt idx="316">
                  <c:v>45668</c:v>
                </c:pt>
                <c:pt idx="317">
                  <c:v>45667</c:v>
                </c:pt>
                <c:pt idx="318">
                  <c:v>45666</c:v>
                </c:pt>
                <c:pt idx="319">
                  <c:v>45665</c:v>
                </c:pt>
                <c:pt idx="320">
                  <c:v>45664</c:v>
                </c:pt>
                <c:pt idx="321">
                  <c:v>45663</c:v>
                </c:pt>
                <c:pt idx="322">
                  <c:v>45662</c:v>
                </c:pt>
                <c:pt idx="323">
                  <c:v>45661</c:v>
                </c:pt>
                <c:pt idx="324">
                  <c:v>45660</c:v>
                </c:pt>
                <c:pt idx="325">
                  <c:v>45659</c:v>
                </c:pt>
                <c:pt idx="326">
                  <c:v>45658</c:v>
                </c:pt>
                <c:pt idx="327">
                  <c:v>45657</c:v>
                </c:pt>
                <c:pt idx="328">
                  <c:v>45656</c:v>
                </c:pt>
                <c:pt idx="329">
                  <c:v>45655</c:v>
                </c:pt>
                <c:pt idx="330">
                  <c:v>45654</c:v>
                </c:pt>
                <c:pt idx="331">
                  <c:v>45653</c:v>
                </c:pt>
                <c:pt idx="332">
                  <c:v>45652</c:v>
                </c:pt>
                <c:pt idx="333">
                  <c:v>45651</c:v>
                </c:pt>
                <c:pt idx="334">
                  <c:v>45650</c:v>
                </c:pt>
                <c:pt idx="335">
                  <c:v>45649</c:v>
                </c:pt>
                <c:pt idx="336">
                  <c:v>45648</c:v>
                </c:pt>
                <c:pt idx="337">
                  <c:v>45647</c:v>
                </c:pt>
                <c:pt idx="338">
                  <c:v>45646</c:v>
                </c:pt>
                <c:pt idx="339">
                  <c:v>45645</c:v>
                </c:pt>
                <c:pt idx="340">
                  <c:v>45644</c:v>
                </c:pt>
                <c:pt idx="341">
                  <c:v>45643</c:v>
                </c:pt>
                <c:pt idx="342">
                  <c:v>45642</c:v>
                </c:pt>
                <c:pt idx="343">
                  <c:v>45641</c:v>
                </c:pt>
                <c:pt idx="344">
                  <c:v>45640</c:v>
                </c:pt>
                <c:pt idx="345">
                  <c:v>45639</c:v>
                </c:pt>
                <c:pt idx="346">
                  <c:v>45638</c:v>
                </c:pt>
                <c:pt idx="347">
                  <c:v>45637</c:v>
                </c:pt>
                <c:pt idx="348">
                  <c:v>45636</c:v>
                </c:pt>
                <c:pt idx="349">
                  <c:v>45635</c:v>
                </c:pt>
                <c:pt idx="350">
                  <c:v>45634</c:v>
                </c:pt>
                <c:pt idx="351">
                  <c:v>45633</c:v>
                </c:pt>
                <c:pt idx="352">
                  <c:v>45632</c:v>
                </c:pt>
                <c:pt idx="353">
                  <c:v>45631</c:v>
                </c:pt>
                <c:pt idx="354">
                  <c:v>45630</c:v>
                </c:pt>
                <c:pt idx="355">
                  <c:v>45629</c:v>
                </c:pt>
                <c:pt idx="356">
                  <c:v>45628</c:v>
                </c:pt>
                <c:pt idx="357">
                  <c:v>45627</c:v>
                </c:pt>
                <c:pt idx="358">
                  <c:v>45626</c:v>
                </c:pt>
                <c:pt idx="359">
                  <c:v>45625</c:v>
                </c:pt>
                <c:pt idx="360">
                  <c:v>45624</c:v>
                </c:pt>
                <c:pt idx="361">
                  <c:v>45623</c:v>
                </c:pt>
                <c:pt idx="362">
                  <c:v>45622</c:v>
                </c:pt>
                <c:pt idx="363">
                  <c:v>45621</c:v>
                </c:pt>
                <c:pt idx="364">
                  <c:v>45620</c:v>
                </c:pt>
                <c:pt idx="365">
                  <c:v>45619</c:v>
                </c:pt>
                <c:pt idx="366">
                  <c:v>45618</c:v>
                </c:pt>
                <c:pt idx="367">
                  <c:v>45617</c:v>
                </c:pt>
                <c:pt idx="368">
                  <c:v>45616</c:v>
                </c:pt>
                <c:pt idx="369">
                  <c:v>45615</c:v>
                </c:pt>
                <c:pt idx="370">
                  <c:v>45614</c:v>
                </c:pt>
                <c:pt idx="371">
                  <c:v>45613</c:v>
                </c:pt>
                <c:pt idx="372">
                  <c:v>45612</c:v>
                </c:pt>
                <c:pt idx="373">
                  <c:v>45611</c:v>
                </c:pt>
                <c:pt idx="374">
                  <c:v>45610</c:v>
                </c:pt>
                <c:pt idx="375">
                  <c:v>45609</c:v>
                </c:pt>
                <c:pt idx="376">
                  <c:v>45608</c:v>
                </c:pt>
                <c:pt idx="377">
                  <c:v>45607</c:v>
                </c:pt>
                <c:pt idx="378">
                  <c:v>45606</c:v>
                </c:pt>
                <c:pt idx="379">
                  <c:v>45605</c:v>
                </c:pt>
                <c:pt idx="380">
                  <c:v>45604</c:v>
                </c:pt>
                <c:pt idx="381">
                  <c:v>45603</c:v>
                </c:pt>
                <c:pt idx="382">
                  <c:v>45602</c:v>
                </c:pt>
                <c:pt idx="383">
                  <c:v>45601</c:v>
                </c:pt>
                <c:pt idx="384">
                  <c:v>45600</c:v>
                </c:pt>
                <c:pt idx="385">
                  <c:v>45599</c:v>
                </c:pt>
                <c:pt idx="386">
                  <c:v>45598</c:v>
                </c:pt>
                <c:pt idx="387">
                  <c:v>45597</c:v>
                </c:pt>
                <c:pt idx="388">
                  <c:v>45596</c:v>
                </c:pt>
                <c:pt idx="389">
                  <c:v>45595</c:v>
                </c:pt>
                <c:pt idx="390">
                  <c:v>45594</c:v>
                </c:pt>
                <c:pt idx="391">
                  <c:v>45593</c:v>
                </c:pt>
                <c:pt idx="392">
                  <c:v>45592</c:v>
                </c:pt>
                <c:pt idx="393">
                  <c:v>45591</c:v>
                </c:pt>
                <c:pt idx="394">
                  <c:v>45590</c:v>
                </c:pt>
                <c:pt idx="395">
                  <c:v>45589</c:v>
                </c:pt>
                <c:pt idx="396">
                  <c:v>45588</c:v>
                </c:pt>
                <c:pt idx="397">
                  <c:v>45587</c:v>
                </c:pt>
                <c:pt idx="398">
                  <c:v>45586</c:v>
                </c:pt>
                <c:pt idx="399">
                  <c:v>45585</c:v>
                </c:pt>
                <c:pt idx="400">
                  <c:v>45584</c:v>
                </c:pt>
                <c:pt idx="401">
                  <c:v>45583</c:v>
                </c:pt>
                <c:pt idx="402">
                  <c:v>45582</c:v>
                </c:pt>
                <c:pt idx="403">
                  <c:v>45581</c:v>
                </c:pt>
                <c:pt idx="404">
                  <c:v>45580</c:v>
                </c:pt>
              </c:numCache>
            </c:numRef>
          </c:cat>
          <c:val>
            <c:numRef>
              <c:f>Dashboard!$D$154:$D$558</c:f>
              <c:numCache>
                <c:formatCode>General</c:formatCode>
                <c:ptCount val="405"/>
                <c:pt idx="39">
                  <c:v>126.62</c:v>
                </c:pt>
                <c:pt idx="40">
                  <c:v>126.62</c:v>
                </c:pt>
                <c:pt idx="41">
                  <c:v>126.62</c:v>
                </c:pt>
                <c:pt idx="42">
                  <c:v>126.62</c:v>
                </c:pt>
                <c:pt idx="43">
                  <c:v>125.94</c:v>
                </c:pt>
                <c:pt idx="44">
                  <c:v>124.08</c:v>
                </c:pt>
                <c:pt idx="45">
                  <c:v>124.94</c:v>
                </c:pt>
                <c:pt idx="46">
                  <c:v>124.89</c:v>
                </c:pt>
                <c:pt idx="47">
                  <c:v>124.89</c:v>
                </c:pt>
                <c:pt idx="48">
                  <c:v>124.89</c:v>
                </c:pt>
                <c:pt idx="49">
                  <c:v>124.89</c:v>
                </c:pt>
                <c:pt idx="50">
                  <c:v>125.74</c:v>
                </c:pt>
                <c:pt idx="51">
                  <c:v>125.64</c:v>
                </c:pt>
                <c:pt idx="52">
                  <c:v>125.56</c:v>
                </c:pt>
                <c:pt idx="53">
                  <c:v>123.13</c:v>
                </c:pt>
                <c:pt idx="54">
                  <c:v>122.98</c:v>
                </c:pt>
                <c:pt idx="55">
                  <c:v>122.98</c:v>
                </c:pt>
                <c:pt idx="56">
                  <c:v>122.98</c:v>
                </c:pt>
                <c:pt idx="57">
                  <c:v>121.58</c:v>
                </c:pt>
                <c:pt idx="58">
                  <c:v>120.09</c:v>
                </c:pt>
                <c:pt idx="59">
                  <c:v>120.77</c:v>
                </c:pt>
                <c:pt idx="60">
                  <c:v>120.28</c:v>
                </c:pt>
                <c:pt idx="61">
                  <c:v>119.57</c:v>
                </c:pt>
                <c:pt idx="62">
                  <c:v>119.57</c:v>
                </c:pt>
                <c:pt idx="63">
                  <c:v>119.57</c:v>
                </c:pt>
                <c:pt idx="64">
                  <c:v>120.12</c:v>
                </c:pt>
                <c:pt idx="65">
                  <c:v>122.02</c:v>
                </c:pt>
                <c:pt idx="66">
                  <c:v>120.88</c:v>
                </c:pt>
                <c:pt idx="67">
                  <c:v>119.24</c:v>
                </c:pt>
                <c:pt idx="68">
                  <c:v>118.43</c:v>
                </c:pt>
                <c:pt idx="69">
                  <c:v>118.43</c:v>
                </c:pt>
                <c:pt idx="70">
                  <c:v>118.43</c:v>
                </c:pt>
                <c:pt idx="71">
                  <c:v>119.21</c:v>
                </c:pt>
                <c:pt idx="72">
                  <c:v>118.83</c:v>
                </c:pt>
                <c:pt idx="73">
                  <c:v>119</c:v>
                </c:pt>
                <c:pt idx="74">
                  <c:v>111.94</c:v>
                </c:pt>
                <c:pt idx="75">
                  <c:v>111.08</c:v>
                </c:pt>
                <c:pt idx="76">
                  <c:v>111.08</c:v>
                </c:pt>
                <c:pt idx="77">
                  <c:v>111.08</c:v>
                </c:pt>
                <c:pt idx="78">
                  <c:v>112.74</c:v>
                </c:pt>
                <c:pt idx="79">
                  <c:v>112.56</c:v>
                </c:pt>
                <c:pt idx="80">
                  <c:v>113</c:v>
                </c:pt>
                <c:pt idx="81">
                  <c:v>113.84</c:v>
                </c:pt>
                <c:pt idx="82">
                  <c:v>115.36</c:v>
                </c:pt>
                <c:pt idx="83">
                  <c:v>115.36</c:v>
                </c:pt>
                <c:pt idx="84">
                  <c:v>115.36</c:v>
                </c:pt>
                <c:pt idx="85">
                  <c:v>113.08</c:v>
                </c:pt>
                <c:pt idx="86">
                  <c:v>113.42</c:v>
                </c:pt>
                <c:pt idx="87">
                  <c:v>112.44</c:v>
                </c:pt>
                <c:pt idx="88">
                  <c:v>112.16</c:v>
                </c:pt>
                <c:pt idx="89">
                  <c:v>113.31</c:v>
                </c:pt>
                <c:pt idx="90">
                  <c:v>113.31</c:v>
                </c:pt>
                <c:pt idx="91">
                  <c:v>113.31</c:v>
                </c:pt>
                <c:pt idx="92">
                  <c:v>114</c:v>
                </c:pt>
                <c:pt idx="93">
                  <c:v>113.18</c:v>
                </c:pt>
                <c:pt idx="94">
                  <c:v>113.05</c:v>
                </c:pt>
                <c:pt idx="95">
                  <c:v>114.55</c:v>
                </c:pt>
                <c:pt idx="96">
                  <c:v>114.44</c:v>
                </c:pt>
                <c:pt idx="97">
                  <c:v>114.44</c:v>
                </c:pt>
                <c:pt idx="98">
                  <c:v>114.44</c:v>
                </c:pt>
                <c:pt idx="99">
                  <c:v>115.64</c:v>
                </c:pt>
                <c:pt idx="100">
                  <c:v>115.62</c:v>
                </c:pt>
                <c:pt idx="101">
                  <c:v>114.94</c:v>
                </c:pt>
                <c:pt idx="102">
                  <c:v>115.43</c:v>
                </c:pt>
                <c:pt idx="103">
                  <c:v>115.75</c:v>
                </c:pt>
                <c:pt idx="104">
                  <c:v>115.75</c:v>
                </c:pt>
                <c:pt idx="105">
                  <c:v>115.75</c:v>
                </c:pt>
                <c:pt idx="106">
                  <c:v>115.75</c:v>
                </c:pt>
                <c:pt idx="107">
                  <c:v>114.46</c:v>
                </c:pt>
                <c:pt idx="108">
                  <c:v>113.96</c:v>
                </c:pt>
                <c:pt idx="109">
                  <c:v>112.86</c:v>
                </c:pt>
                <c:pt idx="110">
                  <c:v>112.79</c:v>
                </c:pt>
                <c:pt idx="111">
                  <c:v>112.79</c:v>
                </c:pt>
                <c:pt idx="112">
                  <c:v>112.79</c:v>
                </c:pt>
                <c:pt idx="113">
                  <c:v>112.21</c:v>
                </c:pt>
                <c:pt idx="114">
                  <c:v>111.06</c:v>
                </c:pt>
                <c:pt idx="115">
                  <c:v>112.36</c:v>
                </c:pt>
                <c:pt idx="116">
                  <c:v>111.54</c:v>
                </c:pt>
                <c:pt idx="117">
                  <c:v>109.56</c:v>
                </c:pt>
                <c:pt idx="118">
                  <c:v>109.56</c:v>
                </c:pt>
                <c:pt idx="119">
                  <c:v>109.56</c:v>
                </c:pt>
                <c:pt idx="120">
                  <c:v>110.4</c:v>
                </c:pt>
                <c:pt idx="121">
                  <c:v>110.4</c:v>
                </c:pt>
                <c:pt idx="122">
                  <c:v>112.19</c:v>
                </c:pt>
                <c:pt idx="123">
                  <c:v>113.06</c:v>
                </c:pt>
                <c:pt idx="124">
                  <c:v>111.99</c:v>
                </c:pt>
                <c:pt idx="125">
                  <c:v>111.99</c:v>
                </c:pt>
                <c:pt idx="126">
                  <c:v>111.99</c:v>
                </c:pt>
                <c:pt idx="127">
                  <c:v>112.13</c:v>
                </c:pt>
                <c:pt idx="128">
                  <c:v>112.2</c:v>
                </c:pt>
                <c:pt idx="129">
                  <c:v>111.03</c:v>
                </c:pt>
                <c:pt idx="130">
                  <c:v>110.93</c:v>
                </c:pt>
                <c:pt idx="131">
                  <c:v>111.35</c:v>
                </c:pt>
                <c:pt idx="132">
                  <c:v>111.35</c:v>
                </c:pt>
                <c:pt idx="133">
                  <c:v>111.35</c:v>
                </c:pt>
                <c:pt idx="134">
                  <c:v>110.64</c:v>
                </c:pt>
                <c:pt idx="135">
                  <c:v>110.8</c:v>
                </c:pt>
                <c:pt idx="136">
                  <c:v>110.69</c:v>
                </c:pt>
                <c:pt idx="137">
                  <c:v>109.09</c:v>
                </c:pt>
                <c:pt idx="138">
                  <c:v>109.85</c:v>
                </c:pt>
                <c:pt idx="139">
                  <c:v>109.85</c:v>
                </c:pt>
                <c:pt idx="140">
                  <c:v>109.85</c:v>
                </c:pt>
                <c:pt idx="141">
                  <c:v>108.79</c:v>
                </c:pt>
                <c:pt idx="142">
                  <c:v>108.15</c:v>
                </c:pt>
                <c:pt idx="143">
                  <c:v>109.37</c:v>
                </c:pt>
                <c:pt idx="144">
                  <c:v>107.6</c:v>
                </c:pt>
                <c:pt idx="145">
                  <c:v>107.6</c:v>
                </c:pt>
                <c:pt idx="146">
                  <c:v>107.6</c:v>
                </c:pt>
                <c:pt idx="147">
                  <c:v>107.6</c:v>
                </c:pt>
                <c:pt idx="148">
                  <c:v>107.37</c:v>
                </c:pt>
                <c:pt idx="149">
                  <c:v>107.44</c:v>
                </c:pt>
                <c:pt idx="150">
                  <c:v>108.96</c:v>
                </c:pt>
                <c:pt idx="151">
                  <c:v>108.93</c:v>
                </c:pt>
                <c:pt idx="152">
                  <c:v>109.37</c:v>
                </c:pt>
                <c:pt idx="153">
                  <c:v>109.37</c:v>
                </c:pt>
                <c:pt idx="154">
                  <c:v>109.37</c:v>
                </c:pt>
                <c:pt idx="155">
                  <c:v>108.28</c:v>
                </c:pt>
                <c:pt idx="156">
                  <c:v>107.07</c:v>
                </c:pt>
                <c:pt idx="157">
                  <c:v>106.68</c:v>
                </c:pt>
                <c:pt idx="158">
                  <c:v>106.33</c:v>
                </c:pt>
                <c:pt idx="159">
                  <c:v>104.65</c:v>
                </c:pt>
                <c:pt idx="160">
                  <c:v>104.65</c:v>
                </c:pt>
                <c:pt idx="161">
                  <c:v>104.65</c:v>
                </c:pt>
                <c:pt idx="162">
                  <c:v>104.37</c:v>
                </c:pt>
                <c:pt idx="163">
                  <c:v>101.5</c:v>
                </c:pt>
                <c:pt idx="164">
                  <c:v>102.93</c:v>
                </c:pt>
                <c:pt idx="165">
                  <c:v>102.18</c:v>
                </c:pt>
                <c:pt idx="166">
                  <c:v>102.35</c:v>
                </c:pt>
                <c:pt idx="167">
                  <c:v>102.35</c:v>
                </c:pt>
                <c:pt idx="168">
                  <c:v>102.35</c:v>
                </c:pt>
                <c:pt idx="169">
                  <c:v>100.25</c:v>
                </c:pt>
                <c:pt idx="170">
                  <c:v>98.65</c:v>
                </c:pt>
                <c:pt idx="171">
                  <c:v>98.17</c:v>
                </c:pt>
                <c:pt idx="172">
                  <c:v>97.44</c:v>
                </c:pt>
                <c:pt idx="173">
                  <c:v>97.34</c:v>
                </c:pt>
                <c:pt idx="174">
                  <c:v>97.34</c:v>
                </c:pt>
                <c:pt idx="175">
                  <c:v>97.34</c:v>
                </c:pt>
                <c:pt idx="176">
                  <c:v>97.65</c:v>
                </c:pt>
                <c:pt idx="177">
                  <c:v>95.2</c:v>
                </c:pt>
                <c:pt idx="178">
                  <c:v>94</c:v>
                </c:pt>
                <c:pt idx="179">
                  <c:v>92.25</c:v>
                </c:pt>
                <c:pt idx="180">
                  <c:v>94.36</c:v>
                </c:pt>
                <c:pt idx="181">
                  <c:v>94.36</c:v>
                </c:pt>
                <c:pt idx="182">
                  <c:v>94.36</c:v>
                </c:pt>
                <c:pt idx="183">
                  <c:v>94.36</c:v>
                </c:pt>
                <c:pt idx="184">
                  <c:v>93.23</c:v>
                </c:pt>
                <c:pt idx="185">
                  <c:v>93.96</c:v>
                </c:pt>
                <c:pt idx="186">
                  <c:v>94.31</c:v>
                </c:pt>
                <c:pt idx="187">
                  <c:v>93.71</c:v>
                </c:pt>
                <c:pt idx="188">
                  <c:v>93.71</c:v>
                </c:pt>
                <c:pt idx="189">
                  <c:v>93.71</c:v>
                </c:pt>
                <c:pt idx="190">
                  <c:v>93.17</c:v>
                </c:pt>
                <c:pt idx="191">
                  <c:v>94.99</c:v>
                </c:pt>
                <c:pt idx="192">
                  <c:v>87.19</c:v>
                </c:pt>
                <c:pt idx="193">
                  <c:v>87.34</c:v>
                </c:pt>
                <c:pt idx="194">
                  <c:v>89.25</c:v>
                </c:pt>
                <c:pt idx="195">
                  <c:v>89.25</c:v>
                </c:pt>
                <c:pt idx="196">
                  <c:v>89.25</c:v>
                </c:pt>
                <c:pt idx="197">
                  <c:v>92.73</c:v>
                </c:pt>
                <c:pt idx="198">
                  <c:v>95.84</c:v>
                </c:pt>
                <c:pt idx="199">
                  <c:v>94.12</c:v>
                </c:pt>
                <c:pt idx="200">
                  <c:v>92.73</c:v>
                </c:pt>
                <c:pt idx="201">
                  <c:v>92.54</c:v>
                </c:pt>
                <c:pt idx="202">
                  <c:v>92.54</c:v>
                </c:pt>
                <c:pt idx="203">
                  <c:v>92.54</c:v>
                </c:pt>
                <c:pt idx="204">
                  <c:v>94.57</c:v>
                </c:pt>
                <c:pt idx="205">
                  <c:v>94.6</c:v>
                </c:pt>
                <c:pt idx="206">
                  <c:v>94.76</c:v>
                </c:pt>
                <c:pt idx="207">
                  <c:v>95.82</c:v>
                </c:pt>
                <c:pt idx="208">
                  <c:v>94.1</c:v>
                </c:pt>
                <c:pt idx="209">
                  <c:v>94.1</c:v>
                </c:pt>
                <c:pt idx="210">
                  <c:v>94.1</c:v>
                </c:pt>
                <c:pt idx="211">
                  <c:v>94.99</c:v>
                </c:pt>
                <c:pt idx="212">
                  <c:v>96.15</c:v>
                </c:pt>
                <c:pt idx="213">
                  <c:v>95.37</c:v>
                </c:pt>
                <c:pt idx="214">
                  <c:v>95.59</c:v>
                </c:pt>
                <c:pt idx="215">
                  <c:v>95.08</c:v>
                </c:pt>
                <c:pt idx="216">
                  <c:v>95.08</c:v>
                </c:pt>
                <c:pt idx="217">
                  <c:v>95.08</c:v>
                </c:pt>
                <c:pt idx="218">
                  <c:v>93.12</c:v>
                </c:pt>
                <c:pt idx="219">
                  <c:v>94.61</c:v>
                </c:pt>
                <c:pt idx="220">
                  <c:v>94.38</c:v>
                </c:pt>
                <c:pt idx="221">
                  <c:v>96.01</c:v>
                </c:pt>
                <c:pt idx="222">
                  <c:v>97.05</c:v>
                </c:pt>
                <c:pt idx="223">
                  <c:v>97.05</c:v>
                </c:pt>
                <c:pt idx="224">
                  <c:v>97.05</c:v>
                </c:pt>
                <c:pt idx="225">
                  <c:v>96.73</c:v>
                </c:pt>
                <c:pt idx="226">
                  <c:v>96</c:v>
                </c:pt>
                <c:pt idx="227">
                  <c:v>94.08</c:v>
                </c:pt>
                <c:pt idx="228">
                  <c:v>97.17</c:v>
                </c:pt>
                <c:pt idx="229">
                  <c:v>100.05</c:v>
                </c:pt>
                <c:pt idx="230">
                  <c:v>100.05</c:v>
                </c:pt>
                <c:pt idx="231">
                  <c:v>100.05</c:v>
                </c:pt>
                <c:pt idx="232">
                  <c:v>97.26</c:v>
                </c:pt>
                <c:pt idx="233">
                  <c:v>98.39</c:v>
                </c:pt>
                <c:pt idx="234">
                  <c:v>97.52</c:v>
                </c:pt>
                <c:pt idx="235">
                  <c:v>95.69</c:v>
                </c:pt>
                <c:pt idx="236">
                  <c:v>97.52</c:v>
                </c:pt>
                <c:pt idx="237">
                  <c:v>97.52</c:v>
                </c:pt>
                <c:pt idx="238">
                  <c:v>97.52</c:v>
                </c:pt>
                <c:pt idx="239">
                  <c:v>99.7</c:v>
                </c:pt>
                <c:pt idx="240">
                  <c:v>101</c:v>
                </c:pt>
                <c:pt idx="241">
                  <c:v>101.6</c:v>
                </c:pt>
                <c:pt idx="242">
                  <c:v>100.41</c:v>
                </c:pt>
                <c:pt idx="243">
                  <c:v>100.41</c:v>
                </c:pt>
                <c:pt idx="244">
                  <c:v>100.41</c:v>
                </c:pt>
                <c:pt idx="245">
                  <c:v>100.41</c:v>
                </c:pt>
                <c:pt idx="246">
                  <c:v>102.19</c:v>
                </c:pt>
                <c:pt idx="247">
                  <c:v>103.79</c:v>
                </c:pt>
                <c:pt idx="248">
                  <c:v>106.52</c:v>
                </c:pt>
                <c:pt idx="249">
                  <c:v>107.99</c:v>
                </c:pt>
                <c:pt idx="250">
                  <c:v>107.16</c:v>
                </c:pt>
                <c:pt idx="251">
                  <c:v>107.16</c:v>
                </c:pt>
                <c:pt idx="252">
                  <c:v>107.16</c:v>
                </c:pt>
                <c:pt idx="253">
                  <c:v>108.27</c:v>
                </c:pt>
                <c:pt idx="254">
                  <c:v>104.93</c:v>
                </c:pt>
                <c:pt idx="255">
                  <c:v>104.18</c:v>
                </c:pt>
                <c:pt idx="256">
                  <c:v>103.85</c:v>
                </c:pt>
                <c:pt idx="257">
                  <c:v>105.44</c:v>
                </c:pt>
                <c:pt idx="258">
                  <c:v>105.44</c:v>
                </c:pt>
                <c:pt idx="259">
                  <c:v>105.44</c:v>
                </c:pt>
                <c:pt idx="260">
                  <c:v>105.55</c:v>
                </c:pt>
                <c:pt idx="261">
                  <c:v>104.6</c:v>
                </c:pt>
                <c:pt idx="262">
                  <c:v>105.42</c:v>
                </c:pt>
                <c:pt idx="263">
                  <c:v>106.69</c:v>
                </c:pt>
                <c:pt idx="264">
                  <c:v>109.15</c:v>
                </c:pt>
                <c:pt idx="265">
                  <c:v>109.15</c:v>
                </c:pt>
                <c:pt idx="266">
                  <c:v>109.15</c:v>
                </c:pt>
                <c:pt idx="267">
                  <c:v>108.33</c:v>
                </c:pt>
                <c:pt idx="268">
                  <c:v>110.6</c:v>
                </c:pt>
                <c:pt idx="269">
                  <c:v>111.05</c:v>
                </c:pt>
                <c:pt idx="270">
                  <c:v>108.93</c:v>
                </c:pt>
                <c:pt idx="271">
                  <c:v>108.93</c:v>
                </c:pt>
                <c:pt idx="272">
                  <c:v>108.93</c:v>
                </c:pt>
                <c:pt idx="273">
                  <c:v>108.93</c:v>
                </c:pt>
                <c:pt idx="274">
                  <c:v>107.85</c:v>
                </c:pt>
                <c:pt idx="275">
                  <c:v>109.25</c:v>
                </c:pt>
                <c:pt idx="276">
                  <c:v>109.89</c:v>
                </c:pt>
                <c:pt idx="277">
                  <c:v>108.47</c:v>
                </c:pt>
                <c:pt idx="278">
                  <c:v>105.87</c:v>
                </c:pt>
                <c:pt idx="279">
                  <c:v>105.87</c:v>
                </c:pt>
                <c:pt idx="280">
                  <c:v>105.87</c:v>
                </c:pt>
                <c:pt idx="281">
                  <c:v>107.32</c:v>
                </c:pt>
                <c:pt idx="282">
                  <c:v>107.32</c:v>
                </c:pt>
                <c:pt idx="283">
                  <c:v>107.14</c:v>
                </c:pt>
                <c:pt idx="284">
                  <c:v>107.24</c:v>
                </c:pt>
                <c:pt idx="285">
                  <c:v>107.75</c:v>
                </c:pt>
                <c:pt idx="286">
                  <c:v>107.75</c:v>
                </c:pt>
                <c:pt idx="287">
                  <c:v>107.75</c:v>
                </c:pt>
                <c:pt idx="288">
                  <c:v>106.3</c:v>
                </c:pt>
                <c:pt idx="289">
                  <c:v>106.82</c:v>
                </c:pt>
                <c:pt idx="290">
                  <c:v>106.82</c:v>
                </c:pt>
                <c:pt idx="291">
                  <c:v>107.05</c:v>
                </c:pt>
                <c:pt idx="292">
                  <c:v>107.68</c:v>
                </c:pt>
                <c:pt idx="293">
                  <c:v>107.68</c:v>
                </c:pt>
                <c:pt idx="294">
                  <c:v>107.68</c:v>
                </c:pt>
                <c:pt idx="295">
                  <c:v>108.59</c:v>
                </c:pt>
                <c:pt idx="296">
                  <c:v>108.41</c:v>
                </c:pt>
                <c:pt idx="297">
                  <c:v>108.41</c:v>
                </c:pt>
                <c:pt idx="298">
                  <c:v>107.92</c:v>
                </c:pt>
                <c:pt idx="299">
                  <c:v>107.99</c:v>
                </c:pt>
                <c:pt idx="300">
                  <c:v>107.99</c:v>
                </c:pt>
                <c:pt idx="301">
                  <c:v>107.99</c:v>
                </c:pt>
                <c:pt idx="302">
                  <c:v>107.04</c:v>
                </c:pt>
                <c:pt idx="303">
                  <c:v>106.93</c:v>
                </c:pt>
                <c:pt idx="304">
                  <c:v>110.4</c:v>
                </c:pt>
                <c:pt idx="305">
                  <c:v>110.69</c:v>
                </c:pt>
                <c:pt idx="306">
                  <c:v>111.51</c:v>
                </c:pt>
                <c:pt idx="307">
                  <c:v>111.51</c:v>
                </c:pt>
                <c:pt idx="308">
                  <c:v>111.51</c:v>
                </c:pt>
                <c:pt idx="309">
                  <c:v>112.03</c:v>
                </c:pt>
                <c:pt idx="310">
                  <c:v>112.77</c:v>
                </c:pt>
                <c:pt idx="311">
                  <c:v>112.47</c:v>
                </c:pt>
                <c:pt idx="312">
                  <c:v>112.51</c:v>
                </c:pt>
                <c:pt idx="313">
                  <c:v>113.75</c:v>
                </c:pt>
                <c:pt idx="314">
                  <c:v>113.75</c:v>
                </c:pt>
                <c:pt idx="315">
                  <c:v>113.75</c:v>
                </c:pt>
                <c:pt idx="316">
                  <c:v>114.22</c:v>
                </c:pt>
                <c:pt idx="317">
                  <c:v>114.93</c:v>
                </c:pt>
                <c:pt idx="318">
                  <c:v>114.66</c:v>
                </c:pt>
                <c:pt idx="319">
                  <c:v>115.94</c:v>
                </c:pt>
                <c:pt idx="320">
                  <c:v>116.97</c:v>
                </c:pt>
                <c:pt idx="321">
                  <c:v>116.97</c:v>
                </c:pt>
                <c:pt idx="322">
                  <c:v>116.97</c:v>
                </c:pt>
                <c:pt idx="323">
                  <c:v>116.74</c:v>
                </c:pt>
                <c:pt idx="324">
                  <c:v>116.74</c:v>
                </c:pt>
                <c:pt idx="325">
                  <c:v>116.74</c:v>
                </c:pt>
                <c:pt idx="326">
                  <c:v>116.89</c:v>
                </c:pt>
                <c:pt idx="327">
                  <c:v>116.31</c:v>
                </c:pt>
                <c:pt idx="328">
                  <c:v>116.31</c:v>
                </c:pt>
                <c:pt idx="329">
                  <c:v>116.31</c:v>
                </c:pt>
                <c:pt idx="330">
                  <c:v>112.56</c:v>
                </c:pt>
                <c:pt idx="331">
                  <c:v>109.47</c:v>
                </c:pt>
                <c:pt idx="332">
                  <c:v>108.83</c:v>
                </c:pt>
                <c:pt idx="333">
                  <c:v>109.13</c:v>
                </c:pt>
                <c:pt idx="334">
                  <c:v>106.93</c:v>
                </c:pt>
                <c:pt idx="335">
                  <c:v>106.93</c:v>
                </c:pt>
                <c:pt idx="336">
                  <c:v>106.93</c:v>
                </c:pt>
                <c:pt idx="337">
                  <c:v>107.2</c:v>
                </c:pt>
                <c:pt idx="338">
                  <c:v>112.51</c:v>
                </c:pt>
                <c:pt idx="339">
                  <c:v>112.16</c:v>
                </c:pt>
                <c:pt idx="340">
                  <c:v>111.58</c:v>
                </c:pt>
                <c:pt idx="341">
                  <c:v>110.39</c:v>
                </c:pt>
                <c:pt idx="342">
                  <c:v>110.39</c:v>
                </c:pt>
                <c:pt idx="343">
                  <c:v>110.39</c:v>
                </c:pt>
                <c:pt idx="344">
                  <c:v>110.72</c:v>
                </c:pt>
                <c:pt idx="345">
                  <c:v>114.12</c:v>
                </c:pt>
                <c:pt idx="346">
                  <c:v>109.91</c:v>
                </c:pt>
                <c:pt idx="347">
                  <c:v>108.04</c:v>
                </c:pt>
                <c:pt idx="348">
                  <c:v>108.4</c:v>
                </c:pt>
                <c:pt idx="349">
                  <c:v>108.4</c:v>
                </c:pt>
                <c:pt idx="350">
                  <c:v>108.4</c:v>
                </c:pt>
                <c:pt idx="351">
                  <c:v>106.8</c:v>
                </c:pt>
                <c:pt idx="352">
                  <c:v>107.37</c:v>
                </c:pt>
                <c:pt idx="353">
                  <c:v>108.46</c:v>
                </c:pt>
                <c:pt idx="354">
                  <c:v>105.93</c:v>
                </c:pt>
                <c:pt idx="355">
                  <c:v>104.49</c:v>
                </c:pt>
                <c:pt idx="356">
                  <c:v>104.49</c:v>
                </c:pt>
                <c:pt idx="357">
                  <c:v>104.49</c:v>
                </c:pt>
                <c:pt idx="358">
                  <c:v>104.89</c:v>
                </c:pt>
                <c:pt idx="359">
                  <c:v>105.37</c:v>
                </c:pt>
                <c:pt idx="360">
                  <c:v>106.38</c:v>
                </c:pt>
                <c:pt idx="361">
                  <c:v>107.49</c:v>
                </c:pt>
                <c:pt idx="362">
                  <c:v>107.89</c:v>
                </c:pt>
                <c:pt idx="363">
                  <c:v>107.89</c:v>
                </c:pt>
                <c:pt idx="364">
                  <c:v>107.89</c:v>
                </c:pt>
                <c:pt idx="365">
                  <c:v>107.55</c:v>
                </c:pt>
                <c:pt idx="366">
                  <c:v>107.26</c:v>
                </c:pt>
                <c:pt idx="367">
                  <c:v>106.21</c:v>
                </c:pt>
                <c:pt idx="368">
                  <c:v>106.36</c:v>
                </c:pt>
                <c:pt idx="369">
                  <c:v>105.82</c:v>
                </c:pt>
                <c:pt idx="370">
                  <c:v>105.82</c:v>
                </c:pt>
                <c:pt idx="371">
                  <c:v>105.82</c:v>
                </c:pt>
                <c:pt idx="372">
                  <c:v>104.14</c:v>
                </c:pt>
                <c:pt idx="373">
                  <c:v>105.04</c:v>
                </c:pt>
                <c:pt idx="374">
                  <c:v>104.65</c:v>
                </c:pt>
                <c:pt idx="375">
                  <c:v>105.2</c:v>
                </c:pt>
                <c:pt idx="376">
                  <c:v>103.74</c:v>
                </c:pt>
                <c:pt idx="377">
                  <c:v>103.74</c:v>
                </c:pt>
                <c:pt idx="378">
                  <c:v>103.74</c:v>
                </c:pt>
                <c:pt idx="379">
                  <c:v>102.57</c:v>
                </c:pt>
                <c:pt idx="380">
                  <c:v>101.97</c:v>
                </c:pt>
                <c:pt idx="381">
                  <c:v>102.59</c:v>
                </c:pt>
                <c:pt idx="382">
                  <c:v>103.27</c:v>
                </c:pt>
                <c:pt idx="383">
                  <c:v>103.23</c:v>
                </c:pt>
                <c:pt idx="384">
                  <c:v>103.23</c:v>
                </c:pt>
                <c:pt idx="385">
                  <c:v>103.23</c:v>
                </c:pt>
                <c:pt idx="386">
                  <c:v>103.19</c:v>
                </c:pt>
                <c:pt idx="387">
                  <c:v>101.06</c:v>
                </c:pt>
                <c:pt idx="388">
                  <c:v>102.24</c:v>
                </c:pt>
                <c:pt idx="389">
                  <c:v>101.97</c:v>
                </c:pt>
                <c:pt idx="390">
                  <c:v>101.19</c:v>
                </c:pt>
                <c:pt idx="391">
                  <c:v>101.19</c:v>
                </c:pt>
                <c:pt idx="392">
                  <c:v>101.19</c:v>
                </c:pt>
                <c:pt idx="393">
                  <c:v>101.24</c:v>
                </c:pt>
                <c:pt idx="394">
                  <c:v>98.24</c:v>
                </c:pt>
                <c:pt idx="395">
                  <c:v>97.54</c:v>
                </c:pt>
                <c:pt idx="396">
                  <c:v>98.41</c:v>
                </c:pt>
                <c:pt idx="397">
                  <c:v>97.82</c:v>
                </c:pt>
                <c:pt idx="398">
                  <c:v>97.82</c:v>
                </c:pt>
                <c:pt idx="399">
                  <c:v>97.82</c:v>
                </c:pt>
                <c:pt idx="400">
                  <c:v>96.53</c:v>
                </c:pt>
                <c:pt idx="401">
                  <c:v>95.82</c:v>
                </c:pt>
                <c:pt idx="402">
                  <c:v>95</c:v>
                </c:pt>
                <c:pt idx="403">
                  <c:v>94.44</c:v>
                </c:pt>
                <c:pt idx="404">
                  <c:v>94.05</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COGS Margin</c:v>
                </c:pt>
                <c:pt idx="1">
                  <c:v>SG&amp;A Margin</c:v>
                </c:pt>
                <c:pt idx="2">
                  <c:v>Capex Intensity</c:v>
                </c:pt>
                <c:pt idx="3">
                  <c:v>WACC</c:v>
                </c:pt>
                <c:pt idx="4">
                  <c:v>EBITDA Exit</c:v>
                </c:pt>
                <c:pt idx="5">
                  <c:v>Terminal g</c:v>
                </c:pt>
                <c:pt idx="6">
                  <c:v>Revenue Exit</c:v>
                </c:pt>
              </c:strCache>
            </c:strRef>
          </c:cat>
          <c:val>
            <c:numRef>
              <c:f>Sensitivity!$AJ$28:$AJ$34</c:f>
              <c:numCache>
                <c:formatCode>General</c:formatCode>
                <c:ptCount val="7"/>
                <c:pt idx="0">
                  <c:v>-1.2135361723977667E-2</c:v>
                </c:pt>
                <c:pt idx="1">
                  <c:v>-0.35984057152131754</c:v>
                </c:pt>
                <c:pt idx="2">
                  <c:v>-1.2750059628757242</c:v>
                </c:pt>
                <c:pt idx="3">
                  <c:v>-1.8745552328007378</c:v>
                </c:pt>
                <c:pt idx="4">
                  <c:v>-2.0590728193332453</c:v>
                </c:pt>
                <c:pt idx="5">
                  <c:v>-6.1399008443299223</c:v>
                </c:pt>
                <c:pt idx="6">
                  <c:v>-7.3950030903929331</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COGS Margin</c:v>
                </c:pt>
                <c:pt idx="1">
                  <c:v>SG&amp;A Margin</c:v>
                </c:pt>
                <c:pt idx="2">
                  <c:v>Capex Intensity</c:v>
                </c:pt>
                <c:pt idx="3">
                  <c:v>WACC</c:v>
                </c:pt>
                <c:pt idx="4">
                  <c:v>EBITDA Exit</c:v>
                </c:pt>
                <c:pt idx="5">
                  <c:v>Terminal g</c:v>
                </c:pt>
                <c:pt idx="6">
                  <c:v>Revenue Exit</c:v>
                </c:pt>
              </c:strCache>
            </c:strRef>
          </c:cat>
          <c:val>
            <c:numRef>
              <c:f>Sensitivity!$AK$28:$AK$34</c:f>
              <c:numCache>
                <c:formatCode>General</c:formatCode>
                <c:ptCount val="7"/>
                <c:pt idx="0">
                  <c:v>1.2195722712817769E-2</c:v>
                </c:pt>
                <c:pt idx="1">
                  <c:v>0.28439903897385932</c:v>
                </c:pt>
                <c:pt idx="2">
                  <c:v>1.2750059628757384</c:v>
                </c:pt>
                <c:pt idx="3">
                  <c:v>1.976350890753082</c:v>
                </c:pt>
                <c:pt idx="4">
                  <c:v>2.0590728193332595</c:v>
                </c:pt>
                <c:pt idx="5">
                  <c:v>3.4686457438383442</c:v>
                </c:pt>
                <c:pt idx="6">
                  <c:v>15.824874830858157</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8.9035072477228472E-2</c:v>
                </c:pt>
                <c:pt idx="1">
                  <c:v>8.9276308958484207E-2</c:v>
                </c:pt>
                <c:pt idx="2">
                  <c:v>8.6275175308482055E-2</c:v>
                </c:pt>
                <c:pt idx="3">
                  <c:v>7.6718966011578335E-2</c:v>
                </c:pt>
                <c:pt idx="4">
                  <c:v>7.7817253363357874E-2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9.8509846117933189E-2</c:v>
                </c:pt>
                <c:pt idx="1">
                  <c:v>0.10054662379592799</c:v>
                </c:pt>
                <c:pt idx="2">
                  <c:v>0.10676620707898493</c:v>
                </c:pt>
                <c:pt idx="3">
                  <c:v>0.11171738263257611</c:v>
                </c:pt>
                <c:pt idx="4">
                  <c:v>0.11473507632117097</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900286693406723E-2"/>
          <c:y val="3.3762473626843703E-2"/>
          <c:w val="0.87028581149559114"/>
          <c:h val="0.76701983938052987"/>
        </c:manualLayout>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45945</c:v>
                </c:pt>
                <c:pt idx="1">
                  <c:v>45944</c:v>
                </c:pt>
                <c:pt idx="2">
                  <c:v>45943</c:v>
                </c:pt>
                <c:pt idx="3">
                  <c:v>45942</c:v>
                </c:pt>
                <c:pt idx="4">
                  <c:v>45941</c:v>
                </c:pt>
                <c:pt idx="5">
                  <c:v>45940</c:v>
                </c:pt>
                <c:pt idx="6">
                  <c:v>45939</c:v>
                </c:pt>
                <c:pt idx="7">
                  <c:v>45938</c:v>
                </c:pt>
                <c:pt idx="8">
                  <c:v>45937</c:v>
                </c:pt>
                <c:pt idx="9">
                  <c:v>45936</c:v>
                </c:pt>
                <c:pt idx="10">
                  <c:v>45935</c:v>
                </c:pt>
                <c:pt idx="11">
                  <c:v>45934</c:v>
                </c:pt>
                <c:pt idx="12">
                  <c:v>45933</c:v>
                </c:pt>
                <c:pt idx="13">
                  <c:v>45932</c:v>
                </c:pt>
                <c:pt idx="14">
                  <c:v>45931</c:v>
                </c:pt>
                <c:pt idx="15">
                  <c:v>45930</c:v>
                </c:pt>
                <c:pt idx="16">
                  <c:v>45929</c:v>
                </c:pt>
                <c:pt idx="17">
                  <c:v>45928</c:v>
                </c:pt>
                <c:pt idx="18">
                  <c:v>45927</c:v>
                </c:pt>
                <c:pt idx="19">
                  <c:v>45926</c:v>
                </c:pt>
                <c:pt idx="20">
                  <c:v>45925</c:v>
                </c:pt>
                <c:pt idx="21">
                  <c:v>45924</c:v>
                </c:pt>
                <c:pt idx="22">
                  <c:v>45923</c:v>
                </c:pt>
                <c:pt idx="23">
                  <c:v>45922</c:v>
                </c:pt>
                <c:pt idx="24">
                  <c:v>45921</c:v>
                </c:pt>
                <c:pt idx="25">
                  <c:v>45920</c:v>
                </c:pt>
                <c:pt idx="26">
                  <c:v>45919</c:v>
                </c:pt>
                <c:pt idx="27">
                  <c:v>45918</c:v>
                </c:pt>
                <c:pt idx="28">
                  <c:v>45917</c:v>
                </c:pt>
                <c:pt idx="29">
                  <c:v>45916</c:v>
                </c:pt>
                <c:pt idx="30">
                  <c:v>45915</c:v>
                </c:pt>
                <c:pt idx="31">
                  <c:v>45914</c:v>
                </c:pt>
                <c:pt idx="32">
                  <c:v>45913</c:v>
                </c:pt>
                <c:pt idx="33">
                  <c:v>45912</c:v>
                </c:pt>
                <c:pt idx="34">
                  <c:v>45911</c:v>
                </c:pt>
                <c:pt idx="35">
                  <c:v>45910</c:v>
                </c:pt>
                <c:pt idx="36">
                  <c:v>45909</c:v>
                </c:pt>
                <c:pt idx="37">
                  <c:v>45908</c:v>
                </c:pt>
                <c:pt idx="38">
                  <c:v>45907</c:v>
                </c:pt>
                <c:pt idx="39">
                  <c:v>45906</c:v>
                </c:pt>
                <c:pt idx="40">
                  <c:v>45905</c:v>
                </c:pt>
                <c:pt idx="41">
                  <c:v>45904</c:v>
                </c:pt>
                <c:pt idx="42">
                  <c:v>45903</c:v>
                </c:pt>
                <c:pt idx="43">
                  <c:v>45902</c:v>
                </c:pt>
                <c:pt idx="44">
                  <c:v>45901</c:v>
                </c:pt>
                <c:pt idx="45">
                  <c:v>45900</c:v>
                </c:pt>
                <c:pt idx="46">
                  <c:v>45899</c:v>
                </c:pt>
                <c:pt idx="47">
                  <c:v>45898</c:v>
                </c:pt>
                <c:pt idx="48">
                  <c:v>45897</c:v>
                </c:pt>
                <c:pt idx="49">
                  <c:v>45896</c:v>
                </c:pt>
                <c:pt idx="50">
                  <c:v>45895</c:v>
                </c:pt>
                <c:pt idx="51">
                  <c:v>45894</c:v>
                </c:pt>
                <c:pt idx="52">
                  <c:v>45893</c:v>
                </c:pt>
                <c:pt idx="53">
                  <c:v>45892</c:v>
                </c:pt>
                <c:pt idx="54">
                  <c:v>45891</c:v>
                </c:pt>
                <c:pt idx="55">
                  <c:v>45890</c:v>
                </c:pt>
                <c:pt idx="56">
                  <c:v>45889</c:v>
                </c:pt>
                <c:pt idx="57">
                  <c:v>45888</c:v>
                </c:pt>
                <c:pt idx="58">
                  <c:v>45887</c:v>
                </c:pt>
                <c:pt idx="59">
                  <c:v>45886</c:v>
                </c:pt>
                <c:pt idx="60">
                  <c:v>45885</c:v>
                </c:pt>
                <c:pt idx="61">
                  <c:v>45884</c:v>
                </c:pt>
                <c:pt idx="62">
                  <c:v>45883</c:v>
                </c:pt>
                <c:pt idx="63">
                  <c:v>45882</c:v>
                </c:pt>
                <c:pt idx="64">
                  <c:v>45881</c:v>
                </c:pt>
                <c:pt idx="65">
                  <c:v>45880</c:v>
                </c:pt>
                <c:pt idx="66">
                  <c:v>45879</c:v>
                </c:pt>
                <c:pt idx="67">
                  <c:v>45878</c:v>
                </c:pt>
                <c:pt idx="68">
                  <c:v>45877</c:v>
                </c:pt>
                <c:pt idx="69">
                  <c:v>45876</c:v>
                </c:pt>
                <c:pt idx="70">
                  <c:v>45875</c:v>
                </c:pt>
                <c:pt idx="71">
                  <c:v>45874</c:v>
                </c:pt>
                <c:pt idx="72">
                  <c:v>45873</c:v>
                </c:pt>
                <c:pt idx="73">
                  <c:v>45872</c:v>
                </c:pt>
                <c:pt idx="74">
                  <c:v>45871</c:v>
                </c:pt>
                <c:pt idx="75">
                  <c:v>45870</c:v>
                </c:pt>
                <c:pt idx="76">
                  <c:v>45869</c:v>
                </c:pt>
                <c:pt idx="77">
                  <c:v>45868</c:v>
                </c:pt>
                <c:pt idx="78">
                  <c:v>45867</c:v>
                </c:pt>
                <c:pt idx="79">
                  <c:v>45866</c:v>
                </c:pt>
                <c:pt idx="80">
                  <c:v>45865</c:v>
                </c:pt>
                <c:pt idx="81">
                  <c:v>45864</c:v>
                </c:pt>
                <c:pt idx="82">
                  <c:v>45863</c:v>
                </c:pt>
                <c:pt idx="83">
                  <c:v>45862</c:v>
                </c:pt>
                <c:pt idx="84">
                  <c:v>45861</c:v>
                </c:pt>
                <c:pt idx="85">
                  <c:v>45860</c:v>
                </c:pt>
                <c:pt idx="86">
                  <c:v>45859</c:v>
                </c:pt>
                <c:pt idx="87">
                  <c:v>45858</c:v>
                </c:pt>
                <c:pt idx="88">
                  <c:v>45857</c:v>
                </c:pt>
                <c:pt idx="89">
                  <c:v>45856</c:v>
                </c:pt>
                <c:pt idx="90">
                  <c:v>45855</c:v>
                </c:pt>
                <c:pt idx="91">
                  <c:v>45854</c:v>
                </c:pt>
                <c:pt idx="92">
                  <c:v>45853</c:v>
                </c:pt>
                <c:pt idx="93">
                  <c:v>45852</c:v>
                </c:pt>
                <c:pt idx="94">
                  <c:v>45851</c:v>
                </c:pt>
                <c:pt idx="95">
                  <c:v>45850</c:v>
                </c:pt>
                <c:pt idx="96">
                  <c:v>45849</c:v>
                </c:pt>
                <c:pt idx="97">
                  <c:v>45848</c:v>
                </c:pt>
                <c:pt idx="98">
                  <c:v>45847</c:v>
                </c:pt>
                <c:pt idx="99">
                  <c:v>45846</c:v>
                </c:pt>
                <c:pt idx="100">
                  <c:v>45845</c:v>
                </c:pt>
                <c:pt idx="101">
                  <c:v>45844</c:v>
                </c:pt>
                <c:pt idx="102">
                  <c:v>45843</c:v>
                </c:pt>
                <c:pt idx="103">
                  <c:v>45842</c:v>
                </c:pt>
                <c:pt idx="104">
                  <c:v>45841</c:v>
                </c:pt>
                <c:pt idx="105">
                  <c:v>45840</c:v>
                </c:pt>
                <c:pt idx="106">
                  <c:v>45839</c:v>
                </c:pt>
                <c:pt idx="107">
                  <c:v>45838</c:v>
                </c:pt>
                <c:pt idx="108">
                  <c:v>45837</c:v>
                </c:pt>
                <c:pt idx="109">
                  <c:v>45836</c:v>
                </c:pt>
                <c:pt idx="110">
                  <c:v>45835</c:v>
                </c:pt>
                <c:pt idx="111">
                  <c:v>45834</c:v>
                </c:pt>
                <c:pt idx="112">
                  <c:v>45833</c:v>
                </c:pt>
                <c:pt idx="113">
                  <c:v>45832</c:v>
                </c:pt>
                <c:pt idx="114">
                  <c:v>45831</c:v>
                </c:pt>
                <c:pt idx="115">
                  <c:v>45830</c:v>
                </c:pt>
                <c:pt idx="116">
                  <c:v>45829</c:v>
                </c:pt>
                <c:pt idx="117">
                  <c:v>45828</c:v>
                </c:pt>
                <c:pt idx="118">
                  <c:v>45827</c:v>
                </c:pt>
                <c:pt idx="119">
                  <c:v>45826</c:v>
                </c:pt>
                <c:pt idx="120">
                  <c:v>45825</c:v>
                </c:pt>
                <c:pt idx="121">
                  <c:v>45824</c:v>
                </c:pt>
                <c:pt idx="122">
                  <c:v>45823</c:v>
                </c:pt>
                <c:pt idx="123">
                  <c:v>45822</c:v>
                </c:pt>
                <c:pt idx="124">
                  <c:v>45821</c:v>
                </c:pt>
                <c:pt idx="125">
                  <c:v>45820</c:v>
                </c:pt>
                <c:pt idx="126">
                  <c:v>45819</c:v>
                </c:pt>
                <c:pt idx="127">
                  <c:v>45818</c:v>
                </c:pt>
                <c:pt idx="128">
                  <c:v>45817</c:v>
                </c:pt>
                <c:pt idx="129">
                  <c:v>45816</c:v>
                </c:pt>
                <c:pt idx="130">
                  <c:v>45815</c:v>
                </c:pt>
                <c:pt idx="131">
                  <c:v>45814</c:v>
                </c:pt>
                <c:pt idx="132">
                  <c:v>45813</c:v>
                </c:pt>
                <c:pt idx="133">
                  <c:v>45812</c:v>
                </c:pt>
                <c:pt idx="134">
                  <c:v>45811</c:v>
                </c:pt>
                <c:pt idx="135">
                  <c:v>45810</c:v>
                </c:pt>
                <c:pt idx="136">
                  <c:v>45809</c:v>
                </c:pt>
                <c:pt idx="137">
                  <c:v>45808</c:v>
                </c:pt>
                <c:pt idx="138">
                  <c:v>45807</c:v>
                </c:pt>
                <c:pt idx="139">
                  <c:v>45806</c:v>
                </c:pt>
                <c:pt idx="140">
                  <c:v>45805</c:v>
                </c:pt>
                <c:pt idx="141">
                  <c:v>45804</c:v>
                </c:pt>
                <c:pt idx="142">
                  <c:v>45803</c:v>
                </c:pt>
                <c:pt idx="143">
                  <c:v>45802</c:v>
                </c:pt>
                <c:pt idx="144">
                  <c:v>45801</c:v>
                </c:pt>
                <c:pt idx="145">
                  <c:v>45800</c:v>
                </c:pt>
                <c:pt idx="146">
                  <c:v>45799</c:v>
                </c:pt>
                <c:pt idx="147">
                  <c:v>45798</c:v>
                </c:pt>
                <c:pt idx="148">
                  <c:v>45797</c:v>
                </c:pt>
                <c:pt idx="149">
                  <c:v>45796</c:v>
                </c:pt>
                <c:pt idx="150">
                  <c:v>45795</c:v>
                </c:pt>
                <c:pt idx="151">
                  <c:v>45794</c:v>
                </c:pt>
                <c:pt idx="152">
                  <c:v>45793</c:v>
                </c:pt>
                <c:pt idx="153">
                  <c:v>45792</c:v>
                </c:pt>
                <c:pt idx="154">
                  <c:v>45791</c:v>
                </c:pt>
                <c:pt idx="155">
                  <c:v>45790</c:v>
                </c:pt>
                <c:pt idx="156">
                  <c:v>45789</c:v>
                </c:pt>
                <c:pt idx="157">
                  <c:v>45788</c:v>
                </c:pt>
                <c:pt idx="158">
                  <c:v>45787</c:v>
                </c:pt>
                <c:pt idx="159">
                  <c:v>45786</c:v>
                </c:pt>
                <c:pt idx="160">
                  <c:v>45785</c:v>
                </c:pt>
                <c:pt idx="161">
                  <c:v>45784</c:v>
                </c:pt>
                <c:pt idx="162">
                  <c:v>45783</c:v>
                </c:pt>
                <c:pt idx="163">
                  <c:v>45782</c:v>
                </c:pt>
                <c:pt idx="164">
                  <c:v>45781</c:v>
                </c:pt>
                <c:pt idx="165">
                  <c:v>45780</c:v>
                </c:pt>
                <c:pt idx="166">
                  <c:v>45779</c:v>
                </c:pt>
                <c:pt idx="167">
                  <c:v>45778</c:v>
                </c:pt>
                <c:pt idx="168">
                  <c:v>45777</c:v>
                </c:pt>
                <c:pt idx="169">
                  <c:v>45776</c:v>
                </c:pt>
                <c:pt idx="170">
                  <c:v>45775</c:v>
                </c:pt>
                <c:pt idx="171">
                  <c:v>45774</c:v>
                </c:pt>
                <c:pt idx="172">
                  <c:v>45773</c:v>
                </c:pt>
                <c:pt idx="173">
                  <c:v>45772</c:v>
                </c:pt>
                <c:pt idx="174">
                  <c:v>45771</c:v>
                </c:pt>
                <c:pt idx="175">
                  <c:v>45770</c:v>
                </c:pt>
                <c:pt idx="176">
                  <c:v>45769</c:v>
                </c:pt>
                <c:pt idx="177">
                  <c:v>45768</c:v>
                </c:pt>
                <c:pt idx="178">
                  <c:v>45767</c:v>
                </c:pt>
                <c:pt idx="179">
                  <c:v>45766</c:v>
                </c:pt>
                <c:pt idx="180">
                  <c:v>45765</c:v>
                </c:pt>
                <c:pt idx="181">
                  <c:v>45764</c:v>
                </c:pt>
                <c:pt idx="182">
                  <c:v>45763</c:v>
                </c:pt>
                <c:pt idx="183">
                  <c:v>45762</c:v>
                </c:pt>
                <c:pt idx="184">
                  <c:v>45761</c:v>
                </c:pt>
                <c:pt idx="185">
                  <c:v>45760</c:v>
                </c:pt>
                <c:pt idx="186">
                  <c:v>45759</c:v>
                </c:pt>
                <c:pt idx="187">
                  <c:v>45758</c:v>
                </c:pt>
                <c:pt idx="188">
                  <c:v>45757</c:v>
                </c:pt>
                <c:pt idx="189">
                  <c:v>45756</c:v>
                </c:pt>
                <c:pt idx="190">
                  <c:v>45755</c:v>
                </c:pt>
                <c:pt idx="191">
                  <c:v>45754</c:v>
                </c:pt>
                <c:pt idx="192">
                  <c:v>45753</c:v>
                </c:pt>
                <c:pt idx="193">
                  <c:v>45752</c:v>
                </c:pt>
                <c:pt idx="194">
                  <c:v>45751</c:v>
                </c:pt>
                <c:pt idx="195">
                  <c:v>45750</c:v>
                </c:pt>
                <c:pt idx="196">
                  <c:v>45749</c:v>
                </c:pt>
                <c:pt idx="197">
                  <c:v>45748</c:v>
                </c:pt>
                <c:pt idx="198">
                  <c:v>45747</c:v>
                </c:pt>
                <c:pt idx="199">
                  <c:v>45746</c:v>
                </c:pt>
                <c:pt idx="200">
                  <c:v>45745</c:v>
                </c:pt>
                <c:pt idx="201">
                  <c:v>45744</c:v>
                </c:pt>
                <c:pt idx="202">
                  <c:v>45743</c:v>
                </c:pt>
                <c:pt idx="203">
                  <c:v>45742</c:v>
                </c:pt>
                <c:pt idx="204">
                  <c:v>45741</c:v>
                </c:pt>
                <c:pt idx="205">
                  <c:v>45740</c:v>
                </c:pt>
                <c:pt idx="206">
                  <c:v>45739</c:v>
                </c:pt>
                <c:pt idx="207">
                  <c:v>45738</c:v>
                </c:pt>
                <c:pt idx="208">
                  <c:v>45737</c:v>
                </c:pt>
                <c:pt idx="209">
                  <c:v>45736</c:v>
                </c:pt>
                <c:pt idx="210">
                  <c:v>45735</c:v>
                </c:pt>
                <c:pt idx="211">
                  <c:v>45734</c:v>
                </c:pt>
                <c:pt idx="212">
                  <c:v>45733</c:v>
                </c:pt>
                <c:pt idx="213">
                  <c:v>45732</c:v>
                </c:pt>
                <c:pt idx="214">
                  <c:v>45731</c:v>
                </c:pt>
                <c:pt idx="215">
                  <c:v>45730</c:v>
                </c:pt>
                <c:pt idx="216">
                  <c:v>45729</c:v>
                </c:pt>
                <c:pt idx="217">
                  <c:v>45728</c:v>
                </c:pt>
                <c:pt idx="218">
                  <c:v>45727</c:v>
                </c:pt>
                <c:pt idx="219">
                  <c:v>45726</c:v>
                </c:pt>
                <c:pt idx="220">
                  <c:v>45725</c:v>
                </c:pt>
                <c:pt idx="221">
                  <c:v>45724</c:v>
                </c:pt>
                <c:pt idx="222">
                  <c:v>45723</c:v>
                </c:pt>
                <c:pt idx="223">
                  <c:v>45722</c:v>
                </c:pt>
                <c:pt idx="224">
                  <c:v>45721</c:v>
                </c:pt>
                <c:pt idx="225">
                  <c:v>45720</c:v>
                </c:pt>
                <c:pt idx="226">
                  <c:v>45719</c:v>
                </c:pt>
                <c:pt idx="227">
                  <c:v>45718</c:v>
                </c:pt>
                <c:pt idx="228">
                  <c:v>45717</c:v>
                </c:pt>
                <c:pt idx="229">
                  <c:v>45716</c:v>
                </c:pt>
                <c:pt idx="230">
                  <c:v>45715</c:v>
                </c:pt>
                <c:pt idx="231">
                  <c:v>45714</c:v>
                </c:pt>
                <c:pt idx="232">
                  <c:v>45713</c:v>
                </c:pt>
                <c:pt idx="233">
                  <c:v>45712</c:v>
                </c:pt>
                <c:pt idx="234">
                  <c:v>45711</c:v>
                </c:pt>
                <c:pt idx="235">
                  <c:v>45710</c:v>
                </c:pt>
                <c:pt idx="236">
                  <c:v>45709</c:v>
                </c:pt>
                <c:pt idx="237">
                  <c:v>45708</c:v>
                </c:pt>
                <c:pt idx="238">
                  <c:v>45707</c:v>
                </c:pt>
                <c:pt idx="239">
                  <c:v>45706</c:v>
                </c:pt>
                <c:pt idx="240">
                  <c:v>45705</c:v>
                </c:pt>
                <c:pt idx="241">
                  <c:v>45704</c:v>
                </c:pt>
                <c:pt idx="242">
                  <c:v>45703</c:v>
                </c:pt>
                <c:pt idx="243">
                  <c:v>45702</c:v>
                </c:pt>
                <c:pt idx="244">
                  <c:v>45701</c:v>
                </c:pt>
                <c:pt idx="245">
                  <c:v>45700</c:v>
                </c:pt>
                <c:pt idx="246">
                  <c:v>45699</c:v>
                </c:pt>
                <c:pt idx="247">
                  <c:v>45698</c:v>
                </c:pt>
                <c:pt idx="248">
                  <c:v>45697</c:v>
                </c:pt>
                <c:pt idx="249">
                  <c:v>45696</c:v>
                </c:pt>
                <c:pt idx="250">
                  <c:v>45695</c:v>
                </c:pt>
                <c:pt idx="251">
                  <c:v>45694</c:v>
                </c:pt>
                <c:pt idx="252">
                  <c:v>45693</c:v>
                </c:pt>
                <c:pt idx="253">
                  <c:v>45692</c:v>
                </c:pt>
                <c:pt idx="254">
                  <c:v>45691</c:v>
                </c:pt>
                <c:pt idx="255">
                  <c:v>45690</c:v>
                </c:pt>
                <c:pt idx="256">
                  <c:v>45689</c:v>
                </c:pt>
                <c:pt idx="257">
                  <c:v>45688</c:v>
                </c:pt>
                <c:pt idx="258">
                  <c:v>45687</c:v>
                </c:pt>
                <c:pt idx="259">
                  <c:v>45686</c:v>
                </c:pt>
                <c:pt idx="260">
                  <c:v>45685</c:v>
                </c:pt>
                <c:pt idx="261">
                  <c:v>45684</c:v>
                </c:pt>
                <c:pt idx="262">
                  <c:v>45683</c:v>
                </c:pt>
                <c:pt idx="263">
                  <c:v>45682</c:v>
                </c:pt>
                <c:pt idx="264">
                  <c:v>45681</c:v>
                </c:pt>
                <c:pt idx="265">
                  <c:v>45680</c:v>
                </c:pt>
                <c:pt idx="266">
                  <c:v>45679</c:v>
                </c:pt>
                <c:pt idx="267">
                  <c:v>45678</c:v>
                </c:pt>
                <c:pt idx="268">
                  <c:v>45677</c:v>
                </c:pt>
                <c:pt idx="269">
                  <c:v>45676</c:v>
                </c:pt>
                <c:pt idx="270">
                  <c:v>45675</c:v>
                </c:pt>
                <c:pt idx="271">
                  <c:v>45674</c:v>
                </c:pt>
                <c:pt idx="272">
                  <c:v>45673</c:v>
                </c:pt>
                <c:pt idx="273">
                  <c:v>45672</c:v>
                </c:pt>
                <c:pt idx="274">
                  <c:v>45671</c:v>
                </c:pt>
                <c:pt idx="275">
                  <c:v>45670</c:v>
                </c:pt>
                <c:pt idx="276">
                  <c:v>45669</c:v>
                </c:pt>
                <c:pt idx="277">
                  <c:v>45668</c:v>
                </c:pt>
                <c:pt idx="278">
                  <c:v>45667</c:v>
                </c:pt>
                <c:pt idx="279">
                  <c:v>45666</c:v>
                </c:pt>
                <c:pt idx="280">
                  <c:v>45665</c:v>
                </c:pt>
                <c:pt idx="281">
                  <c:v>45664</c:v>
                </c:pt>
                <c:pt idx="282">
                  <c:v>45663</c:v>
                </c:pt>
                <c:pt idx="283">
                  <c:v>45662</c:v>
                </c:pt>
                <c:pt idx="284">
                  <c:v>45661</c:v>
                </c:pt>
                <c:pt idx="285">
                  <c:v>45660</c:v>
                </c:pt>
                <c:pt idx="286">
                  <c:v>45659</c:v>
                </c:pt>
                <c:pt idx="287">
                  <c:v>45658</c:v>
                </c:pt>
                <c:pt idx="288">
                  <c:v>45657</c:v>
                </c:pt>
                <c:pt idx="289">
                  <c:v>45656</c:v>
                </c:pt>
                <c:pt idx="290">
                  <c:v>45655</c:v>
                </c:pt>
                <c:pt idx="291">
                  <c:v>45654</c:v>
                </c:pt>
                <c:pt idx="292">
                  <c:v>45653</c:v>
                </c:pt>
                <c:pt idx="293">
                  <c:v>45652</c:v>
                </c:pt>
                <c:pt idx="294">
                  <c:v>45651</c:v>
                </c:pt>
                <c:pt idx="295">
                  <c:v>45650</c:v>
                </c:pt>
                <c:pt idx="296">
                  <c:v>45649</c:v>
                </c:pt>
                <c:pt idx="297">
                  <c:v>45648</c:v>
                </c:pt>
                <c:pt idx="298">
                  <c:v>45647</c:v>
                </c:pt>
                <c:pt idx="299">
                  <c:v>45646</c:v>
                </c:pt>
                <c:pt idx="300">
                  <c:v>45645</c:v>
                </c:pt>
                <c:pt idx="301">
                  <c:v>45644</c:v>
                </c:pt>
                <c:pt idx="302">
                  <c:v>45643</c:v>
                </c:pt>
                <c:pt idx="303">
                  <c:v>45642</c:v>
                </c:pt>
                <c:pt idx="304">
                  <c:v>45641</c:v>
                </c:pt>
                <c:pt idx="305">
                  <c:v>45640</c:v>
                </c:pt>
                <c:pt idx="306">
                  <c:v>45639</c:v>
                </c:pt>
                <c:pt idx="307">
                  <c:v>45638</c:v>
                </c:pt>
                <c:pt idx="308">
                  <c:v>45637</c:v>
                </c:pt>
                <c:pt idx="309">
                  <c:v>45636</c:v>
                </c:pt>
                <c:pt idx="310">
                  <c:v>45635</c:v>
                </c:pt>
                <c:pt idx="311">
                  <c:v>45634</c:v>
                </c:pt>
                <c:pt idx="312">
                  <c:v>45633</c:v>
                </c:pt>
                <c:pt idx="313">
                  <c:v>45632</c:v>
                </c:pt>
                <c:pt idx="314">
                  <c:v>45631</c:v>
                </c:pt>
                <c:pt idx="315">
                  <c:v>45630</c:v>
                </c:pt>
                <c:pt idx="316">
                  <c:v>45629</c:v>
                </c:pt>
                <c:pt idx="317">
                  <c:v>45628</c:v>
                </c:pt>
                <c:pt idx="318">
                  <c:v>45627</c:v>
                </c:pt>
                <c:pt idx="319">
                  <c:v>45626</c:v>
                </c:pt>
                <c:pt idx="320">
                  <c:v>45625</c:v>
                </c:pt>
                <c:pt idx="321">
                  <c:v>45624</c:v>
                </c:pt>
                <c:pt idx="322">
                  <c:v>45623</c:v>
                </c:pt>
                <c:pt idx="323">
                  <c:v>45622</c:v>
                </c:pt>
                <c:pt idx="324">
                  <c:v>45621</c:v>
                </c:pt>
                <c:pt idx="325">
                  <c:v>45620</c:v>
                </c:pt>
                <c:pt idx="326">
                  <c:v>45619</c:v>
                </c:pt>
                <c:pt idx="327">
                  <c:v>45618</c:v>
                </c:pt>
                <c:pt idx="328">
                  <c:v>45617</c:v>
                </c:pt>
                <c:pt idx="329">
                  <c:v>45616</c:v>
                </c:pt>
                <c:pt idx="330">
                  <c:v>45615</c:v>
                </c:pt>
                <c:pt idx="331">
                  <c:v>45614</c:v>
                </c:pt>
                <c:pt idx="332">
                  <c:v>45613</c:v>
                </c:pt>
                <c:pt idx="333">
                  <c:v>45612</c:v>
                </c:pt>
                <c:pt idx="334">
                  <c:v>45611</c:v>
                </c:pt>
                <c:pt idx="335">
                  <c:v>45610</c:v>
                </c:pt>
                <c:pt idx="336">
                  <c:v>45609</c:v>
                </c:pt>
                <c:pt idx="337">
                  <c:v>45608</c:v>
                </c:pt>
                <c:pt idx="338">
                  <c:v>45607</c:v>
                </c:pt>
                <c:pt idx="339">
                  <c:v>45606</c:v>
                </c:pt>
                <c:pt idx="340">
                  <c:v>45605</c:v>
                </c:pt>
                <c:pt idx="341">
                  <c:v>45604</c:v>
                </c:pt>
                <c:pt idx="342">
                  <c:v>45603</c:v>
                </c:pt>
                <c:pt idx="343">
                  <c:v>45602</c:v>
                </c:pt>
                <c:pt idx="344">
                  <c:v>45601</c:v>
                </c:pt>
                <c:pt idx="345">
                  <c:v>45600</c:v>
                </c:pt>
                <c:pt idx="346">
                  <c:v>45599</c:v>
                </c:pt>
                <c:pt idx="347">
                  <c:v>45598</c:v>
                </c:pt>
                <c:pt idx="348">
                  <c:v>45597</c:v>
                </c:pt>
                <c:pt idx="349">
                  <c:v>45596</c:v>
                </c:pt>
                <c:pt idx="350">
                  <c:v>45595</c:v>
                </c:pt>
                <c:pt idx="351">
                  <c:v>45594</c:v>
                </c:pt>
                <c:pt idx="352">
                  <c:v>45593</c:v>
                </c:pt>
                <c:pt idx="353">
                  <c:v>45592</c:v>
                </c:pt>
                <c:pt idx="354">
                  <c:v>45591</c:v>
                </c:pt>
                <c:pt idx="355">
                  <c:v>45590</c:v>
                </c:pt>
                <c:pt idx="356">
                  <c:v>45589</c:v>
                </c:pt>
                <c:pt idx="357">
                  <c:v>45588</c:v>
                </c:pt>
                <c:pt idx="358">
                  <c:v>45587</c:v>
                </c:pt>
                <c:pt idx="359">
                  <c:v>45586</c:v>
                </c:pt>
                <c:pt idx="360">
                  <c:v>45585</c:v>
                </c:pt>
                <c:pt idx="361">
                  <c:v>45584</c:v>
                </c:pt>
                <c:pt idx="362">
                  <c:v>45583</c:v>
                </c:pt>
                <c:pt idx="363">
                  <c:v>45582</c:v>
                </c:pt>
                <c:pt idx="364">
                  <c:v>45581</c:v>
                </c:pt>
                <c:pt idx="365">
                  <c:v>45580</c:v>
                </c:pt>
                <c:pt idx="366">
                  <c:v>45579</c:v>
                </c:pt>
                <c:pt idx="367">
                  <c:v>45578</c:v>
                </c:pt>
                <c:pt idx="368">
                  <c:v>45577</c:v>
                </c:pt>
                <c:pt idx="369">
                  <c:v>45576</c:v>
                </c:pt>
                <c:pt idx="370">
                  <c:v>45575</c:v>
                </c:pt>
                <c:pt idx="371">
                  <c:v>45574</c:v>
                </c:pt>
                <c:pt idx="372">
                  <c:v>45573</c:v>
                </c:pt>
                <c:pt idx="373">
                  <c:v>45572</c:v>
                </c:pt>
                <c:pt idx="374">
                  <c:v>45571</c:v>
                </c:pt>
                <c:pt idx="375">
                  <c:v>45570</c:v>
                </c:pt>
                <c:pt idx="376">
                  <c:v>45569</c:v>
                </c:pt>
                <c:pt idx="377">
                  <c:v>45568</c:v>
                </c:pt>
                <c:pt idx="378">
                  <c:v>45567</c:v>
                </c:pt>
                <c:pt idx="379">
                  <c:v>45566</c:v>
                </c:pt>
                <c:pt idx="380">
                  <c:v>45565</c:v>
                </c:pt>
                <c:pt idx="381">
                  <c:v>45564</c:v>
                </c:pt>
                <c:pt idx="382">
                  <c:v>45563</c:v>
                </c:pt>
                <c:pt idx="383">
                  <c:v>45562</c:v>
                </c:pt>
                <c:pt idx="384">
                  <c:v>45561</c:v>
                </c:pt>
                <c:pt idx="385">
                  <c:v>45560</c:v>
                </c:pt>
                <c:pt idx="386">
                  <c:v>45559</c:v>
                </c:pt>
                <c:pt idx="387">
                  <c:v>45558</c:v>
                </c:pt>
                <c:pt idx="388">
                  <c:v>45557</c:v>
                </c:pt>
                <c:pt idx="389">
                  <c:v>45556</c:v>
                </c:pt>
                <c:pt idx="390">
                  <c:v>45555</c:v>
                </c:pt>
                <c:pt idx="391">
                  <c:v>45554</c:v>
                </c:pt>
                <c:pt idx="392">
                  <c:v>45553</c:v>
                </c:pt>
                <c:pt idx="393">
                  <c:v>45552</c:v>
                </c:pt>
                <c:pt idx="394">
                  <c:v>45551</c:v>
                </c:pt>
                <c:pt idx="395">
                  <c:v>45550</c:v>
                </c:pt>
                <c:pt idx="396">
                  <c:v>45549</c:v>
                </c:pt>
                <c:pt idx="397">
                  <c:v>45548</c:v>
                </c:pt>
                <c:pt idx="398">
                  <c:v>45547</c:v>
                </c:pt>
                <c:pt idx="399">
                  <c:v>45546</c:v>
                </c:pt>
                <c:pt idx="400">
                  <c:v>45545</c:v>
                </c:pt>
                <c:pt idx="401">
                  <c:v>45544</c:v>
                </c:pt>
                <c:pt idx="402">
                  <c:v>45543</c:v>
                </c:pt>
                <c:pt idx="403">
                  <c:v>45542</c:v>
                </c:pt>
                <c:pt idx="404">
                  <c:v>45541</c:v>
                </c:pt>
                <c:pt idx="405">
                  <c:v>45540</c:v>
                </c:pt>
                <c:pt idx="406">
                  <c:v>45539</c:v>
                </c:pt>
                <c:pt idx="407">
                  <c:v>45538</c:v>
                </c:pt>
                <c:pt idx="408">
                  <c:v>45537</c:v>
                </c:pt>
                <c:pt idx="409">
                  <c:v>45536</c:v>
                </c:pt>
                <c:pt idx="410">
                  <c:v>45535</c:v>
                </c:pt>
                <c:pt idx="411">
                  <c:v>45534</c:v>
                </c:pt>
                <c:pt idx="412">
                  <c:v>45533</c:v>
                </c:pt>
                <c:pt idx="413">
                  <c:v>45532</c:v>
                </c:pt>
                <c:pt idx="414">
                  <c:v>45531</c:v>
                </c:pt>
                <c:pt idx="415">
                  <c:v>45530</c:v>
                </c:pt>
                <c:pt idx="416">
                  <c:v>45529</c:v>
                </c:pt>
                <c:pt idx="417">
                  <c:v>45528</c:v>
                </c:pt>
                <c:pt idx="418">
                  <c:v>45527</c:v>
                </c:pt>
                <c:pt idx="419">
                  <c:v>45526</c:v>
                </c:pt>
                <c:pt idx="420">
                  <c:v>45525</c:v>
                </c:pt>
                <c:pt idx="421">
                  <c:v>45524</c:v>
                </c:pt>
                <c:pt idx="422">
                  <c:v>45523</c:v>
                </c:pt>
                <c:pt idx="423">
                  <c:v>45522</c:v>
                </c:pt>
                <c:pt idx="424">
                  <c:v>45521</c:v>
                </c:pt>
                <c:pt idx="425">
                  <c:v>45520</c:v>
                </c:pt>
                <c:pt idx="426">
                  <c:v>45519</c:v>
                </c:pt>
                <c:pt idx="427">
                  <c:v>45518</c:v>
                </c:pt>
                <c:pt idx="428">
                  <c:v>45517</c:v>
                </c:pt>
                <c:pt idx="429">
                  <c:v>45516</c:v>
                </c:pt>
                <c:pt idx="430">
                  <c:v>45515</c:v>
                </c:pt>
                <c:pt idx="431">
                  <c:v>45514</c:v>
                </c:pt>
                <c:pt idx="432">
                  <c:v>45513</c:v>
                </c:pt>
                <c:pt idx="433">
                  <c:v>45512</c:v>
                </c:pt>
                <c:pt idx="434">
                  <c:v>45511</c:v>
                </c:pt>
                <c:pt idx="435">
                  <c:v>45510</c:v>
                </c:pt>
                <c:pt idx="436">
                  <c:v>45509</c:v>
                </c:pt>
                <c:pt idx="437">
                  <c:v>45508</c:v>
                </c:pt>
                <c:pt idx="438">
                  <c:v>45507</c:v>
                </c:pt>
                <c:pt idx="439">
                  <c:v>45506</c:v>
                </c:pt>
                <c:pt idx="440">
                  <c:v>45505</c:v>
                </c:pt>
                <c:pt idx="441">
                  <c:v>45504</c:v>
                </c:pt>
                <c:pt idx="442">
                  <c:v>45503</c:v>
                </c:pt>
                <c:pt idx="443">
                  <c:v>45502</c:v>
                </c:pt>
                <c:pt idx="444">
                  <c:v>45501</c:v>
                </c:pt>
                <c:pt idx="445">
                  <c:v>45500</c:v>
                </c:pt>
                <c:pt idx="446">
                  <c:v>45499</c:v>
                </c:pt>
                <c:pt idx="447">
                  <c:v>45498</c:v>
                </c:pt>
                <c:pt idx="448">
                  <c:v>45497</c:v>
                </c:pt>
                <c:pt idx="449">
                  <c:v>45496</c:v>
                </c:pt>
                <c:pt idx="450">
                  <c:v>45495</c:v>
                </c:pt>
                <c:pt idx="451">
                  <c:v>45494</c:v>
                </c:pt>
                <c:pt idx="452">
                  <c:v>45493</c:v>
                </c:pt>
                <c:pt idx="453">
                  <c:v>45492</c:v>
                </c:pt>
                <c:pt idx="454">
                  <c:v>45491</c:v>
                </c:pt>
                <c:pt idx="455">
                  <c:v>45490</c:v>
                </c:pt>
                <c:pt idx="456">
                  <c:v>45489</c:v>
                </c:pt>
                <c:pt idx="457">
                  <c:v>45488</c:v>
                </c:pt>
                <c:pt idx="458">
                  <c:v>45487</c:v>
                </c:pt>
                <c:pt idx="459">
                  <c:v>45486</c:v>
                </c:pt>
                <c:pt idx="460">
                  <c:v>45485</c:v>
                </c:pt>
                <c:pt idx="461">
                  <c:v>45484</c:v>
                </c:pt>
                <c:pt idx="462">
                  <c:v>45483</c:v>
                </c:pt>
                <c:pt idx="463">
                  <c:v>45482</c:v>
                </c:pt>
                <c:pt idx="464">
                  <c:v>45481</c:v>
                </c:pt>
                <c:pt idx="465">
                  <c:v>45480</c:v>
                </c:pt>
                <c:pt idx="466">
                  <c:v>45479</c:v>
                </c:pt>
                <c:pt idx="467">
                  <c:v>45478</c:v>
                </c:pt>
                <c:pt idx="468">
                  <c:v>45477</c:v>
                </c:pt>
                <c:pt idx="469">
                  <c:v>45476</c:v>
                </c:pt>
                <c:pt idx="470">
                  <c:v>45475</c:v>
                </c:pt>
                <c:pt idx="471">
                  <c:v>45474</c:v>
                </c:pt>
                <c:pt idx="472">
                  <c:v>45473</c:v>
                </c:pt>
                <c:pt idx="473">
                  <c:v>45472</c:v>
                </c:pt>
                <c:pt idx="474">
                  <c:v>45471</c:v>
                </c:pt>
                <c:pt idx="475">
                  <c:v>45470</c:v>
                </c:pt>
                <c:pt idx="476">
                  <c:v>45469</c:v>
                </c:pt>
                <c:pt idx="477">
                  <c:v>45468</c:v>
                </c:pt>
                <c:pt idx="478">
                  <c:v>45467</c:v>
                </c:pt>
                <c:pt idx="479">
                  <c:v>45466</c:v>
                </c:pt>
                <c:pt idx="480">
                  <c:v>45465</c:v>
                </c:pt>
                <c:pt idx="481">
                  <c:v>45464</c:v>
                </c:pt>
                <c:pt idx="482">
                  <c:v>45463</c:v>
                </c:pt>
                <c:pt idx="483">
                  <c:v>45462</c:v>
                </c:pt>
                <c:pt idx="484">
                  <c:v>45461</c:v>
                </c:pt>
                <c:pt idx="485">
                  <c:v>45460</c:v>
                </c:pt>
                <c:pt idx="486">
                  <c:v>45459</c:v>
                </c:pt>
                <c:pt idx="487">
                  <c:v>45458</c:v>
                </c:pt>
                <c:pt idx="488">
                  <c:v>45457</c:v>
                </c:pt>
                <c:pt idx="489">
                  <c:v>45456</c:v>
                </c:pt>
                <c:pt idx="490">
                  <c:v>45455</c:v>
                </c:pt>
                <c:pt idx="491">
                  <c:v>45454</c:v>
                </c:pt>
                <c:pt idx="492">
                  <c:v>45453</c:v>
                </c:pt>
                <c:pt idx="493">
                  <c:v>45452</c:v>
                </c:pt>
                <c:pt idx="494">
                  <c:v>45451</c:v>
                </c:pt>
                <c:pt idx="495">
                  <c:v>45450</c:v>
                </c:pt>
                <c:pt idx="496">
                  <c:v>45449</c:v>
                </c:pt>
                <c:pt idx="497">
                  <c:v>45448</c:v>
                </c:pt>
                <c:pt idx="498">
                  <c:v>45447</c:v>
                </c:pt>
                <c:pt idx="499">
                  <c:v>45446</c:v>
                </c:pt>
                <c:pt idx="500">
                  <c:v>45445</c:v>
                </c:pt>
                <c:pt idx="501">
                  <c:v>45444</c:v>
                </c:pt>
                <c:pt idx="502">
                  <c:v>45443</c:v>
                </c:pt>
                <c:pt idx="503">
                  <c:v>45442</c:v>
                </c:pt>
                <c:pt idx="504">
                  <c:v>45441</c:v>
                </c:pt>
                <c:pt idx="505">
                  <c:v>45440</c:v>
                </c:pt>
                <c:pt idx="506">
                  <c:v>45439</c:v>
                </c:pt>
                <c:pt idx="507">
                  <c:v>45438</c:v>
                </c:pt>
                <c:pt idx="508">
                  <c:v>45437</c:v>
                </c:pt>
                <c:pt idx="509">
                  <c:v>45436</c:v>
                </c:pt>
                <c:pt idx="510">
                  <c:v>45435</c:v>
                </c:pt>
                <c:pt idx="511">
                  <c:v>45434</c:v>
                </c:pt>
                <c:pt idx="512">
                  <c:v>45433</c:v>
                </c:pt>
                <c:pt idx="513">
                  <c:v>45432</c:v>
                </c:pt>
                <c:pt idx="514">
                  <c:v>45431</c:v>
                </c:pt>
                <c:pt idx="515">
                  <c:v>45430</c:v>
                </c:pt>
                <c:pt idx="516">
                  <c:v>45429</c:v>
                </c:pt>
                <c:pt idx="517">
                  <c:v>45428</c:v>
                </c:pt>
                <c:pt idx="518">
                  <c:v>45427</c:v>
                </c:pt>
                <c:pt idx="519">
                  <c:v>45426</c:v>
                </c:pt>
                <c:pt idx="520">
                  <c:v>45425</c:v>
                </c:pt>
                <c:pt idx="521">
                  <c:v>45424</c:v>
                </c:pt>
                <c:pt idx="522">
                  <c:v>45423</c:v>
                </c:pt>
                <c:pt idx="523">
                  <c:v>45422</c:v>
                </c:pt>
                <c:pt idx="524">
                  <c:v>45421</c:v>
                </c:pt>
                <c:pt idx="525">
                  <c:v>45420</c:v>
                </c:pt>
                <c:pt idx="526">
                  <c:v>45419</c:v>
                </c:pt>
                <c:pt idx="527">
                  <c:v>45418</c:v>
                </c:pt>
                <c:pt idx="528">
                  <c:v>45417</c:v>
                </c:pt>
                <c:pt idx="529">
                  <c:v>45416</c:v>
                </c:pt>
                <c:pt idx="530">
                  <c:v>45415</c:v>
                </c:pt>
                <c:pt idx="531">
                  <c:v>45414</c:v>
                </c:pt>
                <c:pt idx="532">
                  <c:v>45413</c:v>
                </c:pt>
                <c:pt idx="533">
                  <c:v>45412</c:v>
                </c:pt>
                <c:pt idx="534">
                  <c:v>45411</c:v>
                </c:pt>
                <c:pt idx="535">
                  <c:v>45410</c:v>
                </c:pt>
                <c:pt idx="536">
                  <c:v>45409</c:v>
                </c:pt>
                <c:pt idx="537">
                  <c:v>45408</c:v>
                </c:pt>
                <c:pt idx="538">
                  <c:v>45407</c:v>
                </c:pt>
                <c:pt idx="539">
                  <c:v>45406</c:v>
                </c:pt>
                <c:pt idx="540">
                  <c:v>45405</c:v>
                </c:pt>
                <c:pt idx="541">
                  <c:v>45404</c:v>
                </c:pt>
                <c:pt idx="542">
                  <c:v>45403</c:v>
                </c:pt>
                <c:pt idx="543">
                  <c:v>45402</c:v>
                </c:pt>
                <c:pt idx="544">
                  <c:v>45401</c:v>
                </c:pt>
                <c:pt idx="545">
                  <c:v>45400</c:v>
                </c:pt>
                <c:pt idx="546">
                  <c:v>45399</c:v>
                </c:pt>
                <c:pt idx="547">
                  <c:v>45398</c:v>
                </c:pt>
                <c:pt idx="548">
                  <c:v>45397</c:v>
                </c:pt>
                <c:pt idx="549">
                  <c:v>45396</c:v>
                </c:pt>
                <c:pt idx="550">
                  <c:v>45395</c:v>
                </c:pt>
                <c:pt idx="551">
                  <c:v>45394</c:v>
                </c:pt>
                <c:pt idx="552">
                  <c:v>45393</c:v>
                </c:pt>
                <c:pt idx="553">
                  <c:v>45392</c:v>
                </c:pt>
                <c:pt idx="554">
                  <c:v>45391</c:v>
                </c:pt>
                <c:pt idx="555">
                  <c:v>45390</c:v>
                </c:pt>
                <c:pt idx="556">
                  <c:v>45389</c:v>
                </c:pt>
                <c:pt idx="557">
                  <c:v>45388</c:v>
                </c:pt>
                <c:pt idx="558">
                  <c:v>45387</c:v>
                </c:pt>
                <c:pt idx="559">
                  <c:v>45386</c:v>
                </c:pt>
                <c:pt idx="560">
                  <c:v>45385</c:v>
                </c:pt>
                <c:pt idx="561">
                  <c:v>45384</c:v>
                </c:pt>
                <c:pt idx="562">
                  <c:v>45383</c:v>
                </c:pt>
                <c:pt idx="563">
                  <c:v>45382</c:v>
                </c:pt>
                <c:pt idx="564">
                  <c:v>45381</c:v>
                </c:pt>
                <c:pt idx="565">
                  <c:v>45380</c:v>
                </c:pt>
                <c:pt idx="566">
                  <c:v>45379</c:v>
                </c:pt>
                <c:pt idx="567">
                  <c:v>45378</c:v>
                </c:pt>
                <c:pt idx="568">
                  <c:v>45377</c:v>
                </c:pt>
                <c:pt idx="569">
                  <c:v>45376</c:v>
                </c:pt>
                <c:pt idx="570">
                  <c:v>45375</c:v>
                </c:pt>
                <c:pt idx="571">
                  <c:v>45374</c:v>
                </c:pt>
                <c:pt idx="572">
                  <c:v>45373</c:v>
                </c:pt>
                <c:pt idx="573">
                  <c:v>45372</c:v>
                </c:pt>
                <c:pt idx="574">
                  <c:v>45371</c:v>
                </c:pt>
                <c:pt idx="575">
                  <c:v>45370</c:v>
                </c:pt>
                <c:pt idx="576">
                  <c:v>45369</c:v>
                </c:pt>
                <c:pt idx="577">
                  <c:v>45368</c:v>
                </c:pt>
                <c:pt idx="578">
                  <c:v>45367</c:v>
                </c:pt>
                <c:pt idx="579">
                  <c:v>45366</c:v>
                </c:pt>
                <c:pt idx="580">
                  <c:v>45365</c:v>
                </c:pt>
                <c:pt idx="581">
                  <c:v>45364</c:v>
                </c:pt>
                <c:pt idx="582">
                  <c:v>45363</c:v>
                </c:pt>
                <c:pt idx="583">
                  <c:v>45362</c:v>
                </c:pt>
                <c:pt idx="584">
                  <c:v>45361</c:v>
                </c:pt>
                <c:pt idx="585">
                  <c:v>45360</c:v>
                </c:pt>
                <c:pt idx="586">
                  <c:v>45359</c:v>
                </c:pt>
                <c:pt idx="587">
                  <c:v>45358</c:v>
                </c:pt>
                <c:pt idx="588">
                  <c:v>45357</c:v>
                </c:pt>
                <c:pt idx="589">
                  <c:v>45356</c:v>
                </c:pt>
                <c:pt idx="590">
                  <c:v>45355</c:v>
                </c:pt>
                <c:pt idx="591">
                  <c:v>45354</c:v>
                </c:pt>
                <c:pt idx="592">
                  <c:v>45353</c:v>
                </c:pt>
                <c:pt idx="593">
                  <c:v>45352</c:v>
                </c:pt>
                <c:pt idx="594">
                  <c:v>45351</c:v>
                </c:pt>
                <c:pt idx="595">
                  <c:v>45350</c:v>
                </c:pt>
                <c:pt idx="596">
                  <c:v>45349</c:v>
                </c:pt>
                <c:pt idx="597">
                  <c:v>45348</c:v>
                </c:pt>
                <c:pt idx="598">
                  <c:v>45347</c:v>
                </c:pt>
                <c:pt idx="599">
                  <c:v>45346</c:v>
                </c:pt>
                <c:pt idx="600">
                  <c:v>45345</c:v>
                </c:pt>
                <c:pt idx="601">
                  <c:v>45344</c:v>
                </c:pt>
                <c:pt idx="602">
                  <c:v>45343</c:v>
                </c:pt>
                <c:pt idx="603">
                  <c:v>45342</c:v>
                </c:pt>
                <c:pt idx="604">
                  <c:v>45341</c:v>
                </c:pt>
                <c:pt idx="605">
                  <c:v>45340</c:v>
                </c:pt>
                <c:pt idx="606">
                  <c:v>45339</c:v>
                </c:pt>
                <c:pt idx="607">
                  <c:v>45338</c:v>
                </c:pt>
                <c:pt idx="608">
                  <c:v>45337</c:v>
                </c:pt>
                <c:pt idx="609">
                  <c:v>45336</c:v>
                </c:pt>
                <c:pt idx="610">
                  <c:v>45335</c:v>
                </c:pt>
                <c:pt idx="611">
                  <c:v>45334</c:v>
                </c:pt>
                <c:pt idx="612">
                  <c:v>45333</c:v>
                </c:pt>
                <c:pt idx="613">
                  <c:v>45332</c:v>
                </c:pt>
                <c:pt idx="614">
                  <c:v>45331</c:v>
                </c:pt>
                <c:pt idx="615">
                  <c:v>45330</c:v>
                </c:pt>
                <c:pt idx="616">
                  <c:v>45329</c:v>
                </c:pt>
                <c:pt idx="617">
                  <c:v>45328</c:v>
                </c:pt>
                <c:pt idx="618">
                  <c:v>45327</c:v>
                </c:pt>
                <c:pt idx="619">
                  <c:v>45326</c:v>
                </c:pt>
                <c:pt idx="620">
                  <c:v>45325</c:v>
                </c:pt>
                <c:pt idx="621">
                  <c:v>45324</c:v>
                </c:pt>
                <c:pt idx="622">
                  <c:v>45323</c:v>
                </c:pt>
                <c:pt idx="623">
                  <c:v>45322</c:v>
                </c:pt>
                <c:pt idx="624">
                  <c:v>45321</c:v>
                </c:pt>
                <c:pt idx="625">
                  <c:v>45320</c:v>
                </c:pt>
                <c:pt idx="626">
                  <c:v>45319</c:v>
                </c:pt>
                <c:pt idx="627">
                  <c:v>45318</c:v>
                </c:pt>
                <c:pt idx="628">
                  <c:v>45317</c:v>
                </c:pt>
                <c:pt idx="629">
                  <c:v>45316</c:v>
                </c:pt>
                <c:pt idx="630">
                  <c:v>45315</c:v>
                </c:pt>
                <c:pt idx="631">
                  <c:v>45314</c:v>
                </c:pt>
                <c:pt idx="632">
                  <c:v>45313</c:v>
                </c:pt>
                <c:pt idx="633">
                  <c:v>45312</c:v>
                </c:pt>
                <c:pt idx="634">
                  <c:v>45311</c:v>
                </c:pt>
                <c:pt idx="635">
                  <c:v>45310</c:v>
                </c:pt>
                <c:pt idx="636">
                  <c:v>45309</c:v>
                </c:pt>
                <c:pt idx="637">
                  <c:v>45308</c:v>
                </c:pt>
                <c:pt idx="638">
                  <c:v>45307</c:v>
                </c:pt>
                <c:pt idx="639">
                  <c:v>45306</c:v>
                </c:pt>
                <c:pt idx="640">
                  <c:v>45305</c:v>
                </c:pt>
                <c:pt idx="641">
                  <c:v>45304</c:v>
                </c:pt>
                <c:pt idx="642">
                  <c:v>45303</c:v>
                </c:pt>
                <c:pt idx="643">
                  <c:v>45302</c:v>
                </c:pt>
                <c:pt idx="644">
                  <c:v>45301</c:v>
                </c:pt>
                <c:pt idx="645">
                  <c:v>45300</c:v>
                </c:pt>
                <c:pt idx="646">
                  <c:v>45299</c:v>
                </c:pt>
                <c:pt idx="647">
                  <c:v>45298</c:v>
                </c:pt>
                <c:pt idx="648">
                  <c:v>45297</c:v>
                </c:pt>
                <c:pt idx="649">
                  <c:v>45296</c:v>
                </c:pt>
                <c:pt idx="650">
                  <c:v>45295</c:v>
                </c:pt>
                <c:pt idx="651">
                  <c:v>45294</c:v>
                </c:pt>
                <c:pt idx="652">
                  <c:v>45293</c:v>
                </c:pt>
                <c:pt idx="653">
                  <c:v>45292</c:v>
                </c:pt>
                <c:pt idx="654">
                  <c:v>45291</c:v>
                </c:pt>
                <c:pt idx="655">
                  <c:v>45290</c:v>
                </c:pt>
                <c:pt idx="656">
                  <c:v>45289</c:v>
                </c:pt>
                <c:pt idx="657">
                  <c:v>45288</c:v>
                </c:pt>
                <c:pt idx="658">
                  <c:v>45287</c:v>
                </c:pt>
                <c:pt idx="659">
                  <c:v>45286</c:v>
                </c:pt>
                <c:pt idx="660">
                  <c:v>45285</c:v>
                </c:pt>
                <c:pt idx="661">
                  <c:v>45284</c:v>
                </c:pt>
                <c:pt idx="662">
                  <c:v>45283</c:v>
                </c:pt>
                <c:pt idx="663">
                  <c:v>45282</c:v>
                </c:pt>
                <c:pt idx="664">
                  <c:v>45281</c:v>
                </c:pt>
                <c:pt idx="665">
                  <c:v>45280</c:v>
                </c:pt>
                <c:pt idx="666">
                  <c:v>45279</c:v>
                </c:pt>
                <c:pt idx="667">
                  <c:v>45278</c:v>
                </c:pt>
                <c:pt idx="668">
                  <c:v>45277</c:v>
                </c:pt>
                <c:pt idx="669">
                  <c:v>45276</c:v>
                </c:pt>
                <c:pt idx="670">
                  <c:v>45275</c:v>
                </c:pt>
                <c:pt idx="671">
                  <c:v>45274</c:v>
                </c:pt>
                <c:pt idx="672">
                  <c:v>45273</c:v>
                </c:pt>
                <c:pt idx="673">
                  <c:v>45272</c:v>
                </c:pt>
                <c:pt idx="674">
                  <c:v>45271</c:v>
                </c:pt>
                <c:pt idx="675">
                  <c:v>45270</c:v>
                </c:pt>
                <c:pt idx="676">
                  <c:v>45269</c:v>
                </c:pt>
                <c:pt idx="677">
                  <c:v>45268</c:v>
                </c:pt>
                <c:pt idx="678">
                  <c:v>45267</c:v>
                </c:pt>
                <c:pt idx="679">
                  <c:v>45266</c:v>
                </c:pt>
                <c:pt idx="680">
                  <c:v>45265</c:v>
                </c:pt>
                <c:pt idx="681">
                  <c:v>45264</c:v>
                </c:pt>
                <c:pt idx="682">
                  <c:v>45263</c:v>
                </c:pt>
                <c:pt idx="683">
                  <c:v>45262</c:v>
                </c:pt>
                <c:pt idx="684">
                  <c:v>45261</c:v>
                </c:pt>
                <c:pt idx="685">
                  <c:v>45260</c:v>
                </c:pt>
                <c:pt idx="686">
                  <c:v>45259</c:v>
                </c:pt>
                <c:pt idx="687">
                  <c:v>45258</c:v>
                </c:pt>
                <c:pt idx="688">
                  <c:v>45257</c:v>
                </c:pt>
                <c:pt idx="689">
                  <c:v>45256</c:v>
                </c:pt>
                <c:pt idx="690">
                  <c:v>45255</c:v>
                </c:pt>
                <c:pt idx="691">
                  <c:v>45254</c:v>
                </c:pt>
                <c:pt idx="692">
                  <c:v>45253</c:v>
                </c:pt>
                <c:pt idx="693">
                  <c:v>45252</c:v>
                </c:pt>
                <c:pt idx="694">
                  <c:v>45251</c:v>
                </c:pt>
                <c:pt idx="695">
                  <c:v>45250</c:v>
                </c:pt>
                <c:pt idx="696">
                  <c:v>45249</c:v>
                </c:pt>
                <c:pt idx="697">
                  <c:v>45248</c:v>
                </c:pt>
                <c:pt idx="698">
                  <c:v>45247</c:v>
                </c:pt>
                <c:pt idx="699">
                  <c:v>45246</c:v>
                </c:pt>
                <c:pt idx="700">
                  <c:v>45245</c:v>
                </c:pt>
                <c:pt idx="701">
                  <c:v>45244</c:v>
                </c:pt>
                <c:pt idx="702">
                  <c:v>45243</c:v>
                </c:pt>
                <c:pt idx="703">
                  <c:v>45242</c:v>
                </c:pt>
                <c:pt idx="704">
                  <c:v>45241</c:v>
                </c:pt>
                <c:pt idx="705">
                  <c:v>45240</c:v>
                </c:pt>
                <c:pt idx="706">
                  <c:v>45239</c:v>
                </c:pt>
                <c:pt idx="707">
                  <c:v>45238</c:v>
                </c:pt>
                <c:pt idx="708">
                  <c:v>45237</c:v>
                </c:pt>
                <c:pt idx="709">
                  <c:v>45236</c:v>
                </c:pt>
                <c:pt idx="710">
                  <c:v>45235</c:v>
                </c:pt>
                <c:pt idx="711">
                  <c:v>45234</c:v>
                </c:pt>
                <c:pt idx="712">
                  <c:v>45233</c:v>
                </c:pt>
                <c:pt idx="713">
                  <c:v>45232</c:v>
                </c:pt>
                <c:pt idx="714">
                  <c:v>45231</c:v>
                </c:pt>
                <c:pt idx="715">
                  <c:v>45230</c:v>
                </c:pt>
                <c:pt idx="716">
                  <c:v>45229</c:v>
                </c:pt>
                <c:pt idx="717">
                  <c:v>45228</c:v>
                </c:pt>
                <c:pt idx="718">
                  <c:v>45227</c:v>
                </c:pt>
                <c:pt idx="719">
                  <c:v>45226</c:v>
                </c:pt>
                <c:pt idx="720">
                  <c:v>45225</c:v>
                </c:pt>
                <c:pt idx="721">
                  <c:v>45224</c:v>
                </c:pt>
                <c:pt idx="722">
                  <c:v>45223</c:v>
                </c:pt>
                <c:pt idx="723">
                  <c:v>45222</c:v>
                </c:pt>
                <c:pt idx="724">
                  <c:v>45221</c:v>
                </c:pt>
                <c:pt idx="725">
                  <c:v>45220</c:v>
                </c:pt>
                <c:pt idx="726">
                  <c:v>45219</c:v>
                </c:pt>
                <c:pt idx="727">
                  <c:v>45218</c:v>
                </c:pt>
                <c:pt idx="728">
                  <c:v>45217</c:v>
                </c:pt>
                <c:pt idx="729">
                  <c:v>45216</c:v>
                </c:pt>
                <c:pt idx="730">
                  <c:v>45215</c:v>
                </c:pt>
                <c:pt idx="731">
                  <c:v>45214</c:v>
                </c:pt>
                <c:pt idx="732">
                  <c:v>45213</c:v>
                </c:pt>
                <c:pt idx="733">
                  <c:v>45212</c:v>
                </c:pt>
                <c:pt idx="734">
                  <c:v>45211</c:v>
                </c:pt>
                <c:pt idx="735">
                  <c:v>45210</c:v>
                </c:pt>
                <c:pt idx="736">
                  <c:v>45209</c:v>
                </c:pt>
                <c:pt idx="737">
                  <c:v>45208</c:v>
                </c:pt>
                <c:pt idx="738">
                  <c:v>45207</c:v>
                </c:pt>
                <c:pt idx="739">
                  <c:v>45206</c:v>
                </c:pt>
                <c:pt idx="740">
                  <c:v>45205</c:v>
                </c:pt>
                <c:pt idx="741">
                  <c:v>45204</c:v>
                </c:pt>
                <c:pt idx="742">
                  <c:v>45203</c:v>
                </c:pt>
                <c:pt idx="743">
                  <c:v>45202</c:v>
                </c:pt>
                <c:pt idx="744">
                  <c:v>45201</c:v>
                </c:pt>
                <c:pt idx="745">
                  <c:v>45200</c:v>
                </c:pt>
                <c:pt idx="746">
                  <c:v>45199</c:v>
                </c:pt>
                <c:pt idx="747">
                  <c:v>45198</c:v>
                </c:pt>
                <c:pt idx="748">
                  <c:v>45197</c:v>
                </c:pt>
                <c:pt idx="749">
                  <c:v>45196</c:v>
                </c:pt>
                <c:pt idx="750">
                  <c:v>45195</c:v>
                </c:pt>
                <c:pt idx="751">
                  <c:v>45194</c:v>
                </c:pt>
                <c:pt idx="752">
                  <c:v>45193</c:v>
                </c:pt>
                <c:pt idx="753">
                  <c:v>45192</c:v>
                </c:pt>
                <c:pt idx="754">
                  <c:v>45191</c:v>
                </c:pt>
                <c:pt idx="755">
                  <c:v>45190</c:v>
                </c:pt>
                <c:pt idx="756">
                  <c:v>45189</c:v>
                </c:pt>
                <c:pt idx="757">
                  <c:v>45188</c:v>
                </c:pt>
                <c:pt idx="758">
                  <c:v>45187</c:v>
                </c:pt>
                <c:pt idx="759">
                  <c:v>45186</c:v>
                </c:pt>
                <c:pt idx="760">
                  <c:v>45185</c:v>
                </c:pt>
                <c:pt idx="761">
                  <c:v>45184</c:v>
                </c:pt>
                <c:pt idx="762">
                  <c:v>45183</c:v>
                </c:pt>
                <c:pt idx="763">
                  <c:v>45182</c:v>
                </c:pt>
                <c:pt idx="764">
                  <c:v>45181</c:v>
                </c:pt>
                <c:pt idx="765">
                  <c:v>45180</c:v>
                </c:pt>
                <c:pt idx="766">
                  <c:v>45179</c:v>
                </c:pt>
                <c:pt idx="767">
                  <c:v>45178</c:v>
                </c:pt>
                <c:pt idx="768">
                  <c:v>45177</c:v>
                </c:pt>
                <c:pt idx="769">
                  <c:v>45176</c:v>
                </c:pt>
                <c:pt idx="770">
                  <c:v>45175</c:v>
                </c:pt>
                <c:pt idx="771">
                  <c:v>45174</c:v>
                </c:pt>
                <c:pt idx="772">
                  <c:v>45173</c:v>
                </c:pt>
                <c:pt idx="773">
                  <c:v>45172</c:v>
                </c:pt>
                <c:pt idx="774">
                  <c:v>45171</c:v>
                </c:pt>
                <c:pt idx="775">
                  <c:v>45170</c:v>
                </c:pt>
                <c:pt idx="776">
                  <c:v>45169</c:v>
                </c:pt>
                <c:pt idx="777">
                  <c:v>45168</c:v>
                </c:pt>
                <c:pt idx="778">
                  <c:v>45167</c:v>
                </c:pt>
                <c:pt idx="779">
                  <c:v>45166</c:v>
                </c:pt>
                <c:pt idx="780">
                  <c:v>45165</c:v>
                </c:pt>
                <c:pt idx="781">
                  <c:v>45164</c:v>
                </c:pt>
                <c:pt idx="782">
                  <c:v>45163</c:v>
                </c:pt>
                <c:pt idx="783">
                  <c:v>45162</c:v>
                </c:pt>
                <c:pt idx="784">
                  <c:v>45161</c:v>
                </c:pt>
                <c:pt idx="785">
                  <c:v>45160</c:v>
                </c:pt>
                <c:pt idx="786">
                  <c:v>45159</c:v>
                </c:pt>
                <c:pt idx="787">
                  <c:v>45158</c:v>
                </c:pt>
                <c:pt idx="788">
                  <c:v>45157</c:v>
                </c:pt>
                <c:pt idx="789">
                  <c:v>45156</c:v>
                </c:pt>
                <c:pt idx="790">
                  <c:v>45155</c:v>
                </c:pt>
                <c:pt idx="791">
                  <c:v>45154</c:v>
                </c:pt>
                <c:pt idx="792">
                  <c:v>45153</c:v>
                </c:pt>
                <c:pt idx="793">
                  <c:v>45152</c:v>
                </c:pt>
                <c:pt idx="794">
                  <c:v>45151</c:v>
                </c:pt>
                <c:pt idx="795">
                  <c:v>45150</c:v>
                </c:pt>
                <c:pt idx="796">
                  <c:v>45149</c:v>
                </c:pt>
                <c:pt idx="797">
                  <c:v>45148</c:v>
                </c:pt>
                <c:pt idx="798">
                  <c:v>45147</c:v>
                </c:pt>
                <c:pt idx="799">
                  <c:v>45146</c:v>
                </c:pt>
                <c:pt idx="800">
                  <c:v>45145</c:v>
                </c:pt>
                <c:pt idx="801">
                  <c:v>45144</c:v>
                </c:pt>
                <c:pt idx="802">
                  <c:v>45143</c:v>
                </c:pt>
                <c:pt idx="803">
                  <c:v>45142</c:v>
                </c:pt>
                <c:pt idx="804">
                  <c:v>45141</c:v>
                </c:pt>
                <c:pt idx="805">
                  <c:v>45140</c:v>
                </c:pt>
                <c:pt idx="806">
                  <c:v>45139</c:v>
                </c:pt>
                <c:pt idx="807">
                  <c:v>45138</c:v>
                </c:pt>
                <c:pt idx="808">
                  <c:v>45137</c:v>
                </c:pt>
                <c:pt idx="809">
                  <c:v>45136</c:v>
                </c:pt>
                <c:pt idx="810">
                  <c:v>45135</c:v>
                </c:pt>
                <c:pt idx="811">
                  <c:v>45134</c:v>
                </c:pt>
                <c:pt idx="812">
                  <c:v>45133</c:v>
                </c:pt>
                <c:pt idx="813">
                  <c:v>45132</c:v>
                </c:pt>
                <c:pt idx="814">
                  <c:v>45131</c:v>
                </c:pt>
                <c:pt idx="815">
                  <c:v>45130</c:v>
                </c:pt>
                <c:pt idx="816">
                  <c:v>45129</c:v>
                </c:pt>
                <c:pt idx="817">
                  <c:v>45128</c:v>
                </c:pt>
                <c:pt idx="818">
                  <c:v>45127</c:v>
                </c:pt>
                <c:pt idx="819">
                  <c:v>45126</c:v>
                </c:pt>
                <c:pt idx="820">
                  <c:v>45125</c:v>
                </c:pt>
                <c:pt idx="821">
                  <c:v>45124</c:v>
                </c:pt>
                <c:pt idx="822">
                  <c:v>45123</c:v>
                </c:pt>
                <c:pt idx="823">
                  <c:v>45122</c:v>
                </c:pt>
                <c:pt idx="824">
                  <c:v>45121</c:v>
                </c:pt>
                <c:pt idx="825">
                  <c:v>45120</c:v>
                </c:pt>
                <c:pt idx="826">
                  <c:v>45119</c:v>
                </c:pt>
                <c:pt idx="827">
                  <c:v>45118</c:v>
                </c:pt>
                <c:pt idx="828">
                  <c:v>45117</c:v>
                </c:pt>
                <c:pt idx="829">
                  <c:v>45116</c:v>
                </c:pt>
                <c:pt idx="830">
                  <c:v>45115</c:v>
                </c:pt>
                <c:pt idx="831">
                  <c:v>45114</c:v>
                </c:pt>
                <c:pt idx="832">
                  <c:v>45113</c:v>
                </c:pt>
                <c:pt idx="833">
                  <c:v>45112</c:v>
                </c:pt>
                <c:pt idx="834">
                  <c:v>45111</c:v>
                </c:pt>
                <c:pt idx="835">
                  <c:v>45110</c:v>
                </c:pt>
                <c:pt idx="836">
                  <c:v>45109</c:v>
                </c:pt>
                <c:pt idx="837">
                  <c:v>45108</c:v>
                </c:pt>
                <c:pt idx="838">
                  <c:v>45107</c:v>
                </c:pt>
                <c:pt idx="839">
                  <c:v>45106</c:v>
                </c:pt>
                <c:pt idx="840">
                  <c:v>45105</c:v>
                </c:pt>
                <c:pt idx="841">
                  <c:v>45104</c:v>
                </c:pt>
                <c:pt idx="842">
                  <c:v>45103</c:v>
                </c:pt>
                <c:pt idx="843">
                  <c:v>45102</c:v>
                </c:pt>
                <c:pt idx="844">
                  <c:v>45101</c:v>
                </c:pt>
                <c:pt idx="845">
                  <c:v>45100</c:v>
                </c:pt>
                <c:pt idx="846">
                  <c:v>45099</c:v>
                </c:pt>
                <c:pt idx="847">
                  <c:v>45098</c:v>
                </c:pt>
                <c:pt idx="848">
                  <c:v>45097</c:v>
                </c:pt>
                <c:pt idx="849">
                  <c:v>45096</c:v>
                </c:pt>
                <c:pt idx="850">
                  <c:v>45095</c:v>
                </c:pt>
                <c:pt idx="851">
                  <c:v>45094</c:v>
                </c:pt>
                <c:pt idx="852">
                  <c:v>45093</c:v>
                </c:pt>
                <c:pt idx="853">
                  <c:v>45092</c:v>
                </c:pt>
                <c:pt idx="854">
                  <c:v>45091</c:v>
                </c:pt>
                <c:pt idx="855">
                  <c:v>45090</c:v>
                </c:pt>
                <c:pt idx="856">
                  <c:v>45089</c:v>
                </c:pt>
                <c:pt idx="857">
                  <c:v>45088</c:v>
                </c:pt>
                <c:pt idx="858">
                  <c:v>45087</c:v>
                </c:pt>
                <c:pt idx="859">
                  <c:v>45086</c:v>
                </c:pt>
                <c:pt idx="860">
                  <c:v>45085</c:v>
                </c:pt>
                <c:pt idx="861">
                  <c:v>45084</c:v>
                </c:pt>
                <c:pt idx="862">
                  <c:v>45083</c:v>
                </c:pt>
                <c:pt idx="863">
                  <c:v>45082</c:v>
                </c:pt>
                <c:pt idx="864">
                  <c:v>45081</c:v>
                </c:pt>
                <c:pt idx="865">
                  <c:v>45080</c:v>
                </c:pt>
                <c:pt idx="866">
                  <c:v>45079</c:v>
                </c:pt>
                <c:pt idx="867">
                  <c:v>45078</c:v>
                </c:pt>
                <c:pt idx="868">
                  <c:v>45077</c:v>
                </c:pt>
                <c:pt idx="869">
                  <c:v>45076</c:v>
                </c:pt>
                <c:pt idx="870">
                  <c:v>45075</c:v>
                </c:pt>
                <c:pt idx="871">
                  <c:v>45074</c:v>
                </c:pt>
                <c:pt idx="872">
                  <c:v>45073</c:v>
                </c:pt>
                <c:pt idx="873">
                  <c:v>45072</c:v>
                </c:pt>
                <c:pt idx="874">
                  <c:v>45071</c:v>
                </c:pt>
                <c:pt idx="875">
                  <c:v>45070</c:v>
                </c:pt>
                <c:pt idx="876">
                  <c:v>45069</c:v>
                </c:pt>
                <c:pt idx="877">
                  <c:v>45068</c:v>
                </c:pt>
                <c:pt idx="878">
                  <c:v>45067</c:v>
                </c:pt>
                <c:pt idx="879">
                  <c:v>45066</c:v>
                </c:pt>
                <c:pt idx="880">
                  <c:v>45065</c:v>
                </c:pt>
                <c:pt idx="881">
                  <c:v>45064</c:v>
                </c:pt>
                <c:pt idx="882">
                  <c:v>45063</c:v>
                </c:pt>
                <c:pt idx="883">
                  <c:v>45062</c:v>
                </c:pt>
                <c:pt idx="884">
                  <c:v>45061</c:v>
                </c:pt>
                <c:pt idx="885">
                  <c:v>45060</c:v>
                </c:pt>
                <c:pt idx="886">
                  <c:v>45059</c:v>
                </c:pt>
                <c:pt idx="887">
                  <c:v>45058</c:v>
                </c:pt>
                <c:pt idx="888">
                  <c:v>45057</c:v>
                </c:pt>
                <c:pt idx="889">
                  <c:v>45056</c:v>
                </c:pt>
                <c:pt idx="890">
                  <c:v>45055</c:v>
                </c:pt>
                <c:pt idx="891">
                  <c:v>45054</c:v>
                </c:pt>
                <c:pt idx="892">
                  <c:v>45053</c:v>
                </c:pt>
                <c:pt idx="893">
                  <c:v>45052</c:v>
                </c:pt>
                <c:pt idx="894">
                  <c:v>45051</c:v>
                </c:pt>
                <c:pt idx="895">
                  <c:v>45050</c:v>
                </c:pt>
                <c:pt idx="896">
                  <c:v>45049</c:v>
                </c:pt>
                <c:pt idx="897">
                  <c:v>45048</c:v>
                </c:pt>
                <c:pt idx="898">
                  <c:v>45047</c:v>
                </c:pt>
                <c:pt idx="899">
                  <c:v>45046</c:v>
                </c:pt>
                <c:pt idx="900">
                  <c:v>45045</c:v>
                </c:pt>
                <c:pt idx="901">
                  <c:v>45044</c:v>
                </c:pt>
                <c:pt idx="902">
                  <c:v>45043</c:v>
                </c:pt>
                <c:pt idx="903">
                  <c:v>45042</c:v>
                </c:pt>
                <c:pt idx="904">
                  <c:v>45041</c:v>
                </c:pt>
                <c:pt idx="905">
                  <c:v>45040</c:v>
                </c:pt>
                <c:pt idx="906">
                  <c:v>45039</c:v>
                </c:pt>
                <c:pt idx="907">
                  <c:v>45038</c:v>
                </c:pt>
                <c:pt idx="908">
                  <c:v>45037</c:v>
                </c:pt>
                <c:pt idx="909">
                  <c:v>45036</c:v>
                </c:pt>
                <c:pt idx="910">
                  <c:v>45035</c:v>
                </c:pt>
                <c:pt idx="911">
                  <c:v>45034</c:v>
                </c:pt>
                <c:pt idx="912">
                  <c:v>45033</c:v>
                </c:pt>
                <c:pt idx="913">
                  <c:v>45032</c:v>
                </c:pt>
                <c:pt idx="914">
                  <c:v>45031</c:v>
                </c:pt>
                <c:pt idx="915">
                  <c:v>45030</c:v>
                </c:pt>
                <c:pt idx="916">
                  <c:v>45029</c:v>
                </c:pt>
                <c:pt idx="917">
                  <c:v>45028</c:v>
                </c:pt>
                <c:pt idx="918">
                  <c:v>45027</c:v>
                </c:pt>
                <c:pt idx="919">
                  <c:v>45026</c:v>
                </c:pt>
                <c:pt idx="920">
                  <c:v>45025</c:v>
                </c:pt>
                <c:pt idx="921">
                  <c:v>45024</c:v>
                </c:pt>
                <c:pt idx="922">
                  <c:v>45023</c:v>
                </c:pt>
                <c:pt idx="923">
                  <c:v>45022</c:v>
                </c:pt>
                <c:pt idx="924">
                  <c:v>45021</c:v>
                </c:pt>
                <c:pt idx="925">
                  <c:v>45020</c:v>
                </c:pt>
                <c:pt idx="926">
                  <c:v>45019</c:v>
                </c:pt>
                <c:pt idx="927">
                  <c:v>45018</c:v>
                </c:pt>
                <c:pt idx="928">
                  <c:v>45017</c:v>
                </c:pt>
                <c:pt idx="929">
                  <c:v>45016</c:v>
                </c:pt>
                <c:pt idx="930">
                  <c:v>45015</c:v>
                </c:pt>
                <c:pt idx="931">
                  <c:v>45014</c:v>
                </c:pt>
                <c:pt idx="932">
                  <c:v>45013</c:v>
                </c:pt>
                <c:pt idx="933">
                  <c:v>45012</c:v>
                </c:pt>
                <c:pt idx="934">
                  <c:v>45011</c:v>
                </c:pt>
                <c:pt idx="935">
                  <c:v>45010</c:v>
                </c:pt>
                <c:pt idx="936">
                  <c:v>45009</c:v>
                </c:pt>
                <c:pt idx="937">
                  <c:v>45008</c:v>
                </c:pt>
                <c:pt idx="938">
                  <c:v>45007</c:v>
                </c:pt>
                <c:pt idx="939">
                  <c:v>45006</c:v>
                </c:pt>
                <c:pt idx="940">
                  <c:v>45005</c:v>
                </c:pt>
                <c:pt idx="941">
                  <c:v>45004</c:v>
                </c:pt>
                <c:pt idx="942">
                  <c:v>45003</c:v>
                </c:pt>
                <c:pt idx="943">
                  <c:v>45002</c:v>
                </c:pt>
                <c:pt idx="944">
                  <c:v>45001</c:v>
                </c:pt>
                <c:pt idx="945">
                  <c:v>45000</c:v>
                </c:pt>
                <c:pt idx="946">
                  <c:v>44999</c:v>
                </c:pt>
                <c:pt idx="947">
                  <c:v>44998</c:v>
                </c:pt>
                <c:pt idx="948">
                  <c:v>44997</c:v>
                </c:pt>
                <c:pt idx="949">
                  <c:v>44996</c:v>
                </c:pt>
                <c:pt idx="950">
                  <c:v>44995</c:v>
                </c:pt>
                <c:pt idx="951">
                  <c:v>44994</c:v>
                </c:pt>
                <c:pt idx="952">
                  <c:v>44993</c:v>
                </c:pt>
                <c:pt idx="953">
                  <c:v>44992</c:v>
                </c:pt>
                <c:pt idx="954">
                  <c:v>44991</c:v>
                </c:pt>
                <c:pt idx="955">
                  <c:v>44990</c:v>
                </c:pt>
                <c:pt idx="956">
                  <c:v>44989</c:v>
                </c:pt>
                <c:pt idx="957">
                  <c:v>44988</c:v>
                </c:pt>
                <c:pt idx="958">
                  <c:v>44987</c:v>
                </c:pt>
                <c:pt idx="959">
                  <c:v>44986</c:v>
                </c:pt>
                <c:pt idx="960">
                  <c:v>44985</c:v>
                </c:pt>
                <c:pt idx="961">
                  <c:v>44984</c:v>
                </c:pt>
                <c:pt idx="962">
                  <c:v>44983</c:v>
                </c:pt>
                <c:pt idx="963">
                  <c:v>44982</c:v>
                </c:pt>
                <c:pt idx="964">
                  <c:v>44981</c:v>
                </c:pt>
                <c:pt idx="965">
                  <c:v>44980</c:v>
                </c:pt>
                <c:pt idx="966">
                  <c:v>44979</c:v>
                </c:pt>
                <c:pt idx="967">
                  <c:v>44978</c:v>
                </c:pt>
                <c:pt idx="968">
                  <c:v>44977</c:v>
                </c:pt>
                <c:pt idx="969">
                  <c:v>44976</c:v>
                </c:pt>
                <c:pt idx="970">
                  <c:v>44975</c:v>
                </c:pt>
                <c:pt idx="971">
                  <c:v>44974</c:v>
                </c:pt>
                <c:pt idx="972">
                  <c:v>44973</c:v>
                </c:pt>
                <c:pt idx="973">
                  <c:v>44972</c:v>
                </c:pt>
                <c:pt idx="974">
                  <c:v>44971</c:v>
                </c:pt>
                <c:pt idx="975">
                  <c:v>44970</c:v>
                </c:pt>
                <c:pt idx="976">
                  <c:v>44969</c:v>
                </c:pt>
                <c:pt idx="977">
                  <c:v>44968</c:v>
                </c:pt>
                <c:pt idx="978">
                  <c:v>44967</c:v>
                </c:pt>
                <c:pt idx="979">
                  <c:v>44966</c:v>
                </c:pt>
                <c:pt idx="980">
                  <c:v>44965</c:v>
                </c:pt>
                <c:pt idx="981">
                  <c:v>44964</c:v>
                </c:pt>
                <c:pt idx="982">
                  <c:v>44963</c:v>
                </c:pt>
                <c:pt idx="983">
                  <c:v>44962</c:v>
                </c:pt>
                <c:pt idx="984">
                  <c:v>44961</c:v>
                </c:pt>
                <c:pt idx="985">
                  <c:v>44960</c:v>
                </c:pt>
                <c:pt idx="986">
                  <c:v>44959</c:v>
                </c:pt>
                <c:pt idx="987">
                  <c:v>44958</c:v>
                </c:pt>
                <c:pt idx="988">
                  <c:v>44957</c:v>
                </c:pt>
                <c:pt idx="989">
                  <c:v>44956</c:v>
                </c:pt>
                <c:pt idx="990">
                  <c:v>44955</c:v>
                </c:pt>
                <c:pt idx="991">
                  <c:v>44954</c:v>
                </c:pt>
                <c:pt idx="992">
                  <c:v>44953</c:v>
                </c:pt>
                <c:pt idx="993">
                  <c:v>44952</c:v>
                </c:pt>
                <c:pt idx="994">
                  <c:v>44951</c:v>
                </c:pt>
                <c:pt idx="995">
                  <c:v>44950</c:v>
                </c:pt>
                <c:pt idx="996">
                  <c:v>44949</c:v>
                </c:pt>
                <c:pt idx="997">
                  <c:v>44948</c:v>
                </c:pt>
                <c:pt idx="998">
                  <c:v>44947</c:v>
                </c:pt>
                <c:pt idx="999">
                  <c:v>44946</c:v>
                </c:pt>
                <c:pt idx="1000">
                  <c:v>44945</c:v>
                </c:pt>
                <c:pt idx="1001">
                  <c:v>44944</c:v>
                </c:pt>
                <c:pt idx="1002">
                  <c:v>44943</c:v>
                </c:pt>
                <c:pt idx="1003">
                  <c:v>44942</c:v>
                </c:pt>
                <c:pt idx="1004">
                  <c:v>44941</c:v>
                </c:pt>
                <c:pt idx="1005">
                  <c:v>44940</c:v>
                </c:pt>
                <c:pt idx="1006">
                  <c:v>44939</c:v>
                </c:pt>
                <c:pt idx="1007">
                  <c:v>44938</c:v>
                </c:pt>
                <c:pt idx="1008">
                  <c:v>44937</c:v>
                </c:pt>
                <c:pt idx="1009">
                  <c:v>44936</c:v>
                </c:pt>
                <c:pt idx="1010">
                  <c:v>44935</c:v>
                </c:pt>
                <c:pt idx="1011">
                  <c:v>44934</c:v>
                </c:pt>
                <c:pt idx="1012">
                  <c:v>44933</c:v>
                </c:pt>
                <c:pt idx="1013">
                  <c:v>44932</c:v>
                </c:pt>
                <c:pt idx="1014">
                  <c:v>44931</c:v>
                </c:pt>
                <c:pt idx="1015">
                  <c:v>44930</c:v>
                </c:pt>
                <c:pt idx="1016">
                  <c:v>44929</c:v>
                </c:pt>
                <c:pt idx="1017">
                  <c:v>44928</c:v>
                </c:pt>
                <c:pt idx="1018">
                  <c:v>44927</c:v>
                </c:pt>
                <c:pt idx="1019">
                  <c:v>44926</c:v>
                </c:pt>
                <c:pt idx="1020">
                  <c:v>44925</c:v>
                </c:pt>
                <c:pt idx="1021">
                  <c:v>44924</c:v>
                </c:pt>
                <c:pt idx="1022">
                  <c:v>44923</c:v>
                </c:pt>
                <c:pt idx="1023">
                  <c:v>44922</c:v>
                </c:pt>
                <c:pt idx="1024">
                  <c:v>44921</c:v>
                </c:pt>
                <c:pt idx="1025">
                  <c:v>44920</c:v>
                </c:pt>
                <c:pt idx="1026">
                  <c:v>44919</c:v>
                </c:pt>
                <c:pt idx="1027">
                  <c:v>44918</c:v>
                </c:pt>
                <c:pt idx="1028">
                  <c:v>44917</c:v>
                </c:pt>
                <c:pt idx="1029">
                  <c:v>44916</c:v>
                </c:pt>
                <c:pt idx="1030">
                  <c:v>44915</c:v>
                </c:pt>
                <c:pt idx="1031">
                  <c:v>44914</c:v>
                </c:pt>
                <c:pt idx="1032">
                  <c:v>44913</c:v>
                </c:pt>
                <c:pt idx="1033">
                  <c:v>44912</c:v>
                </c:pt>
                <c:pt idx="1034">
                  <c:v>44911</c:v>
                </c:pt>
                <c:pt idx="1035">
                  <c:v>44910</c:v>
                </c:pt>
                <c:pt idx="1036">
                  <c:v>44909</c:v>
                </c:pt>
                <c:pt idx="1037">
                  <c:v>44908</c:v>
                </c:pt>
                <c:pt idx="1038">
                  <c:v>44907</c:v>
                </c:pt>
                <c:pt idx="1039">
                  <c:v>44906</c:v>
                </c:pt>
                <c:pt idx="1040">
                  <c:v>44905</c:v>
                </c:pt>
                <c:pt idx="1041">
                  <c:v>44904</c:v>
                </c:pt>
                <c:pt idx="1042">
                  <c:v>44903</c:v>
                </c:pt>
                <c:pt idx="1043">
                  <c:v>44902</c:v>
                </c:pt>
                <c:pt idx="1044">
                  <c:v>44901</c:v>
                </c:pt>
              </c:numCache>
            </c:numRef>
          </c:cat>
          <c:val>
            <c:numRef>
              <c:f>'Stock Data'!$AO$4:$AO$1048</c:f>
              <c:numCache>
                <c:formatCode>#,##0.00_);\(#,##0.00\)</c:formatCode>
                <c:ptCount val="1045"/>
                <c:pt idx="0">
                  <c:v>91440</c:v>
                </c:pt>
                <c:pt idx="1">
                  <c:v>976334</c:v>
                </c:pt>
                <c:pt idx="2">
                  <c:v>976334</c:v>
                </c:pt>
                <c:pt idx="3">
                  <c:v>976334</c:v>
                </c:pt>
                <c:pt idx="4">
                  <c:v>1009152</c:v>
                </c:pt>
                <c:pt idx="5">
                  <c:v>945301</c:v>
                </c:pt>
                <c:pt idx="6">
                  <c:v>868992</c:v>
                </c:pt>
                <c:pt idx="7">
                  <c:v>938886</c:v>
                </c:pt>
                <c:pt idx="8">
                  <c:v>938886</c:v>
                </c:pt>
                <c:pt idx="9">
                  <c:v>938886</c:v>
                </c:pt>
                <c:pt idx="10">
                  <c:v>938886</c:v>
                </c:pt>
                <c:pt idx="11">
                  <c:v>835432</c:v>
                </c:pt>
                <c:pt idx="12">
                  <c:v>1097146</c:v>
                </c:pt>
                <c:pt idx="13">
                  <c:v>1873671</c:v>
                </c:pt>
                <c:pt idx="14">
                  <c:v>833020</c:v>
                </c:pt>
                <c:pt idx="15">
                  <c:v>816398</c:v>
                </c:pt>
                <c:pt idx="16">
                  <c:v>816398</c:v>
                </c:pt>
                <c:pt idx="17">
                  <c:v>816398</c:v>
                </c:pt>
                <c:pt idx="18">
                  <c:v>647302</c:v>
                </c:pt>
                <c:pt idx="19">
                  <c:v>529751</c:v>
                </c:pt>
                <c:pt idx="20">
                  <c:v>503084</c:v>
                </c:pt>
                <c:pt idx="21">
                  <c:v>472356</c:v>
                </c:pt>
                <c:pt idx="22">
                  <c:v>519447</c:v>
                </c:pt>
                <c:pt idx="23">
                  <c:v>519447</c:v>
                </c:pt>
                <c:pt idx="24">
                  <c:v>519447</c:v>
                </c:pt>
                <c:pt idx="25">
                  <c:v>606252</c:v>
                </c:pt>
                <c:pt idx="26">
                  <c:v>830001</c:v>
                </c:pt>
                <c:pt idx="27">
                  <c:v>635594</c:v>
                </c:pt>
                <c:pt idx="28">
                  <c:v>931636</c:v>
                </c:pt>
                <c:pt idx="29">
                  <c:v>611593</c:v>
                </c:pt>
                <c:pt idx="30">
                  <c:v>611593</c:v>
                </c:pt>
                <c:pt idx="31">
                  <c:v>611593</c:v>
                </c:pt>
                <c:pt idx="32">
                  <c:v>680195</c:v>
                </c:pt>
                <c:pt idx="33">
                  <c:v>1070271</c:v>
                </c:pt>
                <c:pt idx="34">
                  <c:v>1696115</c:v>
                </c:pt>
                <c:pt idx="35">
                  <c:v>1015913</c:v>
                </c:pt>
                <c:pt idx="36">
                  <c:v>1067338</c:v>
                </c:pt>
                <c:pt idx="37">
                  <c:v>1067338</c:v>
                </c:pt>
                <c:pt idx="38">
                  <c:v>1067338</c:v>
                </c:pt>
                <c:pt idx="39">
                  <c:v>799608</c:v>
                </c:pt>
                <c:pt idx="40">
                  <c:v>974021</c:v>
                </c:pt>
                <c:pt idx="41">
                  <c:v>525186</c:v>
                </c:pt>
                <c:pt idx="42">
                  <c:v>544490</c:v>
                </c:pt>
                <c:pt idx="43">
                  <c:v>663821</c:v>
                </c:pt>
                <c:pt idx="44">
                  <c:v>663821</c:v>
                </c:pt>
                <c:pt idx="45">
                  <c:v>663821</c:v>
                </c:pt>
                <c:pt idx="46">
                  <c:v>547132</c:v>
                </c:pt>
                <c:pt idx="47">
                  <c:v>734253</c:v>
                </c:pt>
                <c:pt idx="48">
                  <c:v>816389</c:v>
                </c:pt>
                <c:pt idx="49">
                  <c:v>868098</c:v>
                </c:pt>
                <c:pt idx="50">
                  <c:v>3147122</c:v>
                </c:pt>
                <c:pt idx="51">
                  <c:v>3147122</c:v>
                </c:pt>
                <c:pt idx="52">
                  <c:v>3147122</c:v>
                </c:pt>
                <c:pt idx="53">
                  <c:v>885071</c:v>
                </c:pt>
                <c:pt idx="54">
                  <c:v>886919</c:v>
                </c:pt>
                <c:pt idx="55">
                  <c:v>847809</c:v>
                </c:pt>
                <c:pt idx="56">
                  <c:v>864048</c:v>
                </c:pt>
                <c:pt idx="57">
                  <c:v>543353</c:v>
                </c:pt>
                <c:pt idx="58">
                  <c:v>543353</c:v>
                </c:pt>
                <c:pt idx="59">
                  <c:v>543353</c:v>
                </c:pt>
                <c:pt idx="60">
                  <c:v>573552</c:v>
                </c:pt>
                <c:pt idx="61">
                  <c:v>529865</c:v>
                </c:pt>
                <c:pt idx="62">
                  <c:v>853808</c:v>
                </c:pt>
                <c:pt idx="63">
                  <c:v>625077</c:v>
                </c:pt>
                <c:pt idx="64">
                  <c:v>441531</c:v>
                </c:pt>
                <c:pt idx="65">
                  <c:v>441531</c:v>
                </c:pt>
                <c:pt idx="66">
                  <c:v>441531</c:v>
                </c:pt>
                <c:pt idx="67">
                  <c:v>441531</c:v>
                </c:pt>
                <c:pt idx="68">
                  <c:v>793873</c:v>
                </c:pt>
                <c:pt idx="69">
                  <c:v>659956</c:v>
                </c:pt>
                <c:pt idx="70">
                  <c:v>807045</c:v>
                </c:pt>
                <c:pt idx="71">
                  <c:v>1045542</c:v>
                </c:pt>
                <c:pt idx="72">
                  <c:v>1045542</c:v>
                </c:pt>
                <c:pt idx="73">
                  <c:v>1045542</c:v>
                </c:pt>
                <c:pt idx="74">
                  <c:v>410391</c:v>
                </c:pt>
                <c:pt idx="75">
                  <c:v>852013</c:v>
                </c:pt>
                <c:pt idx="76">
                  <c:v>852791</c:v>
                </c:pt>
                <c:pt idx="77">
                  <c:v>1031061</c:v>
                </c:pt>
                <c:pt idx="78">
                  <c:v>4759509</c:v>
                </c:pt>
                <c:pt idx="79">
                  <c:v>4759509</c:v>
                </c:pt>
                <c:pt idx="80">
                  <c:v>4759509</c:v>
                </c:pt>
                <c:pt idx="81">
                  <c:v>1760803</c:v>
                </c:pt>
                <c:pt idx="82">
                  <c:v>1760803</c:v>
                </c:pt>
                <c:pt idx="83">
                  <c:v>1246411</c:v>
                </c:pt>
                <c:pt idx="84">
                  <c:v>882621</c:v>
                </c:pt>
                <c:pt idx="85">
                  <c:v>574961</c:v>
                </c:pt>
                <c:pt idx="86">
                  <c:v>574961</c:v>
                </c:pt>
                <c:pt idx="87">
                  <c:v>574961</c:v>
                </c:pt>
                <c:pt idx="88">
                  <c:v>480957</c:v>
                </c:pt>
                <c:pt idx="89">
                  <c:v>636919</c:v>
                </c:pt>
                <c:pt idx="90">
                  <c:v>678163</c:v>
                </c:pt>
                <c:pt idx="91">
                  <c:v>565297</c:v>
                </c:pt>
                <c:pt idx="92">
                  <c:v>505886</c:v>
                </c:pt>
                <c:pt idx="93">
                  <c:v>505886</c:v>
                </c:pt>
                <c:pt idx="94">
                  <c:v>505886</c:v>
                </c:pt>
                <c:pt idx="95">
                  <c:v>578872</c:v>
                </c:pt>
                <c:pt idx="96">
                  <c:v>827570</c:v>
                </c:pt>
                <c:pt idx="97">
                  <c:v>837925</c:v>
                </c:pt>
                <c:pt idx="98">
                  <c:v>940238</c:v>
                </c:pt>
                <c:pt idx="99">
                  <c:v>2196955</c:v>
                </c:pt>
                <c:pt idx="100">
                  <c:v>2196955</c:v>
                </c:pt>
                <c:pt idx="101">
                  <c:v>2196955</c:v>
                </c:pt>
                <c:pt idx="102">
                  <c:v>879678</c:v>
                </c:pt>
                <c:pt idx="103">
                  <c:v>742914</c:v>
                </c:pt>
                <c:pt idx="104">
                  <c:v>689076</c:v>
                </c:pt>
                <c:pt idx="105">
                  <c:v>537047</c:v>
                </c:pt>
                <c:pt idx="106">
                  <c:v>537047</c:v>
                </c:pt>
                <c:pt idx="107">
                  <c:v>537047</c:v>
                </c:pt>
                <c:pt idx="108">
                  <c:v>537047</c:v>
                </c:pt>
                <c:pt idx="109">
                  <c:v>630517</c:v>
                </c:pt>
                <c:pt idx="110">
                  <c:v>648012</c:v>
                </c:pt>
                <c:pt idx="111">
                  <c:v>808013</c:v>
                </c:pt>
                <c:pt idx="112">
                  <c:v>661841</c:v>
                </c:pt>
                <c:pt idx="113">
                  <c:v>713329</c:v>
                </c:pt>
                <c:pt idx="114">
                  <c:v>713329</c:v>
                </c:pt>
                <c:pt idx="115">
                  <c:v>713329</c:v>
                </c:pt>
                <c:pt idx="116">
                  <c:v>911394</c:v>
                </c:pt>
                <c:pt idx="117">
                  <c:v>854684</c:v>
                </c:pt>
                <c:pt idx="118">
                  <c:v>749548</c:v>
                </c:pt>
                <c:pt idx="119">
                  <c:v>743904</c:v>
                </c:pt>
                <c:pt idx="120">
                  <c:v>559752</c:v>
                </c:pt>
                <c:pt idx="121">
                  <c:v>559752</c:v>
                </c:pt>
                <c:pt idx="122">
                  <c:v>559752</c:v>
                </c:pt>
                <c:pt idx="123">
                  <c:v>855123</c:v>
                </c:pt>
                <c:pt idx="124">
                  <c:v>1255738</c:v>
                </c:pt>
                <c:pt idx="125">
                  <c:v>1148145</c:v>
                </c:pt>
                <c:pt idx="126">
                  <c:v>706732</c:v>
                </c:pt>
                <c:pt idx="127">
                  <c:v>1324823</c:v>
                </c:pt>
                <c:pt idx="128">
                  <c:v>1324823</c:v>
                </c:pt>
                <c:pt idx="129">
                  <c:v>1324823</c:v>
                </c:pt>
                <c:pt idx="130">
                  <c:v>915808</c:v>
                </c:pt>
                <c:pt idx="131">
                  <c:v>904532</c:v>
                </c:pt>
                <c:pt idx="132">
                  <c:v>594633</c:v>
                </c:pt>
                <c:pt idx="133">
                  <c:v>610347</c:v>
                </c:pt>
                <c:pt idx="134">
                  <c:v>548703</c:v>
                </c:pt>
                <c:pt idx="135">
                  <c:v>548703</c:v>
                </c:pt>
                <c:pt idx="136">
                  <c:v>548703</c:v>
                </c:pt>
                <c:pt idx="137">
                  <c:v>575167</c:v>
                </c:pt>
                <c:pt idx="138">
                  <c:v>724249</c:v>
                </c:pt>
                <c:pt idx="139">
                  <c:v>911405</c:v>
                </c:pt>
                <c:pt idx="140">
                  <c:v>856180</c:v>
                </c:pt>
                <c:pt idx="141">
                  <c:v>3243997</c:v>
                </c:pt>
                <c:pt idx="142">
                  <c:v>3243997</c:v>
                </c:pt>
                <c:pt idx="143">
                  <c:v>3243997</c:v>
                </c:pt>
                <c:pt idx="144">
                  <c:v>3243997</c:v>
                </c:pt>
                <c:pt idx="145">
                  <c:v>942774</c:v>
                </c:pt>
                <c:pt idx="146">
                  <c:v>615694</c:v>
                </c:pt>
                <c:pt idx="147">
                  <c:v>806030</c:v>
                </c:pt>
                <c:pt idx="148">
                  <c:v>1169719</c:v>
                </c:pt>
                <c:pt idx="149">
                  <c:v>1169719</c:v>
                </c:pt>
                <c:pt idx="150">
                  <c:v>1169719</c:v>
                </c:pt>
                <c:pt idx="151">
                  <c:v>1237267</c:v>
                </c:pt>
                <c:pt idx="152">
                  <c:v>2047134</c:v>
                </c:pt>
                <c:pt idx="153">
                  <c:v>1373094</c:v>
                </c:pt>
                <c:pt idx="154">
                  <c:v>1715423</c:v>
                </c:pt>
                <c:pt idx="155">
                  <c:v>1656552</c:v>
                </c:pt>
                <c:pt idx="156">
                  <c:v>1656552</c:v>
                </c:pt>
                <c:pt idx="157">
                  <c:v>1656552</c:v>
                </c:pt>
                <c:pt idx="158">
                  <c:v>2013576</c:v>
                </c:pt>
                <c:pt idx="159">
                  <c:v>992024</c:v>
                </c:pt>
                <c:pt idx="160">
                  <c:v>858663</c:v>
                </c:pt>
                <c:pt idx="161">
                  <c:v>983692</c:v>
                </c:pt>
                <c:pt idx="162">
                  <c:v>705371</c:v>
                </c:pt>
                <c:pt idx="163">
                  <c:v>705371</c:v>
                </c:pt>
                <c:pt idx="164">
                  <c:v>705371</c:v>
                </c:pt>
                <c:pt idx="165">
                  <c:v>717962</c:v>
                </c:pt>
                <c:pt idx="166">
                  <c:v>613633</c:v>
                </c:pt>
                <c:pt idx="167">
                  <c:v>1163077</c:v>
                </c:pt>
                <c:pt idx="168">
                  <c:v>1268366</c:v>
                </c:pt>
                <c:pt idx="169">
                  <c:v>2551137</c:v>
                </c:pt>
                <c:pt idx="170">
                  <c:v>2551137</c:v>
                </c:pt>
                <c:pt idx="171">
                  <c:v>2551137</c:v>
                </c:pt>
                <c:pt idx="172">
                  <c:v>678232</c:v>
                </c:pt>
                <c:pt idx="173">
                  <c:v>872677</c:v>
                </c:pt>
                <c:pt idx="174">
                  <c:v>768956</c:v>
                </c:pt>
                <c:pt idx="175">
                  <c:v>1132771</c:v>
                </c:pt>
                <c:pt idx="176">
                  <c:v>1226779</c:v>
                </c:pt>
                <c:pt idx="177">
                  <c:v>1226779</c:v>
                </c:pt>
                <c:pt idx="178">
                  <c:v>1226779</c:v>
                </c:pt>
                <c:pt idx="179">
                  <c:v>561230</c:v>
                </c:pt>
                <c:pt idx="180">
                  <c:v>732300</c:v>
                </c:pt>
                <c:pt idx="181">
                  <c:v>1279679</c:v>
                </c:pt>
                <c:pt idx="182">
                  <c:v>1022522</c:v>
                </c:pt>
                <c:pt idx="183">
                  <c:v>965742</c:v>
                </c:pt>
                <c:pt idx="184">
                  <c:v>965742</c:v>
                </c:pt>
                <c:pt idx="185">
                  <c:v>965742</c:v>
                </c:pt>
                <c:pt idx="186">
                  <c:v>1061979</c:v>
                </c:pt>
                <c:pt idx="187">
                  <c:v>931211</c:v>
                </c:pt>
                <c:pt idx="188">
                  <c:v>1250512</c:v>
                </c:pt>
                <c:pt idx="189">
                  <c:v>1022931</c:v>
                </c:pt>
                <c:pt idx="190">
                  <c:v>1907958</c:v>
                </c:pt>
                <c:pt idx="191">
                  <c:v>1907958</c:v>
                </c:pt>
                <c:pt idx="192">
                  <c:v>1907958</c:v>
                </c:pt>
                <c:pt idx="193">
                  <c:v>927885</c:v>
                </c:pt>
                <c:pt idx="194">
                  <c:v>943948</c:v>
                </c:pt>
                <c:pt idx="195">
                  <c:v>1280372</c:v>
                </c:pt>
                <c:pt idx="196">
                  <c:v>2504566</c:v>
                </c:pt>
                <c:pt idx="197">
                  <c:v>1037627</c:v>
                </c:pt>
                <c:pt idx="198">
                  <c:v>1037627</c:v>
                </c:pt>
                <c:pt idx="199">
                  <c:v>1037627</c:v>
                </c:pt>
                <c:pt idx="200">
                  <c:v>595748</c:v>
                </c:pt>
                <c:pt idx="201">
                  <c:v>726778</c:v>
                </c:pt>
                <c:pt idx="202">
                  <c:v>1372889</c:v>
                </c:pt>
                <c:pt idx="203">
                  <c:v>1247128</c:v>
                </c:pt>
                <c:pt idx="204">
                  <c:v>1247128</c:v>
                </c:pt>
                <c:pt idx="205">
                  <c:v>1247128</c:v>
                </c:pt>
                <c:pt idx="206">
                  <c:v>1247128</c:v>
                </c:pt>
                <c:pt idx="207">
                  <c:v>872383</c:v>
                </c:pt>
                <c:pt idx="208">
                  <c:v>940503</c:v>
                </c:pt>
                <c:pt idx="209">
                  <c:v>683057</c:v>
                </c:pt>
                <c:pt idx="210">
                  <c:v>659940</c:v>
                </c:pt>
                <c:pt idx="211">
                  <c:v>796067</c:v>
                </c:pt>
                <c:pt idx="212">
                  <c:v>796067</c:v>
                </c:pt>
                <c:pt idx="213">
                  <c:v>796067</c:v>
                </c:pt>
                <c:pt idx="214">
                  <c:v>1059741</c:v>
                </c:pt>
                <c:pt idx="215">
                  <c:v>1204051</c:v>
                </c:pt>
                <c:pt idx="216">
                  <c:v>1324199</c:v>
                </c:pt>
                <c:pt idx="217">
                  <c:v>1053452</c:v>
                </c:pt>
                <c:pt idx="218">
                  <c:v>1368248</c:v>
                </c:pt>
                <c:pt idx="219">
                  <c:v>1368248</c:v>
                </c:pt>
                <c:pt idx="220">
                  <c:v>1368248</c:v>
                </c:pt>
                <c:pt idx="221">
                  <c:v>854255</c:v>
                </c:pt>
                <c:pt idx="222">
                  <c:v>795360</c:v>
                </c:pt>
                <c:pt idx="223">
                  <c:v>883743</c:v>
                </c:pt>
                <c:pt idx="224">
                  <c:v>844510</c:v>
                </c:pt>
                <c:pt idx="225">
                  <c:v>751573</c:v>
                </c:pt>
                <c:pt idx="226">
                  <c:v>751573</c:v>
                </c:pt>
                <c:pt idx="227">
                  <c:v>751573</c:v>
                </c:pt>
                <c:pt idx="228">
                  <c:v>773291</c:v>
                </c:pt>
                <c:pt idx="229">
                  <c:v>645334</c:v>
                </c:pt>
                <c:pt idx="230">
                  <c:v>831373</c:v>
                </c:pt>
                <c:pt idx="231">
                  <c:v>3398417</c:v>
                </c:pt>
                <c:pt idx="232">
                  <c:v>3398417</c:v>
                </c:pt>
                <c:pt idx="233">
                  <c:v>3398417</c:v>
                </c:pt>
                <c:pt idx="234">
                  <c:v>3398417</c:v>
                </c:pt>
                <c:pt idx="235">
                  <c:v>1122262</c:v>
                </c:pt>
                <c:pt idx="236">
                  <c:v>924630</c:v>
                </c:pt>
                <c:pt idx="237">
                  <c:v>988005</c:v>
                </c:pt>
                <c:pt idx="238">
                  <c:v>1233855</c:v>
                </c:pt>
                <c:pt idx="239">
                  <c:v>1198157</c:v>
                </c:pt>
                <c:pt idx="240">
                  <c:v>1198157</c:v>
                </c:pt>
                <c:pt idx="241">
                  <c:v>1198157</c:v>
                </c:pt>
                <c:pt idx="242">
                  <c:v>968168</c:v>
                </c:pt>
                <c:pt idx="243">
                  <c:v>968168</c:v>
                </c:pt>
                <c:pt idx="244">
                  <c:v>585609</c:v>
                </c:pt>
                <c:pt idx="245">
                  <c:v>590707</c:v>
                </c:pt>
                <c:pt idx="246">
                  <c:v>419576</c:v>
                </c:pt>
                <c:pt idx="247">
                  <c:v>419576</c:v>
                </c:pt>
                <c:pt idx="248">
                  <c:v>419576</c:v>
                </c:pt>
                <c:pt idx="249">
                  <c:v>687810</c:v>
                </c:pt>
                <c:pt idx="250">
                  <c:v>384930</c:v>
                </c:pt>
                <c:pt idx="251">
                  <c:v>384930</c:v>
                </c:pt>
                <c:pt idx="252">
                  <c:v>444208</c:v>
                </c:pt>
                <c:pt idx="253">
                  <c:v>240753</c:v>
                </c:pt>
                <c:pt idx="254">
                  <c:v>240753</c:v>
                </c:pt>
                <c:pt idx="255">
                  <c:v>240753</c:v>
                </c:pt>
                <c:pt idx="256">
                  <c:v>303256</c:v>
                </c:pt>
                <c:pt idx="257">
                  <c:v>136439</c:v>
                </c:pt>
                <c:pt idx="258">
                  <c:v>136439</c:v>
                </c:pt>
                <c:pt idx="259">
                  <c:v>476594</c:v>
                </c:pt>
                <c:pt idx="260">
                  <c:v>2456709</c:v>
                </c:pt>
                <c:pt idx="261">
                  <c:v>2456709</c:v>
                </c:pt>
                <c:pt idx="262">
                  <c:v>2456709</c:v>
                </c:pt>
                <c:pt idx="263">
                  <c:v>703359</c:v>
                </c:pt>
                <c:pt idx="264">
                  <c:v>809416</c:v>
                </c:pt>
                <c:pt idx="265">
                  <c:v>851134</c:v>
                </c:pt>
                <c:pt idx="266">
                  <c:v>963701</c:v>
                </c:pt>
                <c:pt idx="267">
                  <c:v>782959</c:v>
                </c:pt>
                <c:pt idx="268">
                  <c:v>782959</c:v>
                </c:pt>
                <c:pt idx="269">
                  <c:v>782959</c:v>
                </c:pt>
                <c:pt idx="270">
                  <c:v>630645</c:v>
                </c:pt>
                <c:pt idx="271">
                  <c:v>731273</c:v>
                </c:pt>
                <c:pt idx="272">
                  <c:v>664624</c:v>
                </c:pt>
                <c:pt idx="273">
                  <c:v>607194</c:v>
                </c:pt>
                <c:pt idx="274">
                  <c:v>397614</c:v>
                </c:pt>
                <c:pt idx="275">
                  <c:v>397614</c:v>
                </c:pt>
                <c:pt idx="276">
                  <c:v>397614</c:v>
                </c:pt>
                <c:pt idx="277">
                  <c:v>650746</c:v>
                </c:pt>
                <c:pt idx="278">
                  <c:v>659958</c:v>
                </c:pt>
                <c:pt idx="279">
                  <c:v>1017929</c:v>
                </c:pt>
                <c:pt idx="280">
                  <c:v>884208</c:v>
                </c:pt>
                <c:pt idx="281">
                  <c:v>422323</c:v>
                </c:pt>
                <c:pt idx="282">
                  <c:v>422323</c:v>
                </c:pt>
                <c:pt idx="283">
                  <c:v>422323</c:v>
                </c:pt>
                <c:pt idx="284">
                  <c:v>1268474</c:v>
                </c:pt>
                <c:pt idx="285">
                  <c:v>1268474</c:v>
                </c:pt>
                <c:pt idx="286">
                  <c:v>716220</c:v>
                </c:pt>
                <c:pt idx="287">
                  <c:v>1395095</c:v>
                </c:pt>
                <c:pt idx="288">
                  <c:v>1580385</c:v>
                </c:pt>
                <c:pt idx="289">
                  <c:v>1580385</c:v>
                </c:pt>
                <c:pt idx="290">
                  <c:v>1580385</c:v>
                </c:pt>
                <c:pt idx="291">
                  <c:v>1159616</c:v>
                </c:pt>
                <c:pt idx="292">
                  <c:v>717619</c:v>
                </c:pt>
                <c:pt idx="293">
                  <c:v>1233748</c:v>
                </c:pt>
                <c:pt idx="294">
                  <c:v>1688419</c:v>
                </c:pt>
                <c:pt idx="295">
                  <c:v>1009101</c:v>
                </c:pt>
                <c:pt idx="296">
                  <c:v>1009101</c:v>
                </c:pt>
                <c:pt idx="297">
                  <c:v>1009101</c:v>
                </c:pt>
                <c:pt idx="298">
                  <c:v>1817297</c:v>
                </c:pt>
                <c:pt idx="299">
                  <c:v>1050378</c:v>
                </c:pt>
                <c:pt idx="300">
                  <c:v>644709</c:v>
                </c:pt>
                <c:pt idx="301">
                  <c:v>866435</c:v>
                </c:pt>
                <c:pt idx="302">
                  <c:v>1232064</c:v>
                </c:pt>
                <c:pt idx="303">
                  <c:v>1232064</c:v>
                </c:pt>
                <c:pt idx="304">
                  <c:v>1232064</c:v>
                </c:pt>
                <c:pt idx="305">
                  <c:v>1241907</c:v>
                </c:pt>
                <c:pt idx="306">
                  <c:v>1100916</c:v>
                </c:pt>
                <c:pt idx="307">
                  <c:v>500384</c:v>
                </c:pt>
                <c:pt idx="308">
                  <c:v>575390</c:v>
                </c:pt>
                <c:pt idx="309">
                  <c:v>729546</c:v>
                </c:pt>
                <c:pt idx="310">
                  <c:v>729546</c:v>
                </c:pt>
                <c:pt idx="311">
                  <c:v>729546</c:v>
                </c:pt>
                <c:pt idx="312">
                  <c:v>769318</c:v>
                </c:pt>
                <c:pt idx="313">
                  <c:v>608874</c:v>
                </c:pt>
                <c:pt idx="314">
                  <c:v>1149821</c:v>
                </c:pt>
                <c:pt idx="315">
                  <c:v>451676</c:v>
                </c:pt>
                <c:pt idx="316">
                  <c:v>346417</c:v>
                </c:pt>
                <c:pt idx="317">
                  <c:v>346417</c:v>
                </c:pt>
                <c:pt idx="318">
                  <c:v>346417</c:v>
                </c:pt>
                <c:pt idx="319">
                  <c:v>446143</c:v>
                </c:pt>
                <c:pt idx="320">
                  <c:v>398092</c:v>
                </c:pt>
                <c:pt idx="321">
                  <c:v>452377</c:v>
                </c:pt>
                <c:pt idx="322">
                  <c:v>389378</c:v>
                </c:pt>
                <c:pt idx="323">
                  <c:v>481544</c:v>
                </c:pt>
                <c:pt idx="324">
                  <c:v>481544</c:v>
                </c:pt>
                <c:pt idx="325">
                  <c:v>481544</c:v>
                </c:pt>
                <c:pt idx="326">
                  <c:v>476864</c:v>
                </c:pt>
                <c:pt idx="327">
                  <c:v>678218</c:v>
                </c:pt>
                <c:pt idx="328">
                  <c:v>706287</c:v>
                </c:pt>
                <c:pt idx="329">
                  <c:v>707607</c:v>
                </c:pt>
                <c:pt idx="330">
                  <c:v>571746</c:v>
                </c:pt>
                <c:pt idx="331">
                  <c:v>571746</c:v>
                </c:pt>
                <c:pt idx="332">
                  <c:v>571746</c:v>
                </c:pt>
                <c:pt idx="333">
                  <c:v>603687</c:v>
                </c:pt>
                <c:pt idx="334">
                  <c:v>518062</c:v>
                </c:pt>
                <c:pt idx="335">
                  <c:v>678289</c:v>
                </c:pt>
                <c:pt idx="336">
                  <c:v>768778</c:v>
                </c:pt>
                <c:pt idx="337">
                  <c:v>515885</c:v>
                </c:pt>
                <c:pt idx="338">
                  <c:v>515885</c:v>
                </c:pt>
                <c:pt idx="339">
                  <c:v>515885</c:v>
                </c:pt>
                <c:pt idx="340">
                  <c:v>1123542</c:v>
                </c:pt>
                <c:pt idx="341">
                  <c:v>584827</c:v>
                </c:pt>
                <c:pt idx="342">
                  <c:v>587693</c:v>
                </c:pt>
                <c:pt idx="343">
                  <c:v>929492</c:v>
                </c:pt>
                <c:pt idx="344">
                  <c:v>1189096</c:v>
                </c:pt>
                <c:pt idx="345">
                  <c:v>1189096</c:v>
                </c:pt>
                <c:pt idx="346">
                  <c:v>1189096</c:v>
                </c:pt>
                <c:pt idx="347">
                  <c:v>1096913</c:v>
                </c:pt>
                <c:pt idx="348">
                  <c:v>1139779</c:v>
                </c:pt>
                <c:pt idx="349">
                  <c:v>1020660</c:v>
                </c:pt>
                <c:pt idx="350">
                  <c:v>711640</c:v>
                </c:pt>
                <c:pt idx="351">
                  <c:v>1681833</c:v>
                </c:pt>
                <c:pt idx="352">
                  <c:v>1681833</c:v>
                </c:pt>
                <c:pt idx="353">
                  <c:v>1681833</c:v>
                </c:pt>
                <c:pt idx="354">
                  <c:v>1204064</c:v>
                </c:pt>
                <c:pt idx="355">
                  <c:v>1143757</c:v>
                </c:pt>
                <c:pt idx="356">
                  <c:v>759061</c:v>
                </c:pt>
                <c:pt idx="357">
                  <c:v>465974</c:v>
                </c:pt>
                <c:pt idx="358">
                  <c:v>571119</c:v>
                </c:pt>
                <c:pt idx="359">
                  <c:v>571119</c:v>
                </c:pt>
                <c:pt idx="360">
                  <c:v>571119</c:v>
                </c:pt>
                <c:pt idx="361">
                  <c:v>712239</c:v>
                </c:pt>
                <c:pt idx="362">
                  <c:v>654835</c:v>
                </c:pt>
                <c:pt idx="363">
                  <c:v>575238</c:v>
                </c:pt>
                <c:pt idx="364">
                  <c:v>608348</c:v>
                </c:pt>
                <c:pt idx="365">
                  <c:v>701056</c:v>
                </c:pt>
                <c:pt idx="366">
                  <c:v>701056</c:v>
                </c:pt>
                <c:pt idx="367">
                  <c:v>701056</c:v>
                </c:pt>
                <c:pt idx="368">
                  <c:v>495290</c:v>
                </c:pt>
                <c:pt idx="369">
                  <c:v>782023</c:v>
                </c:pt>
                <c:pt idx="370">
                  <c:v>954825</c:v>
                </c:pt>
                <c:pt idx="371">
                  <c:v>1301479</c:v>
                </c:pt>
                <c:pt idx="372">
                  <c:v>1301479</c:v>
                </c:pt>
                <c:pt idx="373">
                  <c:v>1301479</c:v>
                </c:pt>
                <c:pt idx="374">
                  <c:v>1301479</c:v>
                </c:pt>
                <c:pt idx="375">
                  <c:v>939362</c:v>
                </c:pt>
                <c:pt idx="376">
                  <c:v>1101652</c:v>
                </c:pt>
                <c:pt idx="377">
                  <c:v>1042345</c:v>
                </c:pt>
                <c:pt idx="378">
                  <c:v>748063</c:v>
                </c:pt>
                <c:pt idx="379">
                  <c:v>342169</c:v>
                </c:pt>
                <c:pt idx="380">
                  <c:v>342169</c:v>
                </c:pt>
                <c:pt idx="381">
                  <c:v>342169</c:v>
                </c:pt>
                <c:pt idx="382">
                  <c:v>395036</c:v>
                </c:pt>
                <c:pt idx="383">
                  <c:v>454436</c:v>
                </c:pt>
                <c:pt idx="384">
                  <c:v>330253</c:v>
                </c:pt>
                <c:pt idx="385">
                  <c:v>433201</c:v>
                </c:pt>
                <c:pt idx="386">
                  <c:v>406617</c:v>
                </c:pt>
                <c:pt idx="387">
                  <c:v>406617</c:v>
                </c:pt>
                <c:pt idx="388">
                  <c:v>406617</c:v>
                </c:pt>
                <c:pt idx="389">
                  <c:v>624354</c:v>
                </c:pt>
                <c:pt idx="390">
                  <c:v>1085205</c:v>
                </c:pt>
                <c:pt idx="391">
                  <c:v>639921</c:v>
                </c:pt>
                <c:pt idx="392">
                  <c:v>977788</c:v>
                </c:pt>
                <c:pt idx="393">
                  <c:v>2437311</c:v>
                </c:pt>
                <c:pt idx="394">
                  <c:v>2437311</c:v>
                </c:pt>
                <c:pt idx="395">
                  <c:v>2437311</c:v>
                </c:pt>
                <c:pt idx="396">
                  <c:v>2179945</c:v>
                </c:pt>
                <c:pt idx="397">
                  <c:v>1437980</c:v>
                </c:pt>
                <c:pt idx="398">
                  <c:v>2018230</c:v>
                </c:pt>
                <c:pt idx="399">
                  <c:v>1037356</c:v>
                </c:pt>
                <c:pt idx="400">
                  <c:v>1029274</c:v>
                </c:pt>
                <c:pt idx="401">
                  <c:v>1029274</c:v>
                </c:pt>
                <c:pt idx="402">
                  <c:v>1029274</c:v>
                </c:pt>
                <c:pt idx="403">
                  <c:v>956720</c:v>
                </c:pt>
                <c:pt idx="404">
                  <c:v>867419</c:v>
                </c:pt>
                <c:pt idx="405">
                  <c:v>506951</c:v>
                </c:pt>
                <c:pt idx="406">
                  <c:v>589873</c:v>
                </c:pt>
                <c:pt idx="407">
                  <c:v>713945</c:v>
                </c:pt>
                <c:pt idx="408">
                  <c:v>713945</c:v>
                </c:pt>
                <c:pt idx="409">
                  <c:v>713945</c:v>
                </c:pt>
                <c:pt idx="410">
                  <c:v>1058694</c:v>
                </c:pt>
                <c:pt idx="411">
                  <c:v>1020950</c:v>
                </c:pt>
                <c:pt idx="412">
                  <c:v>625388</c:v>
                </c:pt>
                <c:pt idx="413">
                  <c:v>719052</c:v>
                </c:pt>
                <c:pt idx="414">
                  <c:v>567458</c:v>
                </c:pt>
                <c:pt idx="415">
                  <c:v>567458</c:v>
                </c:pt>
                <c:pt idx="416">
                  <c:v>567458</c:v>
                </c:pt>
                <c:pt idx="417">
                  <c:v>700343</c:v>
                </c:pt>
                <c:pt idx="418">
                  <c:v>649519</c:v>
                </c:pt>
                <c:pt idx="419">
                  <c:v>1061615</c:v>
                </c:pt>
                <c:pt idx="420">
                  <c:v>860446</c:v>
                </c:pt>
                <c:pt idx="421">
                  <c:v>763959</c:v>
                </c:pt>
                <c:pt idx="422">
                  <c:v>763959</c:v>
                </c:pt>
                <c:pt idx="423">
                  <c:v>763959</c:v>
                </c:pt>
                <c:pt idx="424">
                  <c:v>1015129</c:v>
                </c:pt>
                <c:pt idx="425">
                  <c:v>929193</c:v>
                </c:pt>
                <c:pt idx="426">
                  <c:v>683297</c:v>
                </c:pt>
                <c:pt idx="427">
                  <c:v>765280</c:v>
                </c:pt>
                <c:pt idx="428">
                  <c:v>1240639</c:v>
                </c:pt>
                <c:pt idx="429">
                  <c:v>1240639</c:v>
                </c:pt>
                <c:pt idx="430">
                  <c:v>1240639</c:v>
                </c:pt>
                <c:pt idx="431">
                  <c:v>381478</c:v>
                </c:pt>
                <c:pt idx="432">
                  <c:v>381478</c:v>
                </c:pt>
                <c:pt idx="433">
                  <c:v>784620</c:v>
                </c:pt>
                <c:pt idx="434">
                  <c:v>940735</c:v>
                </c:pt>
                <c:pt idx="435">
                  <c:v>1025120</c:v>
                </c:pt>
                <c:pt idx="436">
                  <c:v>1025120</c:v>
                </c:pt>
                <c:pt idx="437">
                  <c:v>1025120</c:v>
                </c:pt>
                <c:pt idx="438">
                  <c:v>1324961</c:v>
                </c:pt>
                <c:pt idx="439">
                  <c:v>759459</c:v>
                </c:pt>
                <c:pt idx="440">
                  <c:v>708346</c:v>
                </c:pt>
                <c:pt idx="441">
                  <c:v>835729</c:v>
                </c:pt>
                <c:pt idx="442">
                  <c:v>1029437</c:v>
                </c:pt>
                <c:pt idx="443">
                  <c:v>1029437</c:v>
                </c:pt>
                <c:pt idx="444">
                  <c:v>1029437</c:v>
                </c:pt>
                <c:pt idx="445">
                  <c:v>680347</c:v>
                </c:pt>
                <c:pt idx="446">
                  <c:v>573106</c:v>
                </c:pt>
                <c:pt idx="447">
                  <c:v>573106</c:v>
                </c:pt>
                <c:pt idx="448">
                  <c:v>572935</c:v>
                </c:pt>
                <c:pt idx="449">
                  <c:v>652834</c:v>
                </c:pt>
                <c:pt idx="450">
                  <c:v>652834</c:v>
                </c:pt>
                <c:pt idx="451">
                  <c:v>652834</c:v>
                </c:pt>
                <c:pt idx="452">
                  <c:v>958052</c:v>
                </c:pt>
                <c:pt idx="453">
                  <c:v>689891</c:v>
                </c:pt>
                <c:pt idx="454">
                  <c:v>488356</c:v>
                </c:pt>
                <c:pt idx="455">
                  <c:v>590481</c:v>
                </c:pt>
                <c:pt idx="456">
                  <c:v>949710</c:v>
                </c:pt>
                <c:pt idx="457">
                  <c:v>949710</c:v>
                </c:pt>
                <c:pt idx="458">
                  <c:v>949710</c:v>
                </c:pt>
                <c:pt idx="459">
                  <c:v>435793</c:v>
                </c:pt>
                <c:pt idx="460">
                  <c:v>666596</c:v>
                </c:pt>
                <c:pt idx="461">
                  <c:v>819660</c:v>
                </c:pt>
                <c:pt idx="462">
                  <c:v>793190</c:v>
                </c:pt>
                <c:pt idx="463">
                  <c:v>3643597</c:v>
                </c:pt>
                <c:pt idx="464">
                  <c:v>3643597</c:v>
                </c:pt>
                <c:pt idx="465">
                  <c:v>3643597</c:v>
                </c:pt>
                <c:pt idx="466">
                  <c:v>905519</c:v>
                </c:pt>
                <c:pt idx="467">
                  <c:v>825707</c:v>
                </c:pt>
                <c:pt idx="468">
                  <c:v>1089207</c:v>
                </c:pt>
                <c:pt idx="469">
                  <c:v>610987</c:v>
                </c:pt>
                <c:pt idx="470">
                  <c:v>610987</c:v>
                </c:pt>
                <c:pt idx="471">
                  <c:v>610987</c:v>
                </c:pt>
                <c:pt idx="472">
                  <c:v>610987</c:v>
                </c:pt>
                <c:pt idx="473">
                  <c:v>818044</c:v>
                </c:pt>
                <c:pt idx="474">
                  <c:v>723828</c:v>
                </c:pt>
                <c:pt idx="475">
                  <c:v>706020</c:v>
                </c:pt>
                <c:pt idx="476">
                  <c:v>403154</c:v>
                </c:pt>
                <c:pt idx="477">
                  <c:v>594728</c:v>
                </c:pt>
                <c:pt idx="478">
                  <c:v>594728</c:v>
                </c:pt>
                <c:pt idx="479">
                  <c:v>594728</c:v>
                </c:pt>
                <c:pt idx="480">
                  <c:v>789641</c:v>
                </c:pt>
                <c:pt idx="481">
                  <c:v>641737</c:v>
                </c:pt>
                <c:pt idx="482">
                  <c:v>668594</c:v>
                </c:pt>
                <c:pt idx="483">
                  <c:v>435100</c:v>
                </c:pt>
                <c:pt idx="484">
                  <c:v>749101</c:v>
                </c:pt>
                <c:pt idx="485">
                  <c:v>749101</c:v>
                </c:pt>
                <c:pt idx="486">
                  <c:v>749101</c:v>
                </c:pt>
                <c:pt idx="487">
                  <c:v>775339</c:v>
                </c:pt>
                <c:pt idx="488">
                  <c:v>809988</c:v>
                </c:pt>
                <c:pt idx="489">
                  <c:v>1900397</c:v>
                </c:pt>
                <c:pt idx="490">
                  <c:v>981553</c:v>
                </c:pt>
                <c:pt idx="491">
                  <c:v>654285</c:v>
                </c:pt>
                <c:pt idx="492">
                  <c:v>654285</c:v>
                </c:pt>
                <c:pt idx="493">
                  <c:v>654285</c:v>
                </c:pt>
                <c:pt idx="494">
                  <c:v>486329</c:v>
                </c:pt>
                <c:pt idx="495">
                  <c:v>422412</c:v>
                </c:pt>
                <c:pt idx="496">
                  <c:v>538417</c:v>
                </c:pt>
                <c:pt idx="497">
                  <c:v>536478</c:v>
                </c:pt>
                <c:pt idx="498">
                  <c:v>613134</c:v>
                </c:pt>
                <c:pt idx="499">
                  <c:v>613134</c:v>
                </c:pt>
                <c:pt idx="500">
                  <c:v>613134</c:v>
                </c:pt>
                <c:pt idx="501">
                  <c:v>815699</c:v>
                </c:pt>
                <c:pt idx="502">
                  <c:v>577149</c:v>
                </c:pt>
                <c:pt idx="503">
                  <c:v>625618</c:v>
                </c:pt>
                <c:pt idx="504">
                  <c:v>454662</c:v>
                </c:pt>
                <c:pt idx="505">
                  <c:v>535455</c:v>
                </c:pt>
                <c:pt idx="506">
                  <c:v>535455</c:v>
                </c:pt>
                <c:pt idx="507">
                  <c:v>535455</c:v>
                </c:pt>
                <c:pt idx="508">
                  <c:v>596359</c:v>
                </c:pt>
                <c:pt idx="509">
                  <c:v>731038</c:v>
                </c:pt>
                <c:pt idx="510">
                  <c:v>778893</c:v>
                </c:pt>
                <c:pt idx="511">
                  <c:v>1154022</c:v>
                </c:pt>
                <c:pt idx="512">
                  <c:v>381374</c:v>
                </c:pt>
                <c:pt idx="513">
                  <c:v>381374</c:v>
                </c:pt>
                <c:pt idx="514">
                  <c:v>381374</c:v>
                </c:pt>
                <c:pt idx="515">
                  <c:v>342944</c:v>
                </c:pt>
                <c:pt idx="516">
                  <c:v>406658</c:v>
                </c:pt>
                <c:pt idx="517">
                  <c:v>490617</c:v>
                </c:pt>
                <c:pt idx="518">
                  <c:v>420051</c:v>
                </c:pt>
                <c:pt idx="519">
                  <c:v>562999</c:v>
                </c:pt>
                <c:pt idx="520">
                  <c:v>562999</c:v>
                </c:pt>
                <c:pt idx="521">
                  <c:v>562999</c:v>
                </c:pt>
                <c:pt idx="522">
                  <c:v>627945</c:v>
                </c:pt>
                <c:pt idx="523">
                  <c:v>569682</c:v>
                </c:pt>
                <c:pt idx="524">
                  <c:v>527207</c:v>
                </c:pt>
                <c:pt idx="525">
                  <c:v>509826</c:v>
                </c:pt>
                <c:pt idx="526">
                  <c:v>830867</c:v>
                </c:pt>
                <c:pt idx="527">
                  <c:v>830867</c:v>
                </c:pt>
                <c:pt idx="528">
                  <c:v>830867</c:v>
                </c:pt>
                <c:pt idx="529">
                  <c:v>830867</c:v>
                </c:pt>
                <c:pt idx="530">
                  <c:v>539113</c:v>
                </c:pt>
                <c:pt idx="531">
                  <c:v>683267</c:v>
                </c:pt>
                <c:pt idx="532">
                  <c:v>1440547</c:v>
                </c:pt>
                <c:pt idx="533">
                  <c:v>694911</c:v>
                </c:pt>
                <c:pt idx="534">
                  <c:v>694911</c:v>
                </c:pt>
                <c:pt idx="535">
                  <c:v>694911</c:v>
                </c:pt>
                <c:pt idx="536">
                  <c:v>1181090</c:v>
                </c:pt>
                <c:pt idx="537">
                  <c:v>1238637</c:v>
                </c:pt>
                <c:pt idx="538">
                  <c:v>998356</c:v>
                </c:pt>
                <c:pt idx="539">
                  <c:v>909626</c:v>
                </c:pt>
                <c:pt idx="540">
                  <c:v>2169756</c:v>
                </c:pt>
                <c:pt idx="541">
                  <c:v>2169756</c:v>
                </c:pt>
                <c:pt idx="542">
                  <c:v>2169756</c:v>
                </c:pt>
                <c:pt idx="543">
                  <c:v>700733</c:v>
                </c:pt>
                <c:pt idx="544">
                  <c:v>502564</c:v>
                </c:pt>
                <c:pt idx="545">
                  <c:v>546287</c:v>
                </c:pt>
                <c:pt idx="546">
                  <c:v>532068</c:v>
                </c:pt>
                <c:pt idx="547">
                  <c:v>720217</c:v>
                </c:pt>
                <c:pt idx="548">
                  <c:v>720217</c:v>
                </c:pt>
                <c:pt idx="549">
                  <c:v>720217</c:v>
                </c:pt>
                <c:pt idx="550">
                  <c:v>678244</c:v>
                </c:pt>
                <c:pt idx="551">
                  <c:v>620483</c:v>
                </c:pt>
                <c:pt idx="552">
                  <c:v>599777</c:v>
                </c:pt>
                <c:pt idx="553">
                  <c:v>534182</c:v>
                </c:pt>
                <c:pt idx="554">
                  <c:v>551731</c:v>
                </c:pt>
                <c:pt idx="555">
                  <c:v>551731</c:v>
                </c:pt>
                <c:pt idx="556">
                  <c:v>551731</c:v>
                </c:pt>
                <c:pt idx="557">
                  <c:v>1423491</c:v>
                </c:pt>
                <c:pt idx="558">
                  <c:v>529899</c:v>
                </c:pt>
                <c:pt idx="559">
                  <c:v>479180</c:v>
                </c:pt>
                <c:pt idx="560">
                  <c:v>366193</c:v>
                </c:pt>
                <c:pt idx="561">
                  <c:v>544782</c:v>
                </c:pt>
                <c:pt idx="562">
                  <c:v>544782</c:v>
                </c:pt>
                <c:pt idx="563">
                  <c:v>544782</c:v>
                </c:pt>
                <c:pt idx="564">
                  <c:v>409464</c:v>
                </c:pt>
                <c:pt idx="565">
                  <c:v>549846</c:v>
                </c:pt>
                <c:pt idx="566">
                  <c:v>740705</c:v>
                </c:pt>
                <c:pt idx="567">
                  <c:v>574437</c:v>
                </c:pt>
                <c:pt idx="568">
                  <c:v>574437</c:v>
                </c:pt>
                <c:pt idx="569">
                  <c:v>574437</c:v>
                </c:pt>
                <c:pt idx="570">
                  <c:v>574437</c:v>
                </c:pt>
                <c:pt idx="571">
                  <c:v>514304</c:v>
                </c:pt>
                <c:pt idx="572">
                  <c:v>472717</c:v>
                </c:pt>
                <c:pt idx="573">
                  <c:v>728613</c:v>
                </c:pt>
                <c:pt idx="574">
                  <c:v>636845</c:v>
                </c:pt>
                <c:pt idx="575">
                  <c:v>600266</c:v>
                </c:pt>
                <c:pt idx="576">
                  <c:v>600266</c:v>
                </c:pt>
                <c:pt idx="577">
                  <c:v>600266</c:v>
                </c:pt>
                <c:pt idx="578">
                  <c:v>929649</c:v>
                </c:pt>
                <c:pt idx="579">
                  <c:v>1140096</c:v>
                </c:pt>
                <c:pt idx="580">
                  <c:v>1589947</c:v>
                </c:pt>
                <c:pt idx="581">
                  <c:v>975701</c:v>
                </c:pt>
                <c:pt idx="582">
                  <c:v>1122202</c:v>
                </c:pt>
                <c:pt idx="583">
                  <c:v>1122202</c:v>
                </c:pt>
                <c:pt idx="584">
                  <c:v>1122202</c:v>
                </c:pt>
                <c:pt idx="585">
                  <c:v>2019192</c:v>
                </c:pt>
                <c:pt idx="586">
                  <c:v>814452</c:v>
                </c:pt>
                <c:pt idx="587">
                  <c:v>916378</c:v>
                </c:pt>
                <c:pt idx="588">
                  <c:v>622714</c:v>
                </c:pt>
                <c:pt idx="589">
                  <c:v>409581</c:v>
                </c:pt>
                <c:pt idx="590">
                  <c:v>409581</c:v>
                </c:pt>
                <c:pt idx="591">
                  <c:v>409581</c:v>
                </c:pt>
                <c:pt idx="592">
                  <c:v>422640</c:v>
                </c:pt>
                <c:pt idx="593">
                  <c:v>627052</c:v>
                </c:pt>
                <c:pt idx="594">
                  <c:v>666480</c:v>
                </c:pt>
                <c:pt idx="595">
                  <c:v>456357</c:v>
                </c:pt>
                <c:pt idx="596">
                  <c:v>908908</c:v>
                </c:pt>
                <c:pt idx="597">
                  <c:v>908908</c:v>
                </c:pt>
                <c:pt idx="598">
                  <c:v>908908</c:v>
                </c:pt>
                <c:pt idx="599">
                  <c:v>435254</c:v>
                </c:pt>
                <c:pt idx="600">
                  <c:v>486904</c:v>
                </c:pt>
                <c:pt idx="601">
                  <c:v>893615</c:v>
                </c:pt>
                <c:pt idx="602">
                  <c:v>788875</c:v>
                </c:pt>
                <c:pt idx="603">
                  <c:v>788875</c:v>
                </c:pt>
                <c:pt idx="604">
                  <c:v>788875</c:v>
                </c:pt>
                <c:pt idx="605">
                  <c:v>788875</c:v>
                </c:pt>
                <c:pt idx="606">
                  <c:v>977625</c:v>
                </c:pt>
                <c:pt idx="607">
                  <c:v>892408</c:v>
                </c:pt>
                <c:pt idx="608">
                  <c:v>1016222</c:v>
                </c:pt>
                <c:pt idx="609">
                  <c:v>652079</c:v>
                </c:pt>
                <c:pt idx="610">
                  <c:v>1252782</c:v>
                </c:pt>
                <c:pt idx="611">
                  <c:v>1252782</c:v>
                </c:pt>
                <c:pt idx="612">
                  <c:v>1252782</c:v>
                </c:pt>
                <c:pt idx="613">
                  <c:v>457403</c:v>
                </c:pt>
                <c:pt idx="614">
                  <c:v>471428</c:v>
                </c:pt>
                <c:pt idx="615">
                  <c:v>552075</c:v>
                </c:pt>
                <c:pt idx="616">
                  <c:v>338768</c:v>
                </c:pt>
                <c:pt idx="617">
                  <c:v>338768</c:v>
                </c:pt>
                <c:pt idx="618">
                  <c:v>338768</c:v>
                </c:pt>
                <c:pt idx="619">
                  <c:v>338768</c:v>
                </c:pt>
                <c:pt idx="620">
                  <c:v>337323</c:v>
                </c:pt>
                <c:pt idx="621">
                  <c:v>360038</c:v>
                </c:pt>
                <c:pt idx="622">
                  <c:v>515022</c:v>
                </c:pt>
                <c:pt idx="623">
                  <c:v>459945</c:v>
                </c:pt>
                <c:pt idx="624">
                  <c:v>459945</c:v>
                </c:pt>
                <c:pt idx="625">
                  <c:v>459945</c:v>
                </c:pt>
                <c:pt idx="626">
                  <c:v>459945</c:v>
                </c:pt>
                <c:pt idx="627">
                  <c:v>464049</c:v>
                </c:pt>
                <c:pt idx="628">
                  <c:v>601450</c:v>
                </c:pt>
                <c:pt idx="629">
                  <c:v>1177304</c:v>
                </c:pt>
                <c:pt idx="630">
                  <c:v>715775</c:v>
                </c:pt>
                <c:pt idx="631">
                  <c:v>1819704</c:v>
                </c:pt>
                <c:pt idx="632">
                  <c:v>1819704</c:v>
                </c:pt>
                <c:pt idx="633">
                  <c:v>1819704</c:v>
                </c:pt>
                <c:pt idx="634">
                  <c:v>1318329</c:v>
                </c:pt>
                <c:pt idx="635">
                  <c:v>963238</c:v>
                </c:pt>
                <c:pt idx="636">
                  <c:v>884721</c:v>
                </c:pt>
                <c:pt idx="637">
                  <c:v>932156</c:v>
                </c:pt>
                <c:pt idx="638">
                  <c:v>478472</c:v>
                </c:pt>
                <c:pt idx="639">
                  <c:v>478472</c:v>
                </c:pt>
                <c:pt idx="640">
                  <c:v>478472</c:v>
                </c:pt>
                <c:pt idx="641">
                  <c:v>895606</c:v>
                </c:pt>
                <c:pt idx="642">
                  <c:v>573214</c:v>
                </c:pt>
                <c:pt idx="643">
                  <c:v>858726</c:v>
                </c:pt>
                <c:pt idx="644">
                  <c:v>827603</c:v>
                </c:pt>
                <c:pt idx="645">
                  <c:v>896581</c:v>
                </c:pt>
                <c:pt idx="646">
                  <c:v>896581</c:v>
                </c:pt>
                <c:pt idx="647">
                  <c:v>896581</c:v>
                </c:pt>
                <c:pt idx="648">
                  <c:v>1970749</c:v>
                </c:pt>
                <c:pt idx="649">
                  <c:v>940899</c:v>
                </c:pt>
                <c:pt idx="650">
                  <c:v>720971</c:v>
                </c:pt>
                <c:pt idx="651">
                  <c:v>830632</c:v>
                </c:pt>
                <c:pt idx="652">
                  <c:v>283889</c:v>
                </c:pt>
                <c:pt idx="653">
                  <c:v>283889</c:v>
                </c:pt>
                <c:pt idx="654">
                  <c:v>283889</c:v>
                </c:pt>
                <c:pt idx="655">
                  <c:v>676612</c:v>
                </c:pt>
                <c:pt idx="656">
                  <c:v>676612</c:v>
                </c:pt>
                <c:pt idx="657">
                  <c:v>635308</c:v>
                </c:pt>
                <c:pt idx="658">
                  <c:v>556762</c:v>
                </c:pt>
                <c:pt idx="659">
                  <c:v>671893</c:v>
                </c:pt>
                <c:pt idx="660">
                  <c:v>671893</c:v>
                </c:pt>
                <c:pt idx="661">
                  <c:v>671893</c:v>
                </c:pt>
                <c:pt idx="662">
                  <c:v>767304</c:v>
                </c:pt>
                <c:pt idx="663">
                  <c:v>967063</c:v>
                </c:pt>
                <c:pt idx="664">
                  <c:v>1535439</c:v>
                </c:pt>
                <c:pt idx="665">
                  <c:v>1352122</c:v>
                </c:pt>
                <c:pt idx="666">
                  <c:v>994324</c:v>
                </c:pt>
                <c:pt idx="667">
                  <c:v>994324</c:v>
                </c:pt>
                <c:pt idx="668">
                  <c:v>994324</c:v>
                </c:pt>
                <c:pt idx="669">
                  <c:v>649226</c:v>
                </c:pt>
                <c:pt idx="670">
                  <c:v>621161</c:v>
                </c:pt>
                <c:pt idx="671">
                  <c:v>639328</c:v>
                </c:pt>
                <c:pt idx="672">
                  <c:v>475913</c:v>
                </c:pt>
                <c:pt idx="673">
                  <c:v>591938</c:v>
                </c:pt>
                <c:pt idx="674">
                  <c:v>591938</c:v>
                </c:pt>
                <c:pt idx="675">
                  <c:v>591938</c:v>
                </c:pt>
                <c:pt idx="676">
                  <c:v>522645</c:v>
                </c:pt>
                <c:pt idx="677">
                  <c:v>637499</c:v>
                </c:pt>
                <c:pt idx="678">
                  <c:v>434135</c:v>
                </c:pt>
                <c:pt idx="679">
                  <c:v>451775</c:v>
                </c:pt>
                <c:pt idx="680">
                  <c:v>581906</c:v>
                </c:pt>
                <c:pt idx="681">
                  <c:v>581906</c:v>
                </c:pt>
                <c:pt idx="682">
                  <c:v>581906</c:v>
                </c:pt>
                <c:pt idx="683">
                  <c:v>385728</c:v>
                </c:pt>
                <c:pt idx="684">
                  <c:v>523182</c:v>
                </c:pt>
                <c:pt idx="685">
                  <c:v>478400</c:v>
                </c:pt>
                <c:pt idx="686">
                  <c:v>723354</c:v>
                </c:pt>
                <c:pt idx="687">
                  <c:v>770571</c:v>
                </c:pt>
                <c:pt idx="688">
                  <c:v>770571</c:v>
                </c:pt>
                <c:pt idx="689">
                  <c:v>770571</c:v>
                </c:pt>
                <c:pt idx="690">
                  <c:v>781802</c:v>
                </c:pt>
                <c:pt idx="691">
                  <c:v>562723</c:v>
                </c:pt>
                <c:pt idx="692">
                  <c:v>633947</c:v>
                </c:pt>
                <c:pt idx="693">
                  <c:v>568798</c:v>
                </c:pt>
                <c:pt idx="694">
                  <c:v>650774</c:v>
                </c:pt>
                <c:pt idx="695">
                  <c:v>650774</c:v>
                </c:pt>
                <c:pt idx="696">
                  <c:v>650774</c:v>
                </c:pt>
                <c:pt idx="697">
                  <c:v>397247</c:v>
                </c:pt>
                <c:pt idx="698">
                  <c:v>355211</c:v>
                </c:pt>
                <c:pt idx="699">
                  <c:v>512593</c:v>
                </c:pt>
                <c:pt idx="700">
                  <c:v>255132</c:v>
                </c:pt>
                <c:pt idx="701">
                  <c:v>374702</c:v>
                </c:pt>
                <c:pt idx="702">
                  <c:v>374702</c:v>
                </c:pt>
                <c:pt idx="703">
                  <c:v>374702</c:v>
                </c:pt>
                <c:pt idx="704">
                  <c:v>481489</c:v>
                </c:pt>
                <c:pt idx="705">
                  <c:v>806763</c:v>
                </c:pt>
                <c:pt idx="706">
                  <c:v>546047</c:v>
                </c:pt>
                <c:pt idx="707">
                  <c:v>492133</c:v>
                </c:pt>
                <c:pt idx="708">
                  <c:v>681547</c:v>
                </c:pt>
                <c:pt idx="709">
                  <c:v>681547</c:v>
                </c:pt>
                <c:pt idx="710">
                  <c:v>681547</c:v>
                </c:pt>
                <c:pt idx="711">
                  <c:v>499177</c:v>
                </c:pt>
                <c:pt idx="712">
                  <c:v>797054</c:v>
                </c:pt>
                <c:pt idx="713">
                  <c:v>730235</c:v>
                </c:pt>
                <c:pt idx="714">
                  <c:v>792502</c:v>
                </c:pt>
                <c:pt idx="715">
                  <c:v>782279</c:v>
                </c:pt>
                <c:pt idx="716">
                  <c:v>782279</c:v>
                </c:pt>
                <c:pt idx="717">
                  <c:v>782279</c:v>
                </c:pt>
                <c:pt idx="718">
                  <c:v>709500</c:v>
                </c:pt>
                <c:pt idx="719">
                  <c:v>972739</c:v>
                </c:pt>
                <c:pt idx="720">
                  <c:v>1084393</c:v>
                </c:pt>
                <c:pt idx="721">
                  <c:v>594743</c:v>
                </c:pt>
                <c:pt idx="722">
                  <c:v>1749841</c:v>
                </c:pt>
                <c:pt idx="723">
                  <c:v>1749841</c:v>
                </c:pt>
                <c:pt idx="724">
                  <c:v>1749841</c:v>
                </c:pt>
                <c:pt idx="725">
                  <c:v>761926</c:v>
                </c:pt>
                <c:pt idx="726">
                  <c:v>1058249</c:v>
                </c:pt>
                <c:pt idx="727">
                  <c:v>606173</c:v>
                </c:pt>
                <c:pt idx="728">
                  <c:v>521828</c:v>
                </c:pt>
                <c:pt idx="729">
                  <c:v>320160</c:v>
                </c:pt>
                <c:pt idx="730">
                  <c:v>320160</c:v>
                </c:pt>
                <c:pt idx="731">
                  <c:v>320160</c:v>
                </c:pt>
                <c:pt idx="732">
                  <c:v>628607</c:v>
                </c:pt>
                <c:pt idx="733">
                  <c:v>682888</c:v>
                </c:pt>
                <c:pt idx="734">
                  <c:v>551631</c:v>
                </c:pt>
                <c:pt idx="735">
                  <c:v>476855</c:v>
                </c:pt>
                <c:pt idx="736">
                  <c:v>476855</c:v>
                </c:pt>
                <c:pt idx="737">
                  <c:v>476855</c:v>
                </c:pt>
                <c:pt idx="738">
                  <c:v>476855</c:v>
                </c:pt>
                <c:pt idx="739">
                  <c:v>1336263</c:v>
                </c:pt>
                <c:pt idx="740">
                  <c:v>566578</c:v>
                </c:pt>
                <c:pt idx="741">
                  <c:v>439032</c:v>
                </c:pt>
                <c:pt idx="742">
                  <c:v>544369</c:v>
                </c:pt>
                <c:pt idx="743">
                  <c:v>418828</c:v>
                </c:pt>
                <c:pt idx="744">
                  <c:v>418828</c:v>
                </c:pt>
                <c:pt idx="745">
                  <c:v>418828</c:v>
                </c:pt>
                <c:pt idx="746">
                  <c:v>442380</c:v>
                </c:pt>
                <c:pt idx="747">
                  <c:v>676177</c:v>
                </c:pt>
                <c:pt idx="748">
                  <c:v>634509</c:v>
                </c:pt>
                <c:pt idx="749">
                  <c:v>687100</c:v>
                </c:pt>
                <c:pt idx="750">
                  <c:v>547505</c:v>
                </c:pt>
                <c:pt idx="751">
                  <c:v>547505</c:v>
                </c:pt>
                <c:pt idx="752">
                  <c:v>547505</c:v>
                </c:pt>
                <c:pt idx="753">
                  <c:v>530819</c:v>
                </c:pt>
                <c:pt idx="754">
                  <c:v>455687</c:v>
                </c:pt>
                <c:pt idx="755">
                  <c:v>642020</c:v>
                </c:pt>
                <c:pt idx="756">
                  <c:v>910523</c:v>
                </c:pt>
                <c:pt idx="757">
                  <c:v>1077879</c:v>
                </c:pt>
                <c:pt idx="758">
                  <c:v>1077879</c:v>
                </c:pt>
                <c:pt idx="759">
                  <c:v>1077879</c:v>
                </c:pt>
                <c:pt idx="760">
                  <c:v>782116</c:v>
                </c:pt>
                <c:pt idx="761">
                  <c:v>582969</c:v>
                </c:pt>
                <c:pt idx="762">
                  <c:v>1084920</c:v>
                </c:pt>
                <c:pt idx="763">
                  <c:v>1140186</c:v>
                </c:pt>
                <c:pt idx="764">
                  <c:v>601300</c:v>
                </c:pt>
                <c:pt idx="765">
                  <c:v>601300</c:v>
                </c:pt>
                <c:pt idx="766">
                  <c:v>601300</c:v>
                </c:pt>
                <c:pt idx="767">
                  <c:v>689155</c:v>
                </c:pt>
                <c:pt idx="768">
                  <c:v>521129</c:v>
                </c:pt>
                <c:pt idx="769">
                  <c:v>443186</c:v>
                </c:pt>
                <c:pt idx="770">
                  <c:v>436519</c:v>
                </c:pt>
                <c:pt idx="771">
                  <c:v>418919</c:v>
                </c:pt>
                <c:pt idx="772">
                  <c:v>418919</c:v>
                </c:pt>
                <c:pt idx="773">
                  <c:v>418919</c:v>
                </c:pt>
                <c:pt idx="774">
                  <c:v>625075</c:v>
                </c:pt>
                <c:pt idx="775">
                  <c:v>556664</c:v>
                </c:pt>
                <c:pt idx="776">
                  <c:v>387007</c:v>
                </c:pt>
                <c:pt idx="777">
                  <c:v>439336</c:v>
                </c:pt>
                <c:pt idx="778">
                  <c:v>506501</c:v>
                </c:pt>
                <c:pt idx="779">
                  <c:v>506501</c:v>
                </c:pt>
                <c:pt idx="780">
                  <c:v>506501</c:v>
                </c:pt>
                <c:pt idx="781">
                  <c:v>460606</c:v>
                </c:pt>
                <c:pt idx="782">
                  <c:v>518075</c:v>
                </c:pt>
                <c:pt idx="783">
                  <c:v>474860</c:v>
                </c:pt>
                <c:pt idx="784">
                  <c:v>421007</c:v>
                </c:pt>
                <c:pt idx="785">
                  <c:v>427671</c:v>
                </c:pt>
                <c:pt idx="786">
                  <c:v>427671</c:v>
                </c:pt>
                <c:pt idx="787">
                  <c:v>427671</c:v>
                </c:pt>
                <c:pt idx="788">
                  <c:v>460374</c:v>
                </c:pt>
                <c:pt idx="789">
                  <c:v>469719</c:v>
                </c:pt>
                <c:pt idx="790">
                  <c:v>559604</c:v>
                </c:pt>
                <c:pt idx="791">
                  <c:v>801812</c:v>
                </c:pt>
                <c:pt idx="792">
                  <c:v>935855</c:v>
                </c:pt>
                <c:pt idx="793">
                  <c:v>935855</c:v>
                </c:pt>
                <c:pt idx="794">
                  <c:v>935855</c:v>
                </c:pt>
                <c:pt idx="795">
                  <c:v>831357</c:v>
                </c:pt>
                <c:pt idx="796">
                  <c:v>710635</c:v>
                </c:pt>
                <c:pt idx="797">
                  <c:v>405027</c:v>
                </c:pt>
                <c:pt idx="798">
                  <c:v>405027</c:v>
                </c:pt>
                <c:pt idx="799">
                  <c:v>814636</c:v>
                </c:pt>
                <c:pt idx="800">
                  <c:v>814636</c:v>
                </c:pt>
                <c:pt idx="801">
                  <c:v>814636</c:v>
                </c:pt>
                <c:pt idx="802">
                  <c:v>679679</c:v>
                </c:pt>
                <c:pt idx="803">
                  <c:v>1329382</c:v>
                </c:pt>
                <c:pt idx="804">
                  <c:v>961512</c:v>
                </c:pt>
                <c:pt idx="805">
                  <c:v>980173</c:v>
                </c:pt>
                <c:pt idx="806">
                  <c:v>1233949</c:v>
                </c:pt>
                <c:pt idx="807">
                  <c:v>1233949</c:v>
                </c:pt>
                <c:pt idx="808">
                  <c:v>1233949</c:v>
                </c:pt>
                <c:pt idx="809">
                  <c:v>660206</c:v>
                </c:pt>
                <c:pt idx="810">
                  <c:v>786344</c:v>
                </c:pt>
                <c:pt idx="811">
                  <c:v>888190</c:v>
                </c:pt>
                <c:pt idx="812">
                  <c:v>2080228</c:v>
                </c:pt>
                <c:pt idx="813">
                  <c:v>2080228</c:v>
                </c:pt>
                <c:pt idx="814">
                  <c:v>2080228</c:v>
                </c:pt>
                <c:pt idx="815">
                  <c:v>2080228</c:v>
                </c:pt>
                <c:pt idx="816">
                  <c:v>932348</c:v>
                </c:pt>
                <c:pt idx="817">
                  <c:v>1145680</c:v>
                </c:pt>
                <c:pt idx="818">
                  <c:v>1019906</c:v>
                </c:pt>
                <c:pt idx="819">
                  <c:v>1174727</c:v>
                </c:pt>
                <c:pt idx="820">
                  <c:v>681597</c:v>
                </c:pt>
                <c:pt idx="821">
                  <c:v>681597</c:v>
                </c:pt>
                <c:pt idx="822">
                  <c:v>681597</c:v>
                </c:pt>
                <c:pt idx="823">
                  <c:v>566731</c:v>
                </c:pt>
                <c:pt idx="824">
                  <c:v>1352259</c:v>
                </c:pt>
                <c:pt idx="825">
                  <c:v>1138075</c:v>
                </c:pt>
                <c:pt idx="826">
                  <c:v>1220595</c:v>
                </c:pt>
                <c:pt idx="827">
                  <c:v>1060657</c:v>
                </c:pt>
                <c:pt idx="828">
                  <c:v>1060657</c:v>
                </c:pt>
                <c:pt idx="829">
                  <c:v>1060657</c:v>
                </c:pt>
                <c:pt idx="830">
                  <c:v>1115482</c:v>
                </c:pt>
                <c:pt idx="831">
                  <c:v>6592344</c:v>
                </c:pt>
                <c:pt idx="832">
                  <c:v>769888</c:v>
                </c:pt>
                <c:pt idx="833">
                  <c:v>870013</c:v>
                </c:pt>
                <c:pt idx="834">
                  <c:v>870013</c:v>
                </c:pt>
                <c:pt idx="835">
                  <c:v>870013</c:v>
                </c:pt>
                <c:pt idx="836">
                  <c:v>870013</c:v>
                </c:pt>
                <c:pt idx="837">
                  <c:v>1095885</c:v>
                </c:pt>
                <c:pt idx="838">
                  <c:v>781651</c:v>
                </c:pt>
                <c:pt idx="839">
                  <c:v>609309</c:v>
                </c:pt>
                <c:pt idx="840">
                  <c:v>811940</c:v>
                </c:pt>
                <c:pt idx="841">
                  <c:v>564477</c:v>
                </c:pt>
                <c:pt idx="842">
                  <c:v>564477</c:v>
                </c:pt>
                <c:pt idx="843">
                  <c:v>564477</c:v>
                </c:pt>
                <c:pt idx="844">
                  <c:v>728791</c:v>
                </c:pt>
                <c:pt idx="845">
                  <c:v>688534</c:v>
                </c:pt>
                <c:pt idx="846">
                  <c:v>752721</c:v>
                </c:pt>
                <c:pt idx="847">
                  <c:v>680841</c:v>
                </c:pt>
                <c:pt idx="848">
                  <c:v>889862</c:v>
                </c:pt>
                <c:pt idx="849">
                  <c:v>889862</c:v>
                </c:pt>
                <c:pt idx="850">
                  <c:v>889862</c:v>
                </c:pt>
                <c:pt idx="851">
                  <c:v>1109627</c:v>
                </c:pt>
                <c:pt idx="852">
                  <c:v>852697</c:v>
                </c:pt>
                <c:pt idx="853">
                  <c:v>1446725</c:v>
                </c:pt>
                <c:pt idx="854">
                  <c:v>1112484</c:v>
                </c:pt>
                <c:pt idx="855">
                  <c:v>787253</c:v>
                </c:pt>
                <c:pt idx="856">
                  <c:v>787253</c:v>
                </c:pt>
                <c:pt idx="857">
                  <c:v>787253</c:v>
                </c:pt>
                <c:pt idx="858">
                  <c:v>589459</c:v>
                </c:pt>
                <c:pt idx="859">
                  <c:v>759712</c:v>
                </c:pt>
                <c:pt idx="860">
                  <c:v>553442</c:v>
                </c:pt>
                <c:pt idx="861">
                  <c:v>584457</c:v>
                </c:pt>
                <c:pt idx="862">
                  <c:v>478920</c:v>
                </c:pt>
                <c:pt idx="863">
                  <c:v>478920</c:v>
                </c:pt>
                <c:pt idx="864">
                  <c:v>478920</c:v>
                </c:pt>
                <c:pt idx="865">
                  <c:v>564590</c:v>
                </c:pt>
                <c:pt idx="866">
                  <c:v>709879</c:v>
                </c:pt>
                <c:pt idx="867">
                  <c:v>417690</c:v>
                </c:pt>
                <c:pt idx="868">
                  <c:v>394425</c:v>
                </c:pt>
                <c:pt idx="869">
                  <c:v>434402</c:v>
                </c:pt>
                <c:pt idx="870">
                  <c:v>434402</c:v>
                </c:pt>
                <c:pt idx="871">
                  <c:v>434402</c:v>
                </c:pt>
                <c:pt idx="872">
                  <c:v>462354</c:v>
                </c:pt>
                <c:pt idx="873">
                  <c:v>535148</c:v>
                </c:pt>
                <c:pt idx="874">
                  <c:v>478225</c:v>
                </c:pt>
                <c:pt idx="875">
                  <c:v>437868</c:v>
                </c:pt>
                <c:pt idx="876">
                  <c:v>491629</c:v>
                </c:pt>
                <c:pt idx="877">
                  <c:v>491629</c:v>
                </c:pt>
                <c:pt idx="878">
                  <c:v>491629</c:v>
                </c:pt>
                <c:pt idx="879">
                  <c:v>578357</c:v>
                </c:pt>
                <c:pt idx="880">
                  <c:v>662433</c:v>
                </c:pt>
                <c:pt idx="881">
                  <c:v>559123</c:v>
                </c:pt>
                <c:pt idx="882">
                  <c:v>805750</c:v>
                </c:pt>
                <c:pt idx="883">
                  <c:v>721562</c:v>
                </c:pt>
                <c:pt idx="884">
                  <c:v>721562</c:v>
                </c:pt>
                <c:pt idx="885">
                  <c:v>721562</c:v>
                </c:pt>
                <c:pt idx="886">
                  <c:v>721562</c:v>
                </c:pt>
                <c:pt idx="887">
                  <c:v>1431814</c:v>
                </c:pt>
                <c:pt idx="888">
                  <c:v>807051</c:v>
                </c:pt>
                <c:pt idx="889">
                  <c:v>644763</c:v>
                </c:pt>
                <c:pt idx="890">
                  <c:v>889347</c:v>
                </c:pt>
                <c:pt idx="891">
                  <c:v>889347</c:v>
                </c:pt>
                <c:pt idx="892">
                  <c:v>889347</c:v>
                </c:pt>
                <c:pt idx="893">
                  <c:v>654781</c:v>
                </c:pt>
                <c:pt idx="894">
                  <c:v>580965</c:v>
                </c:pt>
                <c:pt idx="895">
                  <c:v>625290</c:v>
                </c:pt>
                <c:pt idx="896">
                  <c:v>531186</c:v>
                </c:pt>
                <c:pt idx="897">
                  <c:v>820607</c:v>
                </c:pt>
                <c:pt idx="898">
                  <c:v>820607</c:v>
                </c:pt>
                <c:pt idx="899">
                  <c:v>820607</c:v>
                </c:pt>
                <c:pt idx="900">
                  <c:v>780482</c:v>
                </c:pt>
                <c:pt idx="901">
                  <c:v>688903</c:v>
                </c:pt>
                <c:pt idx="902">
                  <c:v>1209745</c:v>
                </c:pt>
                <c:pt idx="903">
                  <c:v>1046194</c:v>
                </c:pt>
                <c:pt idx="904">
                  <c:v>1759486</c:v>
                </c:pt>
                <c:pt idx="905">
                  <c:v>1759486</c:v>
                </c:pt>
                <c:pt idx="906">
                  <c:v>1759486</c:v>
                </c:pt>
                <c:pt idx="907">
                  <c:v>1262270</c:v>
                </c:pt>
                <c:pt idx="908">
                  <c:v>2153334</c:v>
                </c:pt>
                <c:pt idx="909">
                  <c:v>1070422</c:v>
                </c:pt>
                <c:pt idx="910">
                  <c:v>1188556</c:v>
                </c:pt>
                <c:pt idx="911">
                  <c:v>1184953</c:v>
                </c:pt>
                <c:pt idx="912">
                  <c:v>1184953</c:v>
                </c:pt>
                <c:pt idx="913">
                  <c:v>1184953</c:v>
                </c:pt>
                <c:pt idx="914">
                  <c:v>812868</c:v>
                </c:pt>
                <c:pt idx="915">
                  <c:v>977037</c:v>
                </c:pt>
                <c:pt idx="916">
                  <c:v>1459484</c:v>
                </c:pt>
                <c:pt idx="917">
                  <c:v>1284793</c:v>
                </c:pt>
                <c:pt idx="918">
                  <c:v>1032490</c:v>
                </c:pt>
                <c:pt idx="919">
                  <c:v>1032490</c:v>
                </c:pt>
                <c:pt idx="920">
                  <c:v>1032490</c:v>
                </c:pt>
                <c:pt idx="921">
                  <c:v>879269</c:v>
                </c:pt>
                <c:pt idx="922">
                  <c:v>1504985</c:v>
                </c:pt>
                <c:pt idx="923">
                  <c:v>7506371</c:v>
                </c:pt>
                <c:pt idx="924">
                  <c:v>1115963</c:v>
                </c:pt>
                <c:pt idx="925">
                  <c:v>1030296</c:v>
                </c:pt>
                <c:pt idx="926">
                  <c:v>1030296</c:v>
                </c:pt>
                <c:pt idx="927">
                  <c:v>1030296</c:v>
                </c:pt>
                <c:pt idx="928">
                  <c:v>852542</c:v>
                </c:pt>
                <c:pt idx="929">
                  <c:v>835003</c:v>
                </c:pt>
                <c:pt idx="930">
                  <c:v>1077509</c:v>
                </c:pt>
                <c:pt idx="931">
                  <c:v>1128897</c:v>
                </c:pt>
                <c:pt idx="932">
                  <c:v>1128897</c:v>
                </c:pt>
                <c:pt idx="933">
                  <c:v>1128897</c:v>
                </c:pt>
                <c:pt idx="934">
                  <c:v>1128897</c:v>
                </c:pt>
                <c:pt idx="935">
                  <c:v>726577</c:v>
                </c:pt>
                <c:pt idx="936">
                  <c:v>907669</c:v>
                </c:pt>
                <c:pt idx="937">
                  <c:v>1172824</c:v>
                </c:pt>
                <c:pt idx="938">
                  <c:v>981363</c:v>
                </c:pt>
                <c:pt idx="939">
                  <c:v>1213248</c:v>
                </c:pt>
                <c:pt idx="940">
                  <c:v>1213248</c:v>
                </c:pt>
                <c:pt idx="941">
                  <c:v>1213248</c:v>
                </c:pt>
                <c:pt idx="942">
                  <c:v>1117188</c:v>
                </c:pt>
                <c:pt idx="943">
                  <c:v>1280675</c:v>
                </c:pt>
                <c:pt idx="944">
                  <c:v>3098163</c:v>
                </c:pt>
                <c:pt idx="945">
                  <c:v>1892932</c:v>
                </c:pt>
                <c:pt idx="946">
                  <c:v>1530539</c:v>
                </c:pt>
                <c:pt idx="947">
                  <c:v>1530539</c:v>
                </c:pt>
                <c:pt idx="948">
                  <c:v>1530539</c:v>
                </c:pt>
                <c:pt idx="949">
                  <c:v>796091</c:v>
                </c:pt>
                <c:pt idx="950">
                  <c:v>966072</c:v>
                </c:pt>
                <c:pt idx="951">
                  <c:v>1125342</c:v>
                </c:pt>
                <c:pt idx="952">
                  <c:v>646394</c:v>
                </c:pt>
                <c:pt idx="953">
                  <c:v>572892</c:v>
                </c:pt>
                <c:pt idx="954">
                  <c:v>572892</c:v>
                </c:pt>
                <c:pt idx="955">
                  <c:v>572892</c:v>
                </c:pt>
                <c:pt idx="956">
                  <c:v>752319</c:v>
                </c:pt>
                <c:pt idx="957">
                  <c:v>818157</c:v>
                </c:pt>
                <c:pt idx="958">
                  <c:v>544888</c:v>
                </c:pt>
                <c:pt idx="959">
                  <c:v>965246</c:v>
                </c:pt>
                <c:pt idx="960">
                  <c:v>688206</c:v>
                </c:pt>
                <c:pt idx="961">
                  <c:v>688206</c:v>
                </c:pt>
                <c:pt idx="962">
                  <c:v>688206</c:v>
                </c:pt>
                <c:pt idx="963">
                  <c:v>1068994</c:v>
                </c:pt>
                <c:pt idx="964">
                  <c:v>1011348</c:v>
                </c:pt>
                <c:pt idx="965">
                  <c:v>1013540</c:v>
                </c:pt>
                <c:pt idx="966">
                  <c:v>1277678</c:v>
                </c:pt>
                <c:pt idx="967">
                  <c:v>1277678</c:v>
                </c:pt>
                <c:pt idx="968">
                  <c:v>1277678</c:v>
                </c:pt>
                <c:pt idx="969">
                  <c:v>1277678</c:v>
                </c:pt>
                <c:pt idx="970">
                  <c:v>889924</c:v>
                </c:pt>
                <c:pt idx="971">
                  <c:v>811832</c:v>
                </c:pt>
                <c:pt idx="972">
                  <c:v>1030355</c:v>
                </c:pt>
                <c:pt idx="973">
                  <c:v>1173415</c:v>
                </c:pt>
                <c:pt idx="974">
                  <c:v>857285</c:v>
                </c:pt>
                <c:pt idx="975">
                  <c:v>857285</c:v>
                </c:pt>
                <c:pt idx="976">
                  <c:v>857285</c:v>
                </c:pt>
                <c:pt idx="977">
                  <c:v>1126200</c:v>
                </c:pt>
                <c:pt idx="978">
                  <c:v>801551</c:v>
                </c:pt>
                <c:pt idx="979">
                  <c:v>968515</c:v>
                </c:pt>
                <c:pt idx="980">
                  <c:v>445853</c:v>
                </c:pt>
                <c:pt idx="981">
                  <c:v>445853</c:v>
                </c:pt>
                <c:pt idx="982">
                  <c:v>445853</c:v>
                </c:pt>
                <c:pt idx="983">
                  <c:v>445853</c:v>
                </c:pt>
                <c:pt idx="984">
                  <c:v>345614</c:v>
                </c:pt>
                <c:pt idx="985">
                  <c:v>469461</c:v>
                </c:pt>
                <c:pt idx="986">
                  <c:v>470763</c:v>
                </c:pt>
                <c:pt idx="987">
                  <c:v>516895</c:v>
                </c:pt>
                <c:pt idx="988">
                  <c:v>516895</c:v>
                </c:pt>
                <c:pt idx="989">
                  <c:v>516895</c:v>
                </c:pt>
                <c:pt idx="990">
                  <c:v>516895</c:v>
                </c:pt>
                <c:pt idx="991">
                  <c:v>715628</c:v>
                </c:pt>
                <c:pt idx="992">
                  <c:v>596093</c:v>
                </c:pt>
                <c:pt idx="993">
                  <c:v>941873</c:v>
                </c:pt>
                <c:pt idx="994">
                  <c:v>689706</c:v>
                </c:pt>
                <c:pt idx="995">
                  <c:v>1836131</c:v>
                </c:pt>
                <c:pt idx="996">
                  <c:v>1836131</c:v>
                </c:pt>
                <c:pt idx="997">
                  <c:v>1836131</c:v>
                </c:pt>
                <c:pt idx="998">
                  <c:v>621848</c:v>
                </c:pt>
                <c:pt idx="999">
                  <c:v>761430</c:v>
                </c:pt>
                <c:pt idx="1000">
                  <c:v>742287</c:v>
                </c:pt>
                <c:pt idx="1001">
                  <c:v>1332103</c:v>
                </c:pt>
                <c:pt idx="1002">
                  <c:v>571245</c:v>
                </c:pt>
                <c:pt idx="1003">
                  <c:v>571245</c:v>
                </c:pt>
                <c:pt idx="1004">
                  <c:v>571245</c:v>
                </c:pt>
                <c:pt idx="1005">
                  <c:v>478842</c:v>
                </c:pt>
                <c:pt idx="1006">
                  <c:v>414508</c:v>
                </c:pt>
                <c:pt idx="1007">
                  <c:v>766109</c:v>
                </c:pt>
                <c:pt idx="1008">
                  <c:v>608390</c:v>
                </c:pt>
                <c:pt idx="1009">
                  <c:v>766088</c:v>
                </c:pt>
                <c:pt idx="1010">
                  <c:v>766088</c:v>
                </c:pt>
                <c:pt idx="1011">
                  <c:v>766088</c:v>
                </c:pt>
                <c:pt idx="1012">
                  <c:v>1155027</c:v>
                </c:pt>
                <c:pt idx="1013">
                  <c:v>770979</c:v>
                </c:pt>
                <c:pt idx="1014">
                  <c:v>416986</c:v>
                </c:pt>
                <c:pt idx="1015">
                  <c:v>494381</c:v>
                </c:pt>
                <c:pt idx="1016">
                  <c:v>235794</c:v>
                </c:pt>
                <c:pt idx="1017">
                  <c:v>235794</c:v>
                </c:pt>
                <c:pt idx="1018">
                  <c:v>235794</c:v>
                </c:pt>
                <c:pt idx="1019">
                  <c:v>816848</c:v>
                </c:pt>
                <c:pt idx="1020">
                  <c:v>816848</c:v>
                </c:pt>
                <c:pt idx="1021">
                  <c:v>1270812</c:v>
                </c:pt>
                <c:pt idx="1022">
                  <c:v>930150</c:v>
                </c:pt>
                <c:pt idx="1023">
                  <c:v>801708</c:v>
                </c:pt>
                <c:pt idx="1024">
                  <c:v>801708</c:v>
                </c:pt>
                <c:pt idx="1025">
                  <c:v>801708</c:v>
                </c:pt>
                <c:pt idx="1026">
                  <c:v>538319</c:v>
                </c:pt>
                <c:pt idx="1027">
                  <c:v>735270</c:v>
                </c:pt>
                <c:pt idx="1028">
                  <c:v>1041229</c:v>
                </c:pt>
                <c:pt idx="1029">
                  <c:v>921570</c:v>
                </c:pt>
                <c:pt idx="1030">
                  <c:v>895242</c:v>
                </c:pt>
                <c:pt idx="1031">
                  <c:v>895242</c:v>
                </c:pt>
                <c:pt idx="1032">
                  <c:v>895242</c:v>
                </c:pt>
                <c:pt idx="1033">
                  <c:v>882951</c:v>
                </c:pt>
                <c:pt idx="1034">
                  <c:v>612474</c:v>
                </c:pt>
                <c:pt idx="1035">
                  <c:v>538753</c:v>
                </c:pt>
                <c:pt idx="1036">
                  <c:v>703074</c:v>
                </c:pt>
                <c:pt idx="1037">
                  <c:v>614636</c:v>
                </c:pt>
                <c:pt idx="1038">
                  <c:v>614636</c:v>
                </c:pt>
                <c:pt idx="1039">
                  <c:v>614636</c:v>
                </c:pt>
                <c:pt idx="1040">
                  <c:v>700294</c:v>
                </c:pt>
                <c:pt idx="1041">
                  <c:v>604047</c:v>
                </c:pt>
                <c:pt idx="1042">
                  <c:v>436995</c:v>
                </c:pt>
                <c:pt idx="1043">
                  <c:v>497520</c:v>
                </c:pt>
                <c:pt idx="1044">
                  <c:v>389844</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45945</c:v>
                </c:pt>
                <c:pt idx="1">
                  <c:v>45944</c:v>
                </c:pt>
                <c:pt idx="2">
                  <c:v>45943</c:v>
                </c:pt>
                <c:pt idx="3">
                  <c:v>45942</c:v>
                </c:pt>
                <c:pt idx="4">
                  <c:v>45941</c:v>
                </c:pt>
                <c:pt idx="5">
                  <c:v>45940</c:v>
                </c:pt>
                <c:pt idx="6">
                  <c:v>45939</c:v>
                </c:pt>
                <c:pt idx="7">
                  <c:v>45938</c:v>
                </c:pt>
                <c:pt idx="8">
                  <c:v>45937</c:v>
                </c:pt>
                <c:pt idx="9">
                  <c:v>45936</c:v>
                </c:pt>
                <c:pt idx="10">
                  <c:v>45935</c:v>
                </c:pt>
                <c:pt idx="11">
                  <c:v>45934</c:v>
                </c:pt>
                <c:pt idx="12">
                  <c:v>45933</c:v>
                </c:pt>
                <c:pt idx="13">
                  <c:v>45932</c:v>
                </c:pt>
                <c:pt idx="14">
                  <c:v>45931</c:v>
                </c:pt>
                <c:pt idx="15">
                  <c:v>45930</c:v>
                </c:pt>
                <c:pt idx="16">
                  <c:v>45929</c:v>
                </c:pt>
                <c:pt idx="17">
                  <c:v>45928</c:v>
                </c:pt>
                <c:pt idx="18">
                  <c:v>45927</c:v>
                </c:pt>
                <c:pt idx="19">
                  <c:v>45926</c:v>
                </c:pt>
                <c:pt idx="20">
                  <c:v>45925</c:v>
                </c:pt>
                <c:pt idx="21">
                  <c:v>45924</c:v>
                </c:pt>
                <c:pt idx="22">
                  <c:v>45923</c:v>
                </c:pt>
                <c:pt idx="23">
                  <c:v>45922</c:v>
                </c:pt>
                <c:pt idx="24">
                  <c:v>45921</c:v>
                </c:pt>
                <c:pt idx="25">
                  <c:v>45920</c:v>
                </c:pt>
                <c:pt idx="26">
                  <c:v>45919</c:v>
                </c:pt>
                <c:pt idx="27">
                  <c:v>45918</c:v>
                </c:pt>
                <c:pt idx="28">
                  <c:v>45917</c:v>
                </c:pt>
                <c:pt idx="29">
                  <c:v>45916</c:v>
                </c:pt>
                <c:pt idx="30">
                  <c:v>45915</c:v>
                </c:pt>
                <c:pt idx="31">
                  <c:v>45914</c:v>
                </c:pt>
                <c:pt idx="32">
                  <c:v>45913</c:v>
                </c:pt>
                <c:pt idx="33">
                  <c:v>45912</c:v>
                </c:pt>
                <c:pt idx="34">
                  <c:v>45911</c:v>
                </c:pt>
                <c:pt idx="35">
                  <c:v>45910</c:v>
                </c:pt>
                <c:pt idx="36">
                  <c:v>45909</c:v>
                </c:pt>
                <c:pt idx="37">
                  <c:v>45908</c:v>
                </c:pt>
                <c:pt idx="38">
                  <c:v>45907</c:v>
                </c:pt>
                <c:pt idx="39">
                  <c:v>45906</c:v>
                </c:pt>
                <c:pt idx="40">
                  <c:v>45905</c:v>
                </c:pt>
                <c:pt idx="41">
                  <c:v>45904</c:v>
                </c:pt>
                <c:pt idx="42">
                  <c:v>45903</c:v>
                </c:pt>
                <c:pt idx="43">
                  <c:v>45902</c:v>
                </c:pt>
                <c:pt idx="44">
                  <c:v>45901</c:v>
                </c:pt>
                <c:pt idx="45">
                  <c:v>45900</c:v>
                </c:pt>
                <c:pt idx="46">
                  <c:v>45899</c:v>
                </c:pt>
                <c:pt idx="47">
                  <c:v>45898</c:v>
                </c:pt>
                <c:pt idx="48">
                  <c:v>45897</c:v>
                </c:pt>
                <c:pt idx="49">
                  <c:v>45896</c:v>
                </c:pt>
                <c:pt idx="50">
                  <c:v>45895</c:v>
                </c:pt>
                <c:pt idx="51">
                  <c:v>45894</c:v>
                </c:pt>
                <c:pt idx="52">
                  <c:v>45893</c:v>
                </c:pt>
                <c:pt idx="53">
                  <c:v>45892</c:v>
                </c:pt>
                <c:pt idx="54">
                  <c:v>45891</c:v>
                </c:pt>
                <c:pt idx="55">
                  <c:v>45890</c:v>
                </c:pt>
                <c:pt idx="56">
                  <c:v>45889</c:v>
                </c:pt>
                <c:pt idx="57">
                  <c:v>45888</c:v>
                </c:pt>
                <c:pt idx="58">
                  <c:v>45887</c:v>
                </c:pt>
                <c:pt idx="59">
                  <c:v>45886</c:v>
                </c:pt>
                <c:pt idx="60">
                  <c:v>45885</c:v>
                </c:pt>
                <c:pt idx="61">
                  <c:v>45884</c:v>
                </c:pt>
                <c:pt idx="62">
                  <c:v>45883</c:v>
                </c:pt>
                <c:pt idx="63">
                  <c:v>45882</c:v>
                </c:pt>
                <c:pt idx="64">
                  <c:v>45881</c:v>
                </c:pt>
                <c:pt idx="65">
                  <c:v>45880</c:v>
                </c:pt>
                <c:pt idx="66">
                  <c:v>45879</c:v>
                </c:pt>
                <c:pt idx="67">
                  <c:v>45878</c:v>
                </c:pt>
                <c:pt idx="68">
                  <c:v>45877</c:v>
                </c:pt>
                <c:pt idx="69">
                  <c:v>45876</c:v>
                </c:pt>
                <c:pt idx="70">
                  <c:v>45875</c:v>
                </c:pt>
                <c:pt idx="71">
                  <c:v>45874</c:v>
                </c:pt>
                <c:pt idx="72">
                  <c:v>45873</c:v>
                </c:pt>
                <c:pt idx="73">
                  <c:v>45872</c:v>
                </c:pt>
                <c:pt idx="74">
                  <c:v>45871</c:v>
                </c:pt>
                <c:pt idx="75">
                  <c:v>45870</c:v>
                </c:pt>
                <c:pt idx="76">
                  <c:v>45869</c:v>
                </c:pt>
                <c:pt idx="77">
                  <c:v>45868</c:v>
                </c:pt>
                <c:pt idx="78">
                  <c:v>45867</c:v>
                </c:pt>
                <c:pt idx="79">
                  <c:v>45866</c:v>
                </c:pt>
                <c:pt idx="80">
                  <c:v>45865</c:v>
                </c:pt>
                <c:pt idx="81">
                  <c:v>45864</c:v>
                </c:pt>
                <c:pt idx="82">
                  <c:v>45863</c:v>
                </c:pt>
                <c:pt idx="83">
                  <c:v>45862</c:v>
                </c:pt>
                <c:pt idx="84">
                  <c:v>45861</c:v>
                </c:pt>
                <c:pt idx="85">
                  <c:v>45860</c:v>
                </c:pt>
                <c:pt idx="86">
                  <c:v>45859</c:v>
                </c:pt>
                <c:pt idx="87">
                  <c:v>45858</c:v>
                </c:pt>
                <c:pt idx="88">
                  <c:v>45857</c:v>
                </c:pt>
                <c:pt idx="89">
                  <c:v>45856</c:v>
                </c:pt>
                <c:pt idx="90">
                  <c:v>45855</c:v>
                </c:pt>
                <c:pt idx="91">
                  <c:v>45854</c:v>
                </c:pt>
                <c:pt idx="92">
                  <c:v>45853</c:v>
                </c:pt>
                <c:pt idx="93">
                  <c:v>45852</c:v>
                </c:pt>
                <c:pt idx="94">
                  <c:v>45851</c:v>
                </c:pt>
                <c:pt idx="95">
                  <c:v>45850</c:v>
                </c:pt>
                <c:pt idx="96">
                  <c:v>45849</c:v>
                </c:pt>
                <c:pt idx="97">
                  <c:v>45848</c:v>
                </c:pt>
                <c:pt idx="98">
                  <c:v>45847</c:v>
                </c:pt>
                <c:pt idx="99">
                  <c:v>45846</c:v>
                </c:pt>
                <c:pt idx="100">
                  <c:v>45845</c:v>
                </c:pt>
                <c:pt idx="101">
                  <c:v>45844</c:v>
                </c:pt>
                <c:pt idx="102">
                  <c:v>45843</c:v>
                </c:pt>
                <c:pt idx="103">
                  <c:v>45842</c:v>
                </c:pt>
                <c:pt idx="104">
                  <c:v>45841</c:v>
                </c:pt>
                <c:pt idx="105">
                  <c:v>45840</c:v>
                </c:pt>
                <c:pt idx="106">
                  <c:v>45839</c:v>
                </c:pt>
                <c:pt idx="107">
                  <c:v>45838</c:v>
                </c:pt>
                <c:pt idx="108">
                  <c:v>45837</c:v>
                </c:pt>
                <c:pt idx="109">
                  <c:v>45836</c:v>
                </c:pt>
                <c:pt idx="110">
                  <c:v>45835</c:v>
                </c:pt>
                <c:pt idx="111">
                  <c:v>45834</c:v>
                </c:pt>
                <c:pt idx="112">
                  <c:v>45833</c:v>
                </c:pt>
                <c:pt idx="113">
                  <c:v>45832</c:v>
                </c:pt>
                <c:pt idx="114">
                  <c:v>45831</c:v>
                </c:pt>
                <c:pt idx="115">
                  <c:v>45830</c:v>
                </c:pt>
                <c:pt idx="116">
                  <c:v>45829</c:v>
                </c:pt>
                <c:pt idx="117">
                  <c:v>45828</c:v>
                </c:pt>
                <c:pt idx="118">
                  <c:v>45827</c:v>
                </c:pt>
                <c:pt idx="119">
                  <c:v>45826</c:v>
                </c:pt>
                <c:pt idx="120">
                  <c:v>45825</c:v>
                </c:pt>
                <c:pt idx="121">
                  <c:v>45824</c:v>
                </c:pt>
                <c:pt idx="122">
                  <c:v>45823</c:v>
                </c:pt>
                <c:pt idx="123">
                  <c:v>45822</c:v>
                </c:pt>
                <c:pt idx="124">
                  <c:v>45821</c:v>
                </c:pt>
                <c:pt idx="125">
                  <c:v>45820</c:v>
                </c:pt>
                <c:pt idx="126">
                  <c:v>45819</c:v>
                </c:pt>
                <c:pt idx="127">
                  <c:v>45818</c:v>
                </c:pt>
                <c:pt idx="128">
                  <c:v>45817</c:v>
                </c:pt>
                <c:pt idx="129">
                  <c:v>45816</c:v>
                </c:pt>
                <c:pt idx="130">
                  <c:v>45815</c:v>
                </c:pt>
                <c:pt idx="131">
                  <c:v>45814</c:v>
                </c:pt>
                <c:pt idx="132">
                  <c:v>45813</c:v>
                </c:pt>
                <c:pt idx="133">
                  <c:v>45812</c:v>
                </c:pt>
                <c:pt idx="134">
                  <c:v>45811</c:v>
                </c:pt>
                <c:pt idx="135">
                  <c:v>45810</c:v>
                </c:pt>
                <c:pt idx="136">
                  <c:v>45809</c:v>
                </c:pt>
                <c:pt idx="137">
                  <c:v>45808</c:v>
                </c:pt>
                <c:pt idx="138">
                  <c:v>45807</c:v>
                </c:pt>
                <c:pt idx="139">
                  <c:v>45806</c:v>
                </c:pt>
                <c:pt idx="140">
                  <c:v>45805</c:v>
                </c:pt>
                <c:pt idx="141">
                  <c:v>45804</c:v>
                </c:pt>
                <c:pt idx="142">
                  <c:v>45803</c:v>
                </c:pt>
                <c:pt idx="143">
                  <c:v>45802</c:v>
                </c:pt>
                <c:pt idx="144">
                  <c:v>45801</c:v>
                </c:pt>
                <c:pt idx="145">
                  <c:v>45800</c:v>
                </c:pt>
                <c:pt idx="146">
                  <c:v>45799</c:v>
                </c:pt>
                <c:pt idx="147">
                  <c:v>45798</c:v>
                </c:pt>
                <c:pt idx="148">
                  <c:v>45797</c:v>
                </c:pt>
                <c:pt idx="149">
                  <c:v>45796</c:v>
                </c:pt>
                <c:pt idx="150">
                  <c:v>45795</c:v>
                </c:pt>
                <c:pt idx="151">
                  <c:v>45794</c:v>
                </c:pt>
                <c:pt idx="152">
                  <c:v>45793</c:v>
                </c:pt>
                <c:pt idx="153">
                  <c:v>45792</c:v>
                </c:pt>
                <c:pt idx="154">
                  <c:v>45791</c:v>
                </c:pt>
                <c:pt idx="155">
                  <c:v>45790</c:v>
                </c:pt>
                <c:pt idx="156">
                  <c:v>45789</c:v>
                </c:pt>
                <c:pt idx="157">
                  <c:v>45788</c:v>
                </c:pt>
                <c:pt idx="158">
                  <c:v>45787</c:v>
                </c:pt>
                <c:pt idx="159">
                  <c:v>45786</c:v>
                </c:pt>
                <c:pt idx="160">
                  <c:v>45785</c:v>
                </c:pt>
                <c:pt idx="161">
                  <c:v>45784</c:v>
                </c:pt>
                <c:pt idx="162">
                  <c:v>45783</c:v>
                </c:pt>
                <c:pt idx="163">
                  <c:v>45782</c:v>
                </c:pt>
                <c:pt idx="164">
                  <c:v>45781</c:v>
                </c:pt>
                <c:pt idx="165">
                  <c:v>45780</c:v>
                </c:pt>
                <c:pt idx="166">
                  <c:v>45779</c:v>
                </c:pt>
                <c:pt idx="167">
                  <c:v>45778</c:v>
                </c:pt>
                <c:pt idx="168">
                  <c:v>45777</c:v>
                </c:pt>
                <c:pt idx="169">
                  <c:v>45776</c:v>
                </c:pt>
                <c:pt idx="170">
                  <c:v>45775</c:v>
                </c:pt>
                <c:pt idx="171">
                  <c:v>45774</c:v>
                </c:pt>
                <c:pt idx="172">
                  <c:v>45773</c:v>
                </c:pt>
                <c:pt idx="173">
                  <c:v>45772</c:v>
                </c:pt>
                <c:pt idx="174">
                  <c:v>45771</c:v>
                </c:pt>
                <c:pt idx="175">
                  <c:v>45770</c:v>
                </c:pt>
                <c:pt idx="176">
                  <c:v>45769</c:v>
                </c:pt>
                <c:pt idx="177">
                  <c:v>45768</c:v>
                </c:pt>
                <c:pt idx="178">
                  <c:v>45767</c:v>
                </c:pt>
                <c:pt idx="179">
                  <c:v>45766</c:v>
                </c:pt>
                <c:pt idx="180">
                  <c:v>45765</c:v>
                </c:pt>
                <c:pt idx="181">
                  <c:v>45764</c:v>
                </c:pt>
                <c:pt idx="182">
                  <c:v>45763</c:v>
                </c:pt>
                <c:pt idx="183">
                  <c:v>45762</c:v>
                </c:pt>
                <c:pt idx="184">
                  <c:v>45761</c:v>
                </c:pt>
                <c:pt idx="185">
                  <c:v>45760</c:v>
                </c:pt>
                <c:pt idx="186">
                  <c:v>45759</c:v>
                </c:pt>
                <c:pt idx="187">
                  <c:v>45758</c:v>
                </c:pt>
                <c:pt idx="188">
                  <c:v>45757</c:v>
                </c:pt>
                <c:pt idx="189">
                  <c:v>45756</c:v>
                </c:pt>
                <c:pt idx="190">
                  <c:v>45755</c:v>
                </c:pt>
                <c:pt idx="191">
                  <c:v>45754</c:v>
                </c:pt>
                <c:pt idx="192">
                  <c:v>45753</c:v>
                </c:pt>
                <c:pt idx="193">
                  <c:v>45752</c:v>
                </c:pt>
                <c:pt idx="194">
                  <c:v>45751</c:v>
                </c:pt>
                <c:pt idx="195">
                  <c:v>45750</c:v>
                </c:pt>
                <c:pt idx="196">
                  <c:v>45749</c:v>
                </c:pt>
                <c:pt idx="197">
                  <c:v>45748</c:v>
                </c:pt>
                <c:pt idx="198">
                  <c:v>45747</c:v>
                </c:pt>
                <c:pt idx="199">
                  <c:v>45746</c:v>
                </c:pt>
                <c:pt idx="200">
                  <c:v>45745</c:v>
                </c:pt>
                <c:pt idx="201">
                  <c:v>45744</c:v>
                </c:pt>
                <c:pt idx="202">
                  <c:v>45743</c:v>
                </c:pt>
                <c:pt idx="203">
                  <c:v>45742</c:v>
                </c:pt>
                <c:pt idx="204">
                  <c:v>45741</c:v>
                </c:pt>
                <c:pt idx="205">
                  <c:v>45740</c:v>
                </c:pt>
                <c:pt idx="206">
                  <c:v>45739</c:v>
                </c:pt>
                <c:pt idx="207">
                  <c:v>45738</c:v>
                </c:pt>
                <c:pt idx="208">
                  <c:v>45737</c:v>
                </c:pt>
                <c:pt idx="209">
                  <c:v>45736</c:v>
                </c:pt>
                <c:pt idx="210">
                  <c:v>45735</c:v>
                </c:pt>
                <c:pt idx="211">
                  <c:v>45734</c:v>
                </c:pt>
                <c:pt idx="212">
                  <c:v>45733</c:v>
                </c:pt>
                <c:pt idx="213">
                  <c:v>45732</c:v>
                </c:pt>
                <c:pt idx="214">
                  <c:v>45731</c:v>
                </c:pt>
                <c:pt idx="215">
                  <c:v>45730</c:v>
                </c:pt>
                <c:pt idx="216">
                  <c:v>45729</c:v>
                </c:pt>
                <c:pt idx="217">
                  <c:v>45728</c:v>
                </c:pt>
                <c:pt idx="218">
                  <c:v>45727</c:v>
                </c:pt>
                <c:pt idx="219">
                  <c:v>45726</c:v>
                </c:pt>
                <c:pt idx="220">
                  <c:v>45725</c:v>
                </c:pt>
                <c:pt idx="221">
                  <c:v>45724</c:v>
                </c:pt>
                <c:pt idx="222">
                  <c:v>45723</c:v>
                </c:pt>
                <c:pt idx="223">
                  <c:v>45722</c:v>
                </c:pt>
                <c:pt idx="224">
                  <c:v>45721</c:v>
                </c:pt>
                <c:pt idx="225">
                  <c:v>45720</c:v>
                </c:pt>
                <c:pt idx="226">
                  <c:v>45719</c:v>
                </c:pt>
                <c:pt idx="227">
                  <c:v>45718</c:v>
                </c:pt>
                <c:pt idx="228">
                  <c:v>45717</c:v>
                </c:pt>
                <c:pt idx="229">
                  <c:v>45716</c:v>
                </c:pt>
                <c:pt idx="230">
                  <c:v>45715</c:v>
                </c:pt>
                <c:pt idx="231">
                  <c:v>45714</c:v>
                </c:pt>
                <c:pt idx="232">
                  <c:v>45713</c:v>
                </c:pt>
                <c:pt idx="233">
                  <c:v>45712</c:v>
                </c:pt>
                <c:pt idx="234">
                  <c:v>45711</c:v>
                </c:pt>
                <c:pt idx="235">
                  <c:v>45710</c:v>
                </c:pt>
                <c:pt idx="236">
                  <c:v>45709</c:v>
                </c:pt>
                <c:pt idx="237">
                  <c:v>45708</c:v>
                </c:pt>
                <c:pt idx="238">
                  <c:v>45707</c:v>
                </c:pt>
                <c:pt idx="239">
                  <c:v>45706</c:v>
                </c:pt>
                <c:pt idx="240">
                  <c:v>45705</c:v>
                </c:pt>
                <c:pt idx="241">
                  <c:v>45704</c:v>
                </c:pt>
                <c:pt idx="242">
                  <c:v>45703</c:v>
                </c:pt>
                <c:pt idx="243">
                  <c:v>45702</c:v>
                </c:pt>
                <c:pt idx="244">
                  <c:v>45701</c:v>
                </c:pt>
                <c:pt idx="245">
                  <c:v>45700</c:v>
                </c:pt>
                <c:pt idx="246">
                  <c:v>45699</c:v>
                </c:pt>
                <c:pt idx="247">
                  <c:v>45698</c:v>
                </c:pt>
                <c:pt idx="248">
                  <c:v>45697</c:v>
                </c:pt>
                <c:pt idx="249">
                  <c:v>45696</c:v>
                </c:pt>
                <c:pt idx="250">
                  <c:v>45695</c:v>
                </c:pt>
                <c:pt idx="251">
                  <c:v>45694</c:v>
                </c:pt>
                <c:pt idx="252">
                  <c:v>45693</c:v>
                </c:pt>
                <c:pt idx="253">
                  <c:v>45692</c:v>
                </c:pt>
                <c:pt idx="254">
                  <c:v>45691</c:v>
                </c:pt>
                <c:pt idx="255">
                  <c:v>45690</c:v>
                </c:pt>
                <c:pt idx="256">
                  <c:v>45689</c:v>
                </c:pt>
                <c:pt idx="257">
                  <c:v>45688</c:v>
                </c:pt>
                <c:pt idx="258">
                  <c:v>45687</c:v>
                </c:pt>
                <c:pt idx="259">
                  <c:v>45686</c:v>
                </c:pt>
                <c:pt idx="260">
                  <c:v>45685</c:v>
                </c:pt>
                <c:pt idx="261">
                  <c:v>45684</c:v>
                </c:pt>
                <c:pt idx="262">
                  <c:v>45683</c:v>
                </c:pt>
                <c:pt idx="263">
                  <c:v>45682</c:v>
                </c:pt>
                <c:pt idx="264">
                  <c:v>45681</c:v>
                </c:pt>
                <c:pt idx="265">
                  <c:v>45680</c:v>
                </c:pt>
                <c:pt idx="266">
                  <c:v>45679</c:v>
                </c:pt>
                <c:pt idx="267">
                  <c:v>45678</c:v>
                </c:pt>
                <c:pt idx="268">
                  <c:v>45677</c:v>
                </c:pt>
                <c:pt idx="269">
                  <c:v>45676</c:v>
                </c:pt>
                <c:pt idx="270">
                  <c:v>45675</c:v>
                </c:pt>
                <c:pt idx="271">
                  <c:v>45674</c:v>
                </c:pt>
                <c:pt idx="272">
                  <c:v>45673</c:v>
                </c:pt>
                <c:pt idx="273">
                  <c:v>45672</c:v>
                </c:pt>
                <c:pt idx="274">
                  <c:v>45671</c:v>
                </c:pt>
                <c:pt idx="275">
                  <c:v>45670</c:v>
                </c:pt>
                <c:pt idx="276">
                  <c:v>45669</c:v>
                </c:pt>
                <c:pt idx="277">
                  <c:v>45668</c:v>
                </c:pt>
                <c:pt idx="278">
                  <c:v>45667</c:v>
                </c:pt>
                <c:pt idx="279">
                  <c:v>45666</c:v>
                </c:pt>
                <c:pt idx="280">
                  <c:v>45665</c:v>
                </c:pt>
                <c:pt idx="281">
                  <c:v>45664</c:v>
                </c:pt>
                <c:pt idx="282">
                  <c:v>45663</c:v>
                </c:pt>
                <c:pt idx="283">
                  <c:v>45662</c:v>
                </c:pt>
                <c:pt idx="284">
                  <c:v>45661</c:v>
                </c:pt>
                <c:pt idx="285">
                  <c:v>45660</c:v>
                </c:pt>
                <c:pt idx="286">
                  <c:v>45659</c:v>
                </c:pt>
                <c:pt idx="287">
                  <c:v>45658</c:v>
                </c:pt>
                <c:pt idx="288">
                  <c:v>45657</c:v>
                </c:pt>
                <c:pt idx="289">
                  <c:v>45656</c:v>
                </c:pt>
                <c:pt idx="290">
                  <c:v>45655</c:v>
                </c:pt>
                <c:pt idx="291">
                  <c:v>45654</c:v>
                </c:pt>
                <c:pt idx="292">
                  <c:v>45653</c:v>
                </c:pt>
                <c:pt idx="293">
                  <c:v>45652</c:v>
                </c:pt>
                <c:pt idx="294">
                  <c:v>45651</c:v>
                </c:pt>
                <c:pt idx="295">
                  <c:v>45650</c:v>
                </c:pt>
                <c:pt idx="296">
                  <c:v>45649</c:v>
                </c:pt>
                <c:pt idx="297">
                  <c:v>45648</c:v>
                </c:pt>
                <c:pt idx="298">
                  <c:v>45647</c:v>
                </c:pt>
                <c:pt idx="299">
                  <c:v>45646</c:v>
                </c:pt>
                <c:pt idx="300">
                  <c:v>45645</c:v>
                </c:pt>
                <c:pt idx="301">
                  <c:v>45644</c:v>
                </c:pt>
                <c:pt idx="302">
                  <c:v>45643</c:v>
                </c:pt>
                <c:pt idx="303">
                  <c:v>45642</c:v>
                </c:pt>
                <c:pt idx="304">
                  <c:v>45641</c:v>
                </c:pt>
                <c:pt idx="305">
                  <c:v>45640</c:v>
                </c:pt>
                <c:pt idx="306">
                  <c:v>45639</c:v>
                </c:pt>
                <c:pt idx="307">
                  <c:v>45638</c:v>
                </c:pt>
                <c:pt idx="308">
                  <c:v>45637</c:v>
                </c:pt>
                <c:pt idx="309">
                  <c:v>45636</c:v>
                </c:pt>
                <c:pt idx="310">
                  <c:v>45635</c:v>
                </c:pt>
                <c:pt idx="311">
                  <c:v>45634</c:v>
                </c:pt>
                <c:pt idx="312">
                  <c:v>45633</c:v>
                </c:pt>
                <c:pt idx="313">
                  <c:v>45632</c:v>
                </c:pt>
                <c:pt idx="314">
                  <c:v>45631</c:v>
                </c:pt>
                <c:pt idx="315">
                  <c:v>45630</c:v>
                </c:pt>
                <c:pt idx="316">
                  <c:v>45629</c:v>
                </c:pt>
                <c:pt idx="317">
                  <c:v>45628</c:v>
                </c:pt>
                <c:pt idx="318">
                  <c:v>45627</c:v>
                </c:pt>
                <c:pt idx="319">
                  <c:v>45626</c:v>
                </c:pt>
                <c:pt idx="320">
                  <c:v>45625</c:v>
                </c:pt>
                <c:pt idx="321">
                  <c:v>45624</c:v>
                </c:pt>
                <c:pt idx="322">
                  <c:v>45623</c:v>
                </c:pt>
                <c:pt idx="323">
                  <c:v>45622</c:v>
                </c:pt>
                <c:pt idx="324">
                  <c:v>45621</c:v>
                </c:pt>
                <c:pt idx="325">
                  <c:v>45620</c:v>
                </c:pt>
                <c:pt idx="326">
                  <c:v>45619</c:v>
                </c:pt>
                <c:pt idx="327">
                  <c:v>45618</c:v>
                </c:pt>
                <c:pt idx="328">
                  <c:v>45617</c:v>
                </c:pt>
                <c:pt idx="329">
                  <c:v>45616</c:v>
                </c:pt>
                <c:pt idx="330">
                  <c:v>45615</c:v>
                </c:pt>
                <c:pt idx="331">
                  <c:v>45614</c:v>
                </c:pt>
                <c:pt idx="332">
                  <c:v>45613</c:v>
                </c:pt>
                <c:pt idx="333">
                  <c:v>45612</c:v>
                </c:pt>
                <c:pt idx="334">
                  <c:v>45611</c:v>
                </c:pt>
                <c:pt idx="335">
                  <c:v>45610</c:v>
                </c:pt>
                <c:pt idx="336">
                  <c:v>45609</c:v>
                </c:pt>
                <c:pt idx="337">
                  <c:v>45608</c:v>
                </c:pt>
                <c:pt idx="338">
                  <c:v>45607</c:v>
                </c:pt>
                <c:pt idx="339">
                  <c:v>45606</c:v>
                </c:pt>
                <c:pt idx="340">
                  <c:v>45605</c:v>
                </c:pt>
                <c:pt idx="341">
                  <c:v>45604</c:v>
                </c:pt>
                <c:pt idx="342">
                  <c:v>45603</c:v>
                </c:pt>
                <c:pt idx="343">
                  <c:v>45602</c:v>
                </c:pt>
                <c:pt idx="344">
                  <c:v>45601</c:v>
                </c:pt>
                <c:pt idx="345">
                  <c:v>45600</c:v>
                </c:pt>
                <c:pt idx="346">
                  <c:v>45599</c:v>
                </c:pt>
                <c:pt idx="347">
                  <c:v>45598</c:v>
                </c:pt>
                <c:pt idx="348">
                  <c:v>45597</c:v>
                </c:pt>
                <c:pt idx="349">
                  <c:v>45596</c:v>
                </c:pt>
                <c:pt idx="350">
                  <c:v>45595</c:v>
                </c:pt>
                <c:pt idx="351">
                  <c:v>45594</c:v>
                </c:pt>
                <c:pt idx="352">
                  <c:v>45593</c:v>
                </c:pt>
                <c:pt idx="353">
                  <c:v>45592</c:v>
                </c:pt>
                <c:pt idx="354">
                  <c:v>45591</c:v>
                </c:pt>
                <c:pt idx="355">
                  <c:v>45590</c:v>
                </c:pt>
                <c:pt idx="356">
                  <c:v>45589</c:v>
                </c:pt>
                <c:pt idx="357">
                  <c:v>45588</c:v>
                </c:pt>
                <c:pt idx="358">
                  <c:v>45587</c:v>
                </c:pt>
                <c:pt idx="359">
                  <c:v>45586</c:v>
                </c:pt>
                <c:pt idx="360">
                  <c:v>45585</c:v>
                </c:pt>
                <c:pt idx="361">
                  <c:v>45584</c:v>
                </c:pt>
                <c:pt idx="362">
                  <c:v>45583</c:v>
                </c:pt>
                <c:pt idx="363">
                  <c:v>45582</c:v>
                </c:pt>
                <c:pt idx="364">
                  <c:v>45581</c:v>
                </c:pt>
                <c:pt idx="365">
                  <c:v>45580</c:v>
                </c:pt>
                <c:pt idx="366">
                  <c:v>45579</c:v>
                </c:pt>
                <c:pt idx="367">
                  <c:v>45578</c:v>
                </c:pt>
                <c:pt idx="368">
                  <c:v>45577</c:v>
                </c:pt>
                <c:pt idx="369">
                  <c:v>45576</c:v>
                </c:pt>
                <c:pt idx="370">
                  <c:v>45575</c:v>
                </c:pt>
                <c:pt idx="371">
                  <c:v>45574</c:v>
                </c:pt>
                <c:pt idx="372">
                  <c:v>45573</c:v>
                </c:pt>
                <c:pt idx="373">
                  <c:v>45572</c:v>
                </c:pt>
                <c:pt idx="374">
                  <c:v>45571</c:v>
                </c:pt>
                <c:pt idx="375">
                  <c:v>45570</c:v>
                </c:pt>
                <c:pt idx="376">
                  <c:v>45569</c:v>
                </c:pt>
                <c:pt idx="377">
                  <c:v>45568</c:v>
                </c:pt>
                <c:pt idx="378">
                  <c:v>45567</c:v>
                </c:pt>
                <c:pt idx="379">
                  <c:v>45566</c:v>
                </c:pt>
                <c:pt idx="380">
                  <c:v>45565</c:v>
                </c:pt>
                <c:pt idx="381">
                  <c:v>45564</c:v>
                </c:pt>
                <c:pt idx="382">
                  <c:v>45563</c:v>
                </c:pt>
                <c:pt idx="383">
                  <c:v>45562</c:v>
                </c:pt>
                <c:pt idx="384">
                  <c:v>45561</c:v>
                </c:pt>
                <c:pt idx="385">
                  <c:v>45560</c:v>
                </c:pt>
                <c:pt idx="386">
                  <c:v>45559</c:v>
                </c:pt>
                <c:pt idx="387">
                  <c:v>45558</c:v>
                </c:pt>
                <c:pt idx="388">
                  <c:v>45557</c:v>
                </c:pt>
                <c:pt idx="389">
                  <c:v>45556</c:v>
                </c:pt>
                <c:pt idx="390">
                  <c:v>45555</c:v>
                </c:pt>
                <c:pt idx="391">
                  <c:v>45554</c:v>
                </c:pt>
                <c:pt idx="392">
                  <c:v>45553</c:v>
                </c:pt>
                <c:pt idx="393">
                  <c:v>45552</c:v>
                </c:pt>
                <c:pt idx="394">
                  <c:v>45551</c:v>
                </c:pt>
                <c:pt idx="395">
                  <c:v>45550</c:v>
                </c:pt>
                <c:pt idx="396">
                  <c:v>45549</c:v>
                </c:pt>
                <c:pt idx="397">
                  <c:v>45548</c:v>
                </c:pt>
                <c:pt idx="398">
                  <c:v>45547</c:v>
                </c:pt>
                <c:pt idx="399">
                  <c:v>45546</c:v>
                </c:pt>
                <c:pt idx="400">
                  <c:v>45545</c:v>
                </c:pt>
                <c:pt idx="401">
                  <c:v>45544</c:v>
                </c:pt>
                <c:pt idx="402">
                  <c:v>45543</c:v>
                </c:pt>
                <c:pt idx="403">
                  <c:v>45542</c:v>
                </c:pt>
                <c:pt idx="404">
                  <c:v>45541</c:v>
                </c:pt>
                <c:pt idx="405">
                  <c:v>45540</c:v>
                </c:pt>
                <c:pt idx="406">
                  <c:v>45539</c:v>
                </c:pt>
                <c:pt idx="407">
                  <c:v>45538</c:v>
                </c:pt>
                <c:pt idx="408">
                  <c:v>45537</c:v>
                </c:pt>
                <c:pt idx="409">
                  <c:v>45536</c:v>
                </c:pt>
                <c:pt idx="410">
                  <c:v>45535</c:v>
                </c:pt>
                <c:pt idx="411">
                  <c:v>45534</c:v>
                </c:pt>
                <c:pt idx="412">
                  <c:v>45533</c:v>
                </c:pt>
                <c:pt idx="413">
                  <c:v>45532</c:v>
                </c:pt>
                <c:pt idx="414">
                  <c:v>45531</c:v>
                </c:pt>
                <c:pt idx="415">
                  <c:v>45530</c:v>
                </c:pt>
                <c:pt idx="416">
                  <c:v>45529</c:v>
                </c:pt>
                <c:pt idx="417">
                  <c:v>45528</c:v>
                </c:pt>
                <c:pt idx="418">
                  <c:v>45527</c:v>
                </c:pt>
                <c:pt idx="419">
                  <c:v>45526</c:v>
                </c:pt>
                <c:pt idx="420">
                  <c:v>45525</c:v>
                </c:pt>
                <c:pt idx="421">
                  <c:v>45524</c:v>
                </c:pt>
                <c:pt idx="422">
                  <c:v>45523</c:v>
                </c:pt>
                <c:pt idx="423">
                  <c:v>45522</c:v>
                </c:pt>
                <c:pt idx="424">
                  <c:v>45521</c:v>
                </c:pt>
                <c:pt idx="425">
                  <c:v>45520</c:v>
                </c:pt>
                <c:pt idx="426">
                  <c:v>45519</c:v>
                </c:pt>
                <c:pt idx="427">
                  <c:v>45518</c:v>
                </c:pt>
                <c:pt idx="428">
                  <c:v>45517</c:v>
                </c:pt>
                <c:pt idx="429">
                  <c:v>45516</c:v>
                </c:pt>
                <c:pt idx="430">
                  <c:v>45515</c:v>
                </c:pt>
                <c:pt idx="431">
                  <c:v>45514</c:v>
                </c:pt>
                <c:pt idx="432">
                  <c:v>45513</c:v>
                </c:pt>
                <c:pt idx="433">
                  <c:v>45512</c:v>
                </c:pt>
                <c:pt idx="434">
                  <c:v>45511</c:v>
                </c:pt>
                <c:pt idx="435">
                  <c:v>45510</c:v>
                </c:pt>
                <c:pt idx="436">
                  <c:v>45509</c:v>
                </c:pt>
                <c:pt idx="437">
                  <c:v>45508</c:v>
                </c:pt>
                <c:pt idx="438">
                  <c:v>45507</c:v>
                </c:pt>
                <c:pt idx="439">
                  <c:v>45506</c:v>
                </c:pt>
                <c:pt idx="440">
                  <c:v>45505</c:v>
                </c:pt>
                <c:pt idx="441">
                  <c:v>45504</c:v>
                </c:pt>
                <c:pt idx="442">
                  <c:v>45503</c:v>
                </c:pt>
                <c:pt idx="443">
                  <c:v>45502</c:v>
                </c:pt>
                <c:pt idx="444">
                  <c:v>45501</c:v>
                </c:pt>
                <c:pt idx="445">
                  <c:v>45500</c:v>
                </c:pt>
                <c:pt idx="446">
                  <c:v>45499</c:v>
                </c:pt>
                <c:pt idx="447">
                  <c:v>45498</c:v>
                </c:pt>
                <c:pt idx="448">
                  <c:v>45497</c:v>
                </c:pt>
                <c:pt idx="449">
                  <c:v>45496</c:v>
                </c:pt>
                <c:pt idx="450">
                  <c:v>45495</c:v>
                </c:pt>
                <c:pt idx="451">
                  <c:v>45494</c:v>
                </c:pt>
                <c:pt idx="452">
                  <c:v>45493</c:v>
                </c:pt>
                <c:pt idx="453">
                  <c:v>45492</c:v>
                </c:pt>
                <c:pt idx="454">
                  <c:v>45491</c:v>
                </c:pt>
                <c:pt idx="455">
                  <c:v>45490</c:v>
                </c:pt>
                <c:pt idx="456">
                  <c:v>45489</c:v>
                </c:pt>
                <c:pt idx="457">
                  <c:v>45488</c:v>
                </c:pt>
                <c:pt idx="458">
                  <c:v>45487</c:v>
                </c:pt>
                <c:pt idx="459">
                  <c:v>45486</c:v>
                </c:pt>
                <c:pt idx="460">
                  <c:v>45485</c:v>
                </c:pt>
                <c:pt idx="461">
                  <c:v>45484</c:v>
                </c:pt>
                <c:pt idx="462">
                  <c:v>45483</c:v>
                </c:pt>
                <c:pt idx="463">
                  <c:v>45482</c:v>
                </c:pt>
                <c:pt idx="464">
                  <c:v>45481</c:v>
                </c:pt>
                <c:pt idx="465">
                  <c:v>45480</c:v>
                </c:pt>
                <c:pt idx="466">
                  <c:v>45479</c:v>
                </c:pt>
                <c:pt idx="467">
                  <c:v>45478</c:v>
                </c:pt>
                <c:pt idx="468">
                  <c:v>45477</c:v>
                </c:pt>
                <c:pt idx="469">
                  <c:v>45476</c:v>
                </c:pt>
                <c:pt idx="470">
                  <c:v>45475</c:v>
                </c:pt>
                <c:pt idx="471">
                  <c:v>45474</c:v>
                </c:pt>
                <c:pt idx="472">
                  <c:v>45473</c:v>
                </c:pt>
                <c:pt idx="473">
                  <c:v>45472</c:v>
                </c:pt>
                <c:pt idx="474">
                  <c:v>45471</c:v>
                </c:pt>
                <c:pt idx="475">
                  <c:v>45470</c:v>
                </c:pt>
                <c:pt idx="476">
                  <c:v>45469</c:v>
                </c:pt>
                <c:pt idx="477">
                  <c:v>45468</c:v>
                </c:pt>
                <c:pt idx="478">
                  <c:v>45467</c:v>
                </c:pt>
                <c:pt idx="479">
                  <c:v>45466</c:v>
                </c:pt>
                <c:pt idx="480">
                  <c:v>45465</c:v>
                </c:pt>
                <c:pt idx="481">
                  <c:v>45464</c:v>
                </c:pt>
                <c:pt idx="482">
                  <c:v>45463</c:v>
                </c:pt>
                <c:pt idx="483">
                  <c:v>45462</c:v>
                </c:pt>
                <c:pt idx="484">
                  <c:v>45461</c:v>
                </c:pt>
                <c:pt idx="485">
                  <c:v>45460</c:v>
                </c:pt>
                <c:pt idx="486">
                  <c:v>45459</c:v>
                </c:pt>
                <c:pt idx="487">
                  <c:v>45458</c:v>
                </c:pt>
                <c:pt idx="488">
                  <c:v>45457</c:v>
                </c:pt>
                <c:pt idx="489">
                  <c:v>45456</c:v>
                </c:pt>
                <c:pt idx="490">
                  <c:v>45455</c:v>
                </c:pt>
                <c:pt idx="491">
                  <c:v>45454</c:v>
                </c:pt>
                <c:pt idx="492">
                  <c:v>45453</c:v>
                </c:pt>
                <c:pt idx="493">
                  <c:v>45452</c:v>
                </c:pt>
                <c:pt idx="494">
                  <c:v>45451</c:v>
                </c:pt>
                <c:pt idx="495">
                  <c:v>45450</c:v>
                </c:pt>
                <c:pt idx="496">
                  <c:v>45449</c:v>
                </c:pt>
                <c:pt idx="497">
                  <c:v>45448</c:v>
                </c:pt>
                <c:pt idx="498">
                  <c:v>45447</c:v>
                </c:pt>
                <c:pt idx="499">
                  <c:v>45446</c:v>
                </c:pt>
                <c:pt idx="500">
                  <c:v>45445</c:v>
                </c:pt>
                <c:pt idx="501">
                  <c:v>45444</c:v>
                </c:pt>
                <c:pt idx="502">
                  <c:v>45443</c:v>
                </c:pt>
                <c:pt idx="503">
                  <c:v>45442</c:v>
                </c:pt>
                <c:pt idx="504">
                  <c:v>45441</c:v>
                </c:pt>
                <c:pt idx="505">
                  <c:v>45440</c:v>
                </c:pt>
                <c:pt idx="506">
                  <c:v>45439</c:v>
                </c:pt>
                <c:pt idx="507">
                  <c:v>45438</c:v>
                </c:pt>
                <c:pt idx="508">
                  <c:v>45437</c:v>
                </c:pt>
                <c:pt idx="509">
                  <c:v>45436</c:v>
                </c:pt>
                <c:pt idx="510">
                  <c:v>45435</c:v>
                </c:pt>
                <c:pt idx="511">
                  <c:v>45434</c:v>
                </c:pt>
                <c:pt idx="512">
                  <c:v>45433</c:v>
                </c:pt>
                <c:pt idx="513">
                  <c:v>45432</c:v>
                </c:pt>
                <c:pt idx="514">
                  <c:v>45431</c:v>
                </c:pt>
                <c:pt idx="515">
                  <c:v>45430</c:v>
                </c:pt>
                <c:pt idx="516">
                  <c:v>45429</c:v>
                </c:pt>
                <c:pt idx="517">
                  <c:v>45428</c:v>
                </c:pt>
                <c:pt idx="518">
                  <c:v>45427</c:v>
                </c:pt>
                <c:pt idx="519">
                  <c:v>45426</c:v>
                </c:pt>
                <c:pt idx="520">
                  <c:v>45425</c:v>
                </c:pt>
                <c:pt idx="521">
                  <c:v>45424</c:v>
                </c:pt>
                <c:pt idx="522">
                  <c:v>45423</c:v>
                </c:pt>
                <c:pt idx="523">
                  <c:v>45422</c:v>
                </c:pt>
                <c:pt idx="524">
                  <c:v>45421</c:v>
                </c:pt>
                <c:pt idx="525">
                  <c:v>45420</c:v>
                </c:pt>
                <c:pt idx="526">
                  <c:v>45419</c:v>
                </c:pt>
                <c:pt idx="527">
                  <c:v>45418</c:v>
                </c:pt>
                <c:pt idx="528">
                  <c:v>45417</c:v>
                </c:pt>
                <c:pt idx="529">
                  <c:v>45416</c:v>
                </c:pt>
                <c:pt idx="530">
                  <c:v>45415</c:v>
                </c:pt>
                <c:pt idx="531">
                  <c:v>45414</c:v>
                </c:pt>
                <c:pt idx="532">
                  <c:v>45413</c:v>
                </c:pt>
                <c:pt idx="533">
                  <c:v>45412</c:v>
                </c:pt>
                <c:pt idx="534">
                  <c:v>45411</c:v>
                </c:pt>
                <c:pt idx="535">
                  <c:v>45410</c:v>
                </c:pt>
                <c:pt idx="536">
                  <c:v>45409</c:v>
                </c:pt>
                <c:pt idx="537">
                  <c:v>45408</c:v>
                </c:pt>
                <c:pt idx="538">
                  <c:v>45407</c:v>
                </c:pt>
                <c:pt idx="539">
                  <c:v>45406</c:v>
                </c:pt>
                <c:pt idx="540">
                  <c:v>45405</c:v>
                </c:pt>
                <c:pt idx="541">
                  <c:v>45404</c:v>
                </c:pt>
                <c:pt idx="542">
                  <c:v>45403</c:v>
                </c:pt>
                <c:pt idx="543">
                  <c:v>45402</c:v>
                </c:pt>
                <c:pt idx="544">
                  <c:v>45401</c:v>
                </c:pt>
                <c:pt idx="545">
                  <c:v>45400</c:v>
                </c:pt>
                <c:pt idx="546">
                  <c:v>45399</c:v>
                </c:pt>
                <c:pt idx="547">
                  <c:v>45398</c:v>
                </c:pt>
                <c:pt idx="548">
                  <c:v>45397</c:v>
                </c:pt>
                <c:pt idx="549">
                  <c:v>45396</c:v>
                </c:pt>
                <c:pt idx="550">
                  <c:v>45395</c:v>
                </c:pt>
                <c:pt idx="551">
                  <c:v>45394</c:v>
                </c:pt>
                <c:pt idx="552">
                  <c:v>45393</c:v>
                </c:pt>
                <c:pt idx="553">
                  <c:v>45392</c:v>
                </c:pt>
                <c:pt idx="554">
                  <c:v>45391</c:v>
                </c:pt>
                <c:pt idx="555">
                  <c:v>45390</c:v>
                </c:pt>
                <c:pt idx="556">
                  <c:v>45389</c:v>
                </c:pt>
                <c:pt idx="557">
                  <c:v>45388</c:v>
                </c:pt>
                <c:pt idx="558">
                  <c:v>45387</c:v>
                </c:pt>
                <c:pt idx="559">
                  <c:v>45386</c:v>
                </c:pt>
                <c:pt idx="560">
                  <c:v>45385</c:v>
                </c:pt>
                <c:pt idx="561">
                  <c:v>45384</c:v>
                </c:pt>
                <c:pt idx="562">
                  <c:v>45383</c:v>
                </c:pt>
                <c:pt idx="563">
                  <c:v>45382</c:v>
                </c:pt>
                <c:pt idx="564">
                  <c:v>45381</c:v>
                </c:pt>
                <c:pt idx="565">
                  <c:v>45380</c:v>
                </c:pt>
                <c:pt idx="566">
                  <c:v>45379</c:v>
                </c:pt>
                <c:pt idx="567">
                  <c:v>45378</c:v>
                </c:pt>
                <c:pt idx="568">
                  <c:v>45377</c:v>
                </c:pt>
                <c:pt idx="569">
                  <c:v>45376</c:v>
                </c:pt>
                <c:pt idx="570">
                  <c:v>45375</c:v>
                </c:pt>
                <c:pt idx="571">
                  <c:v>45374</c:v>
                </c:pt>
                <c:pt idx="572">
                  <c:v>45373</c:v>
                </c:pt>
                <c:pt idx="573">
                  <c:v>45372</c:v>
                </c:pt>
                <c:pt idx="574">
                  <c:v>45371</c:v>
                </c:pt>
                <c:pt idx="575">
                  <c:v>45370</c:v>
                </c:pt>
                <c:pt idx="576">
                  <c:v>45369</c:v>
                </c:pt>
                <c:pt idx="577">
                  <c:v>45368</c:v>
                </c:pt>
                <c:pt idx="578">
                  <c:v>45367</c:v>
                </c:pt>
                <c:pt idx="579">
                  <c:v>45366</c:v>
                </c:pt>
                <c:pt idx="580">
                  <c:v>45365</c:v>
                </c:pt>
                <c:pt idx="581">
                  <c:v>45364</c:v>
                </c:pt>
                <c:pt idx="582">
                  <c:v>45363</c:v>
                </c:pt>
                <c:pt idx="583">
                  <c:v>45362</c:v>
                </c:pt>
                <c:pt idx="584">
                  <c:v>45361</c:v>
                </c:pt>
                <c:pt idx="585">
                  <c:v>45360</c:v>
                </c:pt>
                <c:pt idx="586">
                  <c:v>45359</c:v>
                </c:pt>
                <c:pt idx="587">
                  <c:v>45358</c:v>
                </c:pt>
                <c:pt idx="588">
                  <c:v>45357</c:v>
                </c:pt>
                <c:pt idx="589">
                  <c:v>45356</c:v>
                </c:pt>
                <c:pt idx="590">
                  <c:v>45355</c:v>
                </c:pt>
                <c:pt idx="591">
                  <c:v>45354</c:v>
                </c:pt>
                <c:pt idx="592">
                  <c:v>45353</c:v>
                </c:pt>
                <c:pt idx="593">
                  <c:v>45352</c:v>
                </c:pt>
                <c:pt idx="594">
                  <c:v>45351</c:v>
                </c:pt>
                <c:pt idx="595">
                  <c:v>45350</c:v>
                </c:pt>
                <c:pt idx="596">
                  <c:v>45349</c:v>
                </c:pt>
                <c:pt idx="597">
                  <c:v>45348</c:v>
                </c:pt>
                <c:pt idx="598">
                  <c:v>45347</c:v>
                </c:pt>
                <c:pt idx="599">
                  <c:v>45346</c:v>
                </c:pt>
                <c:pt idx="600">
                  <c:v>45345</c:v>
                </c:pt>
                <c:pt idx="601">
                  <c:v>45344</c:v>
                </c:pt>
                <c:pt idx="602">
                  <c:v>45343</c:v>
                </c:pt>
                <c:pt idx="603">
                  <c:v>45342</c:v>
                </c:pt>
                <c:pt idx="604">
                  <c:v>45341</c:v>
                </c:pt>
                <c:pt idx="605">
                  <c:v>45340</c:v>
                </c:pt>
                <c:pt idx="606">
                  <c:v>45339</c:v>
                </c:pt>
                <c:pt idx="607">
                  <c:v>45338</c:v>
                </c:pt>
                <c:pt idx="608">
                  <c:v>45337</c:v>
                </c:pt>
                <c:pt idx="609">
                  <c:v>45336</c:v>
                </c:pt>
                <c:pt idx="610">
                  <c:v>45335</c:v>
                </c:pt>
                <c:pt idx="611">
                  <c:v>45334</c:v>
                </c:pt>
                <c:pt idx="612">
                  <c:v>45333</c:v>
                </c:pt>
                <c:pt idx="613">
                  <c:v>45332</c:v>
                </c:pt>
                <c:pt idx="614">
                  <c:v>45331</c:v>
                </c:pt>
                <c:pt idx="615">
                  <c:v>45330</c:v>
                </c:pt>
                <c:pt idx="616">
                  <c:v>45329</c:v>
                </c:pt>
                <c:pt idx="617">
                  <c:v>45328</c:v>
                </c:pt>
                <c:pt idx="618">
                  <c:v>45327</c:v>
                </c:pt>
                <c:pt idx="619">
                  <c:v>45326</c:v>
                </c:pt>
                <c:pt idx="620">
                  <c:v>45325</c:v>
                </c:pt>
                <c:pt idx="621">
                  <c:v>45324</c:v>
                </c:pt>
                <c:pt idx="622">
                  <c:v>45323</c:v>
                </c:pt>
                <c:pt idx="623">
                  <c:v>45322</c:v>
                </c:pt>
                <c:pt idx="624">
                  <c:v>45321</c:v>
                </c:pt>
                <c:pt idx="625">
                  <c:v>45320</c:v>
                </c:pt>
                <c:pt idx="626">
                  <c:v>45319</c:v>
                </c:pt>
                <c:pt idx="627">
                  <c:v>45318</c:v>
                </c:pt>
                <c:pt idx="628">
                  <c:v>45317</c:v>
                </c:pt>
                <c:pt idx="629">
                  <c:v>45316</c:v>
                </c:pt>
                <c:pt idx="630">
                  <c:v>45315</c:v>
                </c:pt>
                <c:pt idx="631">
                  <c:v>45314</c:v>
                </c:pt>
                <c:pt idx="632">
                  <c:v>45313</c:v>
                </c:pt>
                <c:pt idx="633">
                  <c:v>45312</c:v>
                </c:pt>
                <c:pt idx="634">
                  <c:v>45311</c:v>
                </c:pt>
                <c:pt idx="635">
                  <c:v>45310</c:v>
                </c:pt>
                <c:pt idx="636">
                  <c:v>45309</c:v>
                </c:pt>
                <c:pt idx="637">
                  <c:v>45308</c:v>
                </c:pt>
                <c:pt idx="638">
                  <c:v>45307</c:v>
                </c:pt>
                <c:pt idx="639">
                  <c:v>45306</c:v>
                </c:pt>
                <c:pt idx="640">
                  <c:v>45305</c:v>
                </c:pt>
                <c:pt idx="641">
                  <c:v>45304</c:v>
                </c:pt>
                <c:pt idx="642">
                  <c:v>45303</c:v>
                </c:pt>
                <c:pt idx="643">
                  <c:v>45302</c:v>
                </c:pt>
                <c:pt idx="644">
                  <c:v>45301</c:v>
                </c:pt>
                <c:pt idx="645">
                  <c:v>45300</c:v>
                </c:pt>
                <c:pt idx="646">
                  <c:v>45299</c:v>
                </c:pt>
                <c:pt idx="647">
                  <c:v>45298</c:v>
                </c:pt>
                <c:pt idx="648">
                  <c:v>45297</c:v>
                </c:pt>
                <c:pt idx="649">
                  <c:v>45296</c:v>
                </c:pt>
                <c:pt idx="650">
                  <c:v>45295</c:v>
                </c:pt>
                <c:pt idx="651">
                  <c:v>45294</c:v>
                </c:pt>
                <c:pt idx="652">
                  <c:v>45293</c:v>
                </c:pt>
                <c:pt idx="653">
                  <c:v>45292</c:v>
                </c:pt>
                <c:pt idx="654">
                  <c:v>45291</c:v>
                </c:pt>
                <c:pt idx="655">
                  <c:v>45290</c:v>
                </c:pt>
                <c:pt idx="656">
                  <c:v>45289</c:v>
                </c:pt>
                <c:pt idx="657">
                  <c:v>45288</c:v>
                </c:pt>
                <c:pt idx="658">
                  <c:v>45287</c:v>
                </c:pt>
                <c:pt idx="659">
                  <c:v>45286</c:v>
                </c:pt>
                <c:pt idx="660">
                  <c:v>45285</c:v>
                </c:pt>
                <c:pt idx="661">
                  <c:v>45284</c:v>
                </c:pt>
                <c:pt idx="662">
                  <c:v>45283</c:v>
                </c:pt>
                <c:pt idx="663">
                  <c:v>45282</c:v>
                </c:pt>
                <c:pt idx="664">
                  <c:v>45281</c:v>
                </c:pt>
                <c:pt idx="665">
                  <c:v>45280</c:v>
                </c:pt>
                <c:pt idx="666">
                  <c:v>45279</c:v>
                </c:pt>
                <c:pt idx="667">
                  <c:v>45278</c:v>
                </c:pt>
                <c:pt idx="668">
                  <c:v>45277</c:v>
                </c:pt>
                <c:pt idx="669">
                  <c:v>45276</c:v>
                </c:pt>
                <c:pt idx="670">
                  <c:v>45275</c:v>
                </c:pt>
                <c:pt idx="671">
                  <c:v>45274</c:v>
                </c:pt>
                <c:pt idx="672">
                  <c:v>45273</c:v>
                </c:pt>
                <c:pt idx="673">
                  <c:v>45272</c:v>
                </c:pt>
                <c:pt idx="674">
                  <c:v>45271</c:v>
                </c:pt>
                <c:pt idx="675">
                  <c:v>45270</c:v>
                </c:pt>
                <c:pt idx="676">
                  <c:v>45269</c:v>
                </c:pt>
                <c:pt idx="677">
                  <c:v>45268</c:v>
                </c:pt>
                <c:pt idx="678">
                  <c:v>45267</c:v>
                </c:pt>
                <c:pt idx="679">
                  <c:v>45266</c:v>
                </c:pt>
                <c:pt idx="680">
                  <c:v>45265</c:v>
                </c:pt>
                <c:pt idx="681">
                  <c:v>45264</c:v>
                </c:pt>
                <c:pt idx="682">
                  <c:v>45263</c:v>
                </c:pt>
                <c:pt idx="683">
                  <c:v>45262</c:v>
                </c:pt>
                <c:pt idx="684">
                  <c:v>45261</c:v>
                </c:pt>
                <c:pt idx="685">
                  <c:v>45260</c:v>
                </c:pt>
                <c:pt idx="686">
                  <c:v>45259</c:v>
                </c:pt>
                <c:pt idx="687">
                  <c:v>45258</c:v>
                </c:pt>
                <c:pt idx="688">
                  <c:v>45257</c:v>
                </c:pt>
                <c:pt idx="689">
                  <c:v>45256</c:v>
                </c:pt>
                <c:pt idx="690">
                  <c:v>45255</c:v>
                </c:pt>
                <c:pt idx="691">
                  <c:v>45254</c:v>
                </c:pt>
                <c:pt idx="692">
                  <c:v>45253</c:v>
                </c:pt>
                <c:pt idx="693">
                  <c:v>45252</c:v>
                </c:pt>
                <c:pt idx="694">
                  <c:v>45251</c:v>
                </c:pt>
                <c:pt idx="695">
                  <c:v>45250</c:v>
                </c:pt>
                <c:pt idx="696">
                  <c:v>45249</c:v>
                </c:pt>
                <c:pt idx="697">
                  <c:v>45248</c:v>
                </c:pt>
                <c:pt idx="698">
                  <c:v>45247</c:v>
                </c:pt>
                <c:pt idx="699">
                  <c:v>45246</c:v>
                </c:pt>
                <c:pt idx="700">
                  <c:v>45245</c:v>
                </c:pt>
                <c:pt idx="701">
                  <c:v>45244</c:v>
                </c:pt>
                <c:pt idx="702">
                  <c:v>45243</c:v>
                </c:pt>
                <c:pt idx="703">
                  <c:v>45242</c:v>
                </c:pt>
                <c:pt idx="704">
                  <c:v>45241</c:v>
                </c:pt>
                <c:pt idx="705">
                  <c:v>45240</c:v>
                </c:pt>
                <c:pt idx="706">
                  <c:v>45239</c:v>
                </c:pt>
                <c:pt idx="707">
                  <c:v>45238</c:v>
                </c:pt>
                <c:pt idx="708">
                  <c:v>45237</c:v>
                </c:pt>
                <c:pt idx="709">
                  <c:v>45236</c:v>
                </c:pt>
                <c:pt idx="710">
                  <c:v>45235</c:v>
                </c:pt>
                <c:pt idx="711">
                  <c:v>45234</c:v>
                </c:pt>
                <c:pt idx="712">
                  <c:v>45233</c:v>
                </c:pt>
                <c:pt idx="713">
                  <c:v>45232</c:v>
                </c:pt>
                <c:pt idx="714">
                  <c:v>45231</c:v>
                </c:pt>
                <c:pt idx="715">
                  <c:v>45230</c:v>
                </c:pt>
                <c:pt idx="716">
                  <c:v>45229</c:v>
                </c:pt>
                <c:pt idx="717">
                  <c:v>45228</c:v>
                </c:pt>
                <c:pt idx="718">
                  <c:v>45227</c:v>
                </c:pt>
                <c:pt idx="719">
                  <c:v>45226</c:v>
                </c:pt>
                <c:pt idx="720">
                  <c:v>45225</c:v>
                </c:pt>
                <c:pt idx="721">
                  <c:v>45224</c:v>
                </c:pt>
                <c:pt idx="722">
                  <c:v>45223</c:v>
                </c:pt>
                <c:pt idx="723">
                  <c:v>45222</c:v>
                </c:pt>
                <c:pt idx="724">
                  <c:v>45221</c:v>
                </c:pt>
                <c:pt idx="725">
                  <c:v>45220</c:v>
                </c:pt>
                <c:pt idx="726">
                  <c:v>45219</c:v>
                </c:pt>
                <c:pt idx="727">
                  <c:v>45218</c:v>
                </c:pt>
                <c:pt idx="728">
                  <c:v>45217</c:v>
                </c:pt>
                <c:pt idx="729">
                  <c:v>45216</c:v>
                </c:pt>
                <c:pt idx="730">
                  <c:v>45215</c:v>
                </c:pt>
                <c:pt idx="731">
                  <c:v>45214</c:v>
                </c:pt>
                <c:pt idx="732">
                  <c:v>45213</c:v>
                </c:pt>
                <c:pt idx="733">
                  <c:v>45212</c:v>
                </c:pt>
                <c:pt idx="734">
                  <c:v>45211</c:v>
                </c:pt>
                <c:pt idx="735">
                  <c:v>45210</c:v>
                </c:pt>
                <c:pt idx="736">
                  <c:v>45209</c:v>
                </c:pt>
                <c:pt idx="737">
                  <c:v>45208</c:v>
                </c:pt>
                <c:pt idx="738">
                  <c:v>45207</c:v>
                </c:pt>
                <c:pt idx="739">
                  <c:v>45206</c:v>
                </c:pt>
                <c:pt idx="740">
                  <c:v>45205</c:v>
                </c:pt>
                <c:pt idx="741">
                  <c:v>45204</c:v>
                </c:pt>
                <c:pt idx="742">
                  <c:v>45203</c:v>
                </c:pt>
                <c:pt idx="743">
                  <c:v>45202</c:v>
                </c:pt>
                <c:pt idx="744">
                  <c:v>45201</c:v>
                </c:pt>
                <c:pt idx="745">
                  <c:v>45200</c:v>
                </c:pt>
                <c:pt idx="746">
                  <c:v>45199</c:v>
                </c:pt>
                <c:pt idx="747">
                  <c:v>45198</c:v>
                </c:pt>
                <c:pt idx="748">
                  <c:v>45197</c:v>
                </c:pt>
                <c:pt idx="749">
                  <c:v>45196</c:v>
                </c:pt>
                <c:pt idx="750">
                  <c:v>45195</c:v>
                </c:pt>
                <c:pt idx="751">
                  <c:v>45194</c:v>
                </c:pt>
                <c:pt idx="752">
                  <c:v>45193</c:v>
                </c:pt>
                <c:pt idx="753">
                  <c:v>45192</c:v>
                </c:pt>
                <c:pt idx="754">
                  <c:v>45191</c:v>
                </c:pt>
                <c:pt idx="755">
                  <c:v>45190</c:v>
                </c:pt>
                <c:pt idx="756">
                  <c:v>45189</c:v>
                </c:pt>
                <c:pt idx="757">
                  <c:v>45188</c:v>
                </c:pt>
                <c:pt idx="758">
                  <c:v>45187</c:v>
                </c:pt>
                <c:pt idx="759">
                  <c:v>45186</c:v>
                </c:pt>
                <c:pt idx="760">
                  <c:v>45185</c:v>
                </c:pt>
                <c:pt idx="761">
                  <c:v>45184</c:v>
                </c:pt>
                <c:pt idx="762">
                  <c:v>45183</c:v>
                </c:pt>
                <c:pt idx="763">
                  <c:v>45182</c:v>
                </c:pt>
                <c:pt idx="764">
                  <c:v>45181</c:v>
                </c:pt>
                <c:pt idx="765">
                  <c:v>45180</c:v>
                </c:pt>
                <c:pt idx="766">
                  <c:v>45179</c:v>
                </c:pt>
                <c:pt idx="767">
                  <c:v>45178</c:v>
                </c:pt>
                <c:pt idx="768">
                  <c:v>45177</c:v>
                </c:pt>
                <c:pt idx="769">
                  <c:v>45176</c:v>
                </c:pt>
                <c:pt idx="770">
                  <c:v>45175</c:v>
                </c:pt>
                <c:pt idx="771">
                  <c:v>45174</c:v>
                </c:pt>
                <c:pt idx="772">
                  <c:v>45173</c:v>
                </c:pt>
                <c:pt idx="773">
                  <c:v>45172</c:v>
                </c:pt>
                <c:pt idx="774">
                  <c:v>45171</c:v>
                </c:pt>
                <c:pt idx="775">
                  <c:v>45170</c:v>
                </c:pt>
                <c:pt idx="776">
                  <c:v>45169</c:v>
                </c:pt>
                <c:pt idx="777">
                  <c:v>45168</c:v>
                </c:pt>
                <c:pt idx="778">
                  <c:v>45167</c:v>
                </c:pt>
                <c:pt idx="779">
                  <c:v>45166</c:v>
                </c:pt>
                <c:pt idx="780">
                  <c:v>45165</c:v>
                </c:pt>
                <c:pt idx="781">
                  <c:v>45164</c:v>
                </c:pt>
                <c:pt idx="782">
                  <c:v>45163</c:v>
                </c:pt>
                <c:pt idx="783">
                  <c:v>45162</c:v>
                </c:pt>
                <c:pt idx="784">
                  <c:v>45161</c:v>
                </c:pt>
                <c:pt idx="785">
                  <c:v>45160</c:v>
                </c:pt>
                <c:pt idx="786">
                  <c:v>45159</c:v>
                </c:pt>
                <c:pt idx="787">
                  <c:v>45158</c:v>
                </c:pt>
                <c:pt idx="788">
                  <c:v>45157</c:v>
                </c:pt>
                <c:pt idx="789">
                  <c:v>45156</c:v>
                </c:pt>
                <c:pt idx="790">
                  <c:v>45155</c:v>
                </c:pt>
                <c:pt idx="791">
                  <c:v>45154</c:v>
                </c:pt>
                <c:pt idx="792">
                  <c:v>45153</c:v>
                </c:pt>
                <c:pt idx="793">
                  <c:v>45152</c:v>
                </c:pt>
                <c:pt idx="794">
                  <c:v>45151</c:v>
                </c:pt>
                <c:pt idx="795">
                  <c:v>45150</c:v>
                </c:pt>
                <c:pt idx="796">
                  <c:v>45149</c:v>
                </c:pt>
                <c:pt idx="797">
                  <c:v>45148</c:v>
                </c:pt>
                <c:pt idx="798">
                  <c:v>45147</c:v>
                </c:pt>
                <c:pt idx="799">
                  <c:v>45146</c:v>
                </c:pt>
                <c:pt idx="800">
                  <c:v>45145</c:v>
                </c:pt>
                <c:pt idx="801">
                  <c:v>45144</c:v>
                </c:pt>
                <c:pt idx="802">
                  <c:v>45143</c:v>
                </c:pt>
                <c:pt idx="803">
                  <c:v>45142</c:v>
                </c:pt>
                <c:pt idx="804">
                  <c:v>45141</c:v>
                </c:pt>
                <c:pt idx="805">
                  <c:v>45140</c:v>
                </c:pt>
                <c:pt idx="806">
                  <c:v>45139</c:v>
                </c:pt>
                <c:pt idx="807">
                  <c:v>45138</c:v>
                </c:pt>
                <c:pt idx="808">
                  <c:v>45137</c:v>
                </c:pt>
                <c:pt idx="809">
                  <c:v>45136</c:v>
                </c:pt>
                <c:pt idx="810">
                  <c:v>45135</c:v>
                </c:pt>
                <c:pt idx="811">
                  <c:v>45134</c:v>
                </c:pt>
                <c:pt idx="812">
                  <c:v>45133</c:v>
                </c:pt>
                <c:pt idx="813">
                  <c:v>45132</c:v>
                </c:pt>
                <c:pt idx="814">
                  <c:v>45131</c:v>
                </c:pt>
                <c:pt idx="815">
                  <c:v>45130</c:v>
                </c:pt>
                <c:pt idx="816">
                  <c:v>45129</c:v>
                </c:pt>
                <c:pt idx="817">
                  <c:v>45128</c:v>
                </c:pt>
                <c:pt idx="818">
                  <c:v>45127</c:v>
                </c:pt>
                <c:pt idx="819">
                  <c:v>45126</c:v>
                </c:pt>
                <c:pt idx="820">
                  <c:v>45125</c:v>
                </c:pt>
                <c:pt idx="821">
                  <c:v>45124</c:v>
                </c:pt>
                <c:pt idx="822">
                  <c:v>45123</c:v>
                </c:pt>
                <c:pt idx="823">
                  <c:v>45122</c:v>
                </c:pt>
                <c:pt idx="824">
                  <c:v>45121</c:v>
                </c:pt>
                <c:pt idx="825">
                  <c:v>45120</c:v>
                </c:pt>
                <c:pt idx="826">
                  <c:v>45119</c:v>
                </c:pt>
                <c:pt idx="827">
                  <c:v>45118</c:v>
                </c:pt>
                <c:pt idx="828">
                  <c:v>45117</c:v>
                </c:pt>
                <c:pt idx="829">
                  <c:v>45116</c:v>
                </c:pt>
                <c:pt idx="830">
                  <c:v>45115</c:v>
                </c:pt>
                <c:pt idx="831">
                  <c:v>45114</c:v>
                </c:pt>
                <c:pt idx="832">
                  <c:v>45113</c:v>
                </c:pt>
                <c:pt idx="833">
                  <c:v>45112</c:v>
                </c:pt>
                <c:pt idx="834">
                  <c:v>45111</c:v>
                </c:pt>
                <c:pt idx="835">
                  <c:v>45110</c:v>
                </c:pt>
                <c:pt idx="836">
                  <c:v>45109</c:v>
                </c:pt>
                <c:pt idx="837">
                  <c:v>45108</c:v>
                </c:pt>
                <c:pt idx="838">
                  <c:v>45107</c:v>
                </c:pt>
                <c:pt idx="839">
                  <c:v>45106</c:v>
                </c:pt>
                <c:pt idx="840">
                  <c:v>45105</c:v>
                </c:pt>
                <c:pt idx="841">
                  <c:v>45104</c:v>
                </c:pt>
                <c:pt idx="842">
                  <c:v>45103</c:v>
                </c:pt>
                <c:pt idx="843">
                  <c:v>45102</c:v>
                </c:pt>
                <c:pt idx="844">
                  <c:v>45101</c:v>
                </c:pt>
                <c:pt idx="845">
                  <c:v>45100</c:v>
                </c:pt>
                <c:pt idx="846">
                  <c:v>45099</c:v>
                </c:pt>
                <c:pt idx="847">
                  <c:v>45098</c:v>
                </c:pt>
                <c:pt idx="848">
                  <c:v>45097</c:v>
                </c:pt>
                <c:pt idx="849">
                  <c:v>45096</c:v>
                </c:pt>
                <c:pt idx="850">
                  <c:v>45095</c:v>
                </c:pt>
                <c:pt idx="851">
                  <c:v>45094</c:v>
                </c:pt>
                <c:pt idx="852">
                  <c:v>45093</c:v>
                </c:pt>
                <c:pt idx="853">
                  <c:v>45092</c:v>
                </c:pt>
                <c:pt idx="854">
                  <c:v>45091</c:v>
                </c:pt>
                <c:pt idx="855">
                  <c:v>45090</c:v>
                </c:pt>
                <c:pt idx="856">
                  <c:v>45089</c:v>
                </c:pt>
                <c:pt idx="857">
                  <c:v>45088</c:v>
                </c:pt>
                <c:pt idx="858">
                  <c:v>45087</c:v>
                </c:pt>
                <c:pt idx="859">
                  <c:v>45086</c:v>
                </c:pt>
                <c:pt idx="860">
                  <c:v>45085</c:v>
                </c:pt>
                <c:pt idx="861">
                  <c:v>45084</c:v>
                </c:pt>
                <c:pt idx="862">
                  <c:v>45083</c:v>
                </c:pt>
                <c:pt idx="863">
                  <c:v>45082</c:v>
                </c:pt>
                <c:pt idx="864">
                  <c:v>45081</c:v>
                </c:pt>
                <c:pt idx="865">
                  <c:v>45080</c:v>
                </c:pt>
                <c:pt idx="866">
                  <c:v>45079</c:v>
                </c:pt>
                <c:pt idx="867">
                  <c:v>45078</c:v>
                </c:pt>
                <c:pt idx="868">
                  <c:v>45077</c:v>
                </c:pt>
                <c:pt idx="869">
                  <c:v>45076</c:v>
                </c:pt>
                <c:pt idx="870">
                  <c:v>45075</c:v>
                </c:pt>
                <c:pt idx="871">
                  <c:v>45074</c:v>
                </c:pt>
                <c:pt idx="872">
                  <c:v>45073</c:v>
                </c:pt>
                <c:pt idx="873">
                  <c:v>45072</c:v>
                </c:pt>
                <c:pt idx="874">
                  <c:v>45071</c:v>
                </c:pt>
                <c:pt idx="875">
                  <c:v>45070</c:v>
                </c:pt>
                <c:pt idx="876">
                  <c:v>45069</c:v>
                </c:pt>
                <c:pt idx="877">
                  <c:v>45068</c:v>
                </c:pt>
                <c:pt idx="878">
                  <c:v>45067</c:v>
                </c:pt>
                <c:pt idx="879">
                  <c:v>45066</c:v>
                </c:pt>
                <c:pt idx="880">
                  <c:v>45065</c:v>
                </c:pt>
                <c:pt idx="881">
                  <c:v>45064</c:v>
                </c:pt>
                <c:pt idx="882">
                  <c:v>45063</c:v>
                </c:pt>
                <c:pt idx="883">
                  <c:v>45062</c:v>
                </c:pt>
                <c:pt idx="884">
                  <c:v>45061</c:v>
                </c:pt>
                <c:pt idx="885">
                  <c:v>45060</c:v>
                </c:pt>
                <c:pt idx="886">
                  <c:v>45059</c:v>
                </c:pt>
                <c:pt idx="887">
                  <c:v>45058</c:v>
                </c:pt>
                <c:pt idx="888">
                  <c:v>45057</c:v>
                </c:pt>
                <c:pt idx="889">
                  <c:v>45056</c:v>
                </c:pt>
                <c:pt idx="890">
                  <c:v>45055</c:v>
                </c:pt>
                <c:pt idx="891">
                  <c:v>45054</c:v>
                </c:pt>
                <c:pt idx="892">
                  <c:v>45053</c:v>
                </c:pt>
                <c:pt idx="893">
                  <c:v>45052</c:v>
                </c:pt>
                <c:pt idx="894">
                  <c:v>45051</c:v>
                </c:pt>
                <c:pt idx="895">
                  <c:v>45050</c:v>
                </c:pt>
                <c:pt idx="896">
                  <c:v>45049</c:v>
                </c:pt>
                <c:pt idx="897">
                  <c:v>45048</c:v>
                </c:pt>
                <c:pt idx="898">
                  <c:v>45047</c:v>
                </c:pt>
                <c:pt idx="899">
                  <c:v>45046</c:v>
                </c:pt>
                <c:pt idx="900">
                  <c:v>45045</c:v>
                </c:pt>
                <c:pt idx="901">
                  <c:v>45044</c:v>
                </c:pt>
                <c:pt idx="902">
                  <c:v>45043</c:v>
                </c:pt>
                <c:pt idx="903">
                  <c:v>45042</c:v>
                </c:pt>
                <c:pt idx="904">
                  <c:v>45041</c:v>
                </c:pt>
                <c:pt idx="905">
                  <c:v>45040</c:v>
                </c:pt>
                <c:pt idx="906">
                  <c:v>45039</c:v>
                </c:pt>
                <c:pt idx="907">
                  <c:v>45038</c:v>
                </c:pt>
                <c:pt idx="908">
                  <c:v>45037</c:v>
                </c:pt>
                <c:pt idx="909">
                  <c:v>45036</c:v>
                </c:pt>
                <c:pt idx="910">
                  <c:v>45035</c:v>
                </c:pt>
                <c:pt idx="911">
                  <c:v>45034</c:v>
                </c:pt>
                <c:pt idx="912">
                  <c:v>45033</c:v>
                </c:pt>
                <c:pt idx="913">
                  <c:v>45032</c:v>
                </c:pt>
                <c:pt idx="914">
                  <c:v>45031</c:v>
                </c:pt>
                <c:pt idx="915">
                  <c:v>45030</c:v>
                </c:pt>
                <c:pt idx="916">
                  <c:v>45029</c:v>
                </c:pt>
                <c:pt idx="917">
                  <c:v>45028</c:v>
                </c:pt>
                <c:pt idx="918">
                  <c:v>45027</c:v>
                </c:pt>
                <c:pt idx="919">
                  <c:v>45026</c:v>
                </c:pt>
                <c:pt idx="920">
                  <c:v>45025</c:v>
                </c:pt>
                <c:pt idx="921">
                  <c:v>45024</c:v>
                </c:pt>
                <c:pt idx="922">
                  <c:v>45023</c:v>
                </c:pt>
                <c:pt idx="923">
                  <c:v>45022</c:v>
                </c:pt>
                <c:pt idx="924">
                  <c:v>45021</c:v>
                </c:pt>
                <c:pt idx="925">
                  <c:v>45020</c:v>
                </c:pt>
                <c:pt idx="926">
                  <c:v>45019</c:v>
                </c:pt>
                <c:pt idx="927">
                  <c:v>45018</c:v>
                </c:pt>
                <c:pt idx="928">
                  <c:v>45017</c:v>
                </c:pt>
                <c:pt idx="929">
                  <c:v>45016</c:v>
                </c:pt>
                <c:pt idx="930">
                  <c:v>45015</c:v>
                </c:pt>
                <c:pt idx="931">
                  <c:v>45014</c:v>
                </c:pt>
                <c:pt idx="932">
                  <c:v>45013</c:v>
                </c:pt>
                <c:pt idx="933">
                  <c:v>45012</c:v>
                </c:pt>
                <c:pt idx="934">
                  <c:v>45011</c:v>
                </c:pt>
                <c:pt idx="935">
                  <c:v>45010</c:v>
                </c:pt>
                <c:pt idx="936">
                  <c:v>45009</c:v>
                </c:pt>
                <c:pt idx="937">
                  <c:v>45008</c:v>
                </c:pt>
                <c:pt idx="938">
                  <c:v>45007</c:v>
                </c:pt>
                <c:pt idx="939">
                  <c:v>45006</c:v>
                </c:pt>
                <c:pt idx="940">
                  <c:v>45005</c:v>
                </c:pt>
                <c:pt idx="941">
                  <c:v>45004</c:v>
                </c:pt>
                <c:pt idx="942">
                  <c:v>45003</c:v>
                </c:pt>
                <c:pt idx="943">
                  <c:v>45002</c:v>
                </c:pt>
                <c:pt idx="944">
                  <c:v>45001</c:v>
                </c:pt>
                <c:pt idx="945">
                  <c:v>45000</c:v>
                </c:pt>
                <c:pt idx="946">
                  <c:v>44999</c:v>
                </c:pt>
                <c:pt idx="947">
                  <c:v>44998</c:v>
                </c:pt>
                <c:pt idx="948">
                  <c:v>44997</c:v>
                </c:pt>
                <c:pt idx="949">
                  <c:v>44996</c:v>
                </c:pt>
                <c:pt idx="950">
                  <c:v>44995</c:v>
                </c:pt>
                <c:pt idx="951">
                  <c:v>44994</c:v>
                </c:pt>
                <c:pt idx="952">
                  <c:v>44993</c:v>
                </c:pt>
                <c:pt idx="953">
                  <c:v>44992</c:v>
                </c:pt>
                <c:pt idx="954">
                  <c:v>44991</c:v>
                </c:pt>
                <c:pt idx="955">
                  <c:v>44990</c:v>
                </c:pt>
                <c:pt idx="956">
                  <c:v>44989</c:v>
                </c:pt>
                <c:pt idx="957">
                  <c:v>44988</c:v>
                </c:pt>
                <c:pt idx="958">
                  <c:v>44987</c:v>
                </c:pt>
                <c:pt idx="959">
                  <c:v>44986</c:v>
                </c:pt>
                <c:pt idx="960">
                  <c:v>44985</c:v>
                </c:pt>
                <c:pt idx="961">
                  <c:v>44984</c:v>
                </c:pt>
                <c:pt idx="962">
                  <c:v>44983</c:v>
                </c:pt>
                <c:pt idx="963">
                  <c:v>44982</c:v>
                </c:pt>
                <c:pt idx="964">
                  <c:v>44981</c:v>
                </c:pt>
                <c:pt idx="965">
                  <c:v>44980</c:v>
                </c:pt>
                <c:pt idx="966">
                  <c:v>44979</c:v>
                </c:pt>
                <c:pt idx="967">
                  <c:v>44978</c:v>
                </c:pt>
                <c:pt idx="968">
                  <c:v>44977</c:v>
                </c:pt>
                <c:pt idx="969">
                  <c:v>44976</c:v>
                </c:pt>
                <c:pt idx="970">
                  <c:v>44975</c:v>
                </c:pt>
                <c:pt idx="971">
                  <c:v>44974</c:v>
                </c:pt>
                <c:pt idx="972">
                  <c:v>44973</c:v>
                </c:pt>
                <c:pt idx="973">
                  <c:v>44972</c:v>
                </c:pt>
                <c:pt idx="974">
                  <c:v>44971</c:v>
                </c:pt>
                <c:pt idx="975">
                  <c:v>44970</c:v>
                </c:pt>
                <c:pt idx="976">
                  <c:v>44969</c:v>
                </c:pt>
                <c:pt idx="977">
                  <c:v>44968</c:v>
                </c:pt>
                <c:pt idx="978">
                  <c:v>44967</c:v>
                </c:pt>
                <c:pt idx="979">
                  <c:v>44966</c:v>
                </c:pt>
                <c:pt idx="980">
                  <c:v>44965</c:v>
                </c:pt>
                <c:pt idx="981">
                  <c:v>44964</c:v>
                </c:pt>
                <c:pt idx="982">
                  <c:v>44963</c:v>
                </c:pt>
                <c:pt idx="983">
                  <c:v>44962</c:v>
                </c:pt>
                <c:pt idx="984">
                  <c:v>44961</c:v>
                </c:pt>
                <c:pt idx="985">
                  <c:v>44960</c:v>
                </c:pt>
                <c:pt idx="986">
                  <c:v>44959</c:v>
                </c:pt>
                <c:pt idx="987">
                  <c:v>44958</c:v>
                </c:pt>
                <c:pt idx="988">
                  <c:v>44957</c:v>
                </c:pt>
                <c:pt idx="989">
                  <c:v>44956</c:v>
                </c:pt>
                <c:pt idx="990">
                  <c:v>44955</c:v>
                </c:pt>
                <c:pt idx="991">
                  <c:v>44954</c:v>
                </c:pt>
                <c:pt idx="992">
                  <c:v>44953</c:v>
                </c:pt>
                <c:pt idx="993">
                  <c:v>44952</c:v>
                </c:pt>
                <c:pt idx="994">
                  <c:v>44951</c:v>
                </c:pt>
                <c:pt idx="995">
                  <c:v>44950</c:v>
                </c:pt>
                <c:pt idx="996">
                  <c:v>44949</c:v>
                </c:pt>
                <c:pt idx="997">
                  <c:v>44948</c:v>
                </c:pt>
                <c:pt idx="998">
                  <c:v>44947</c:v>
                </c:pt>
                <c:pt idx="999">
                  <c:v>44946</c:v>
                </c:pt>
                <c:pt idx="1000">
                  <c:v>44945</c:v>
                </c:pt>
                <c:pt idx="1001">
                  <c:v>44944</c:v>
                </c:pt>
                <c:pt idx="1002">
                  <c:v>44943</c:v>
                </c:pt>
                <c:pt idx="1003">
                  <c:v>44942</c:v>
                </c:pt>
                <c:pt idx="1004">
                  <c:v>44941</c:v>
                </c:pt>
                <c:pt idx="1005">
                  <c:v>44940</c:v>
                </c:pt>
                <c:pt idx="1006">
                  <c:v>44939</c:v>
                </c:pt>
                <c:pt idx="1007">
                  <c:v>44938</c:v>
                </c:pt>
                <c:pt idx="1008">
                  <c:v>44937</c:v>
                </c:pt>
                <c:pt idx="1009">
                  <c:v>44936</c:v>
                </c:pt>
                <c:pt idx="1010">
                  <c:v>44935</c:v>
                </c:pt>
                <c:pt idx="1011">
                  <c:v>44934</c:v>
                </c:pt>
                <c:pt idx="1012">
                  <c:v>44933</c:v>
                </c:pt>
                <c:pt idx="1013">
                  <c:v>44932</c:v>
                </c:pt>
                <c:pt idx="1014">
                  <c:v>44931</c:v>
                </c:pt>
                <c:pt idx="1015">
                  <c:v>44930</c:v>
                </c:pt>
                <c:pt idx="1016">
                  <c:v>44929</c:v>
                </c:pt>
                <c:pt idx="1017">
                  <c:v>44928</c:v>
                </c:pt>
                <c:pt idx="1018">
                  <c:v>44927</c:v>
                </c:pt>
                <c:pt idx="1019">
                  <c:v>44926</c:v>
                </c:pt>
                <c:pt idx="1020">
                  <c:v>44925</c:v>
                </c:pt>
                <c:pt idx="1021">
                  <c:v>44924</c:v>
                </c:pt>
                <c:pt idx="1022">
                  <c:v>44923</c:v>
                </c:pt>
                <c:pt idx="1023">
                  <c:v>44922</c:v>
                </c:pt>
                <c:pt idx="1024">
                  <c:v>44921</c:v>
                </c:pt>
                <c:pt idx="1025">
                  <c:v>44920</c:v>
                </c:pt>
                <c:pt idx="1026">
                  <c:v>44919</c:v>
                </c:pt>
                <c:pt idx="1027">
                  <c:v>44918</c:v>
                </c:pt>
                <c:pt idx="1028">
                  <c:v>44917</c:v>
                </c:pt>
                <c:pt idx="1029">
                  <c:v>44916</c:v>
                </c:pt>
                <c:pt idx="1030">
                  <c:v>44915</c:v>
                </c:pt>
                <c:pt idx="1031">
                  <c:v>44914</c:v>
                </c:pt>
                <c:pt idx="1032">
                  <c:v>44913</c:v>
                </c:pt>
                <c:pt idx="1033">
                  <c:v>44912</c:v>
                </c:pt>
                <c:pt idx="1034">
                  <c:v>44911</c:v>
                </c:pt>
                <c:pt idx="1035">
                  <c:v>44910</c:v>
                </c:pt>
                <c:pt idx="1036">
                  <c:v>44909</c:v>
                </c:pt>
                <c:pt idx="1037">
                  <c:v>44908</c:v>
                </c:pt>
                <c:pt idx="1038">
                  <c:v>44907</c:v>
                </c:pt>
                <c:pt idx="1039">
                  <c:v>44906</c:v>
                </c:pt>
                <c:pt idx="1040">
                  <c:v>44905</c:v>
                </c:pt>
                <c:pt idx="1041">
                  <c:v>44904</c:v>
                </c:pt>
                <c:pt idx="1042">
                  <c:v>44903</c:v>
                </c:pt>
                <c:pt idx="1043">
                  <c:v>44902</c:v>
                </c:pt>
                <c:pt idx="1044">
                  <c:v>44901</c:v>
                </c:pt>
              </c:numCache>
            </c:numRef>
          </c:cat>
          <c:val>
            <c:numRef>
              <c:f>'Stock Data'!$AN$4:$AN$1048</c:f>
              <c:numCache>
                <c:formatCode>#,##0.00_);\(#,##0.00\)</c:formatCode>
                <c:ptCount val="1045"/>
                <c:pt idx="0">
                  <c:v>126.62</c:v>
                </c:pt>
                <c:pt idx="1">
                  <c:v>126.62</c:v>
                </c:pt>
                <c:pt idx="2">
                  <c:v>126.62</c:v>
                </c:pt>
                <c:pt idx="3">
                  <c:v>126.62</c:v>
                </c:pt>
                <c:pt idx="4">
                  <c:v>125.94</c:v>
                </c:pt>
                <c:pt idx="5">
                  <c:v>124.08</c:v>
                </c:pt>
                <c:pt idx="6">
                  <c:v>124.94</c:v>
                </c:pt>
                <c:pt idx="7">
                  <c:v>124.89</c:v>
                </c:pt>
                <c:pt idx="8">
                  <c:v>124.89</c:v>
                </c:pt>
                <c:pt idx="9">
                  <c:v>124.89</c:v>
                </c:pt>
                <c:pt idx="10">
                  <c:v>124.89</c:v>
                </c:pt>
                <c:pt idx="11">
                  <c:v>125.74</c:v>
                </c:pt>
                <c:pt idx="12">
                  <c:v>125.64</c:v>
                </c:pt>
                <c:pt idx="13">
                  <c:v>125.56</c:v>
                </c:pt>
                <c:pt idx="14">
                  <c:v>123.13</c:v>
                </c:pt>
                <c:pt idx="15">
                  <c:v>122.98</c:v>
                </c:pt>
                <c:pt idx="16">
                  <c:v>122.98</c:v>
                </c:pt>
                <c:pt idx="17">
                  <c:v>122.98</c:v>
                </c:pt>
                <c:pt idx="18">
                  <c:v>121.58</c:v>
                </c:pt>
                <c:pt idx="19">
                  <c:v>120.09</c:v>
                </c:pt>
                <c:pt idx="20">
                  <c:v>120.77</c:v>
                </c:pt>
                <c:pt idx="21">
                  <c:v>120.28</c:v>
                </c:pt>
                <c:pt idx="22">
                  <c:v>119.57</c:v>
                </c:pt>
                <c:pt idx="23">
                  <c:v>119.57</c:v>
                </c:pt>
                <c:pt idx="24">
                  <c:v>119.57</c:v>
                </c:pt>
                <c:pt idx="25">
                  <c:v>120.12</c:v>
                </c:pt>
                <c:pt idx="26">
                  <c:v>122.02</c:v>
                </c:pt>
                <c:pt idx="27">
                  <c:v>120.88</c:v>
                </c:pt>
                <c:pt idx="28">
                  <c:v>119.24</c:v>
                </c:pt>
                <c:pt idx="29">
                  <c:v>118.43</c:v>
                </c:pt>
                <c:pt idx="30">
                  <c:v>118.43</c:v>
                </c:pt>
                <c:pt idx="31">
                  <c:v>118.43</c:v>
                </c:pt>
                <c:pt idx="32">
                  <c:v>119.21</c:v>
                </c:pt>
                <c:pt idx="33">
                  <c:v>118.83</c:v>
                </c:pt>
                <c:pt idx="34">
                  <c:v>119</c:v>
                </c:pt>
                <c:pt idx="35">
                  <c:v>111.94</c:v>
                </c:pt>
                <c:pt idx="36">
                  <c:v>111.08</c:v>
                </c:pt>
                <c:pt idx="37">
                  <c:v>111.08</c:v>
                </c:pt>
                <c:pt idx="38">
                  <c:v>111.08</c:v>
                </c:pt>
                <c:pt idx="39">
                  <c:v>112.74</c:v>
                </c:pt>
                <c:pt idx="40">
                  <c:v>112.56</c:v>
                </c:pt>
                <c:pt idx="41">
                  <c:v>113</c:v>
                </c:pt>
                <c:pt idx="42">
                  <c:v>113.84</c:v>
                </c:pt>
                <c:pt idx="43">
                  <c:v>115.36</c:v>
                </c:pt>
                <c:pt idx="44">
                  <c:v>115.36</c:v>
                </c:pt>
                <c:pt idx="45">
                  <c:v>115.36</c:v>
                </c:pt>
                <c:pt idx="46">
                  <c:v>113.08</c:v>
                </c:pt>
                <c:pt idx="47">
                  <c:v>113.42</c:v>
                </c:pt>
                <c:pt idx="48">
                  <c:v>112.44</c:v>
                </c:pt>
                <c:pt idx="49">
                  <c:v>112.16</c:v>
                </c:pt>
                <c:pt idx="50">
                  <c:v>113.31</c:v>
                </c:pt>
                <c:pt idx="51">
                  <c:v>113.31</c:v>
                </c:pt>
                <c:pt idx="52">
                  <c:v>113.31</c:v>
                </c:pt>
                <c:pt idx="53">
                  <c:v>114</c:v>
                </c:pt>
                <c:pt idx="54">
                  <c:v>113.18</c:v>
                </c:pt>
                <c:pt idx="55">
                  <c:v>113.05</c:v>
                </c:pt>
                <c:pt idx="56">
                  <c:v>114.55</c:v>
                </c:pt>
                <c:pt idx="57">
                  <c:v>114.44</c:v>
                </c:pt>
                <c:pt idx="58">
                  <c:v>114.44</c:v>
                </c:pt>
                <c:pt idx="59">
                  <c:v>114.44</c:v>
                </c:pt>
                <c:pt idx="60">
                  <c:v>115.64</c:v>
                </c:pt>
                <c:pt idx="61">
                  <c:v>115.62</c:v>
                </c:pt>
                <c:pt idx="62">
                  <c:v>114.94</c:v>
                </c:pt>
                <c:pt idx="63">
                  <c:v>115.43</c:v>
                </c:pt>
                <c:pt idx="64">
                  <c:v>115.75</c:v>
                </c:pt>
                <c:pt idx="65">
                  <c:v>115.75</c:v>
                </c:pt>
                <c:pt idx="66">
                  <c:v>115.75</c:v>
                </c:pt>
                <c:pt idx="67">
                  <c:v>115.75</c:v>
                </c:pt>
                <c:pt idx="68">
                  <c:v>114.46</c:v>
                </c:pt>
                <c:pt idx="69">
                  <c:v>113.96</c:v>
                </c:pt>
                <c:pt idx="70">
                  <c:v>112.86</c:v>
                </c:pt>
                <c:pt idx="71">
                  <c:v>112.79</c:v>
                </c:pt>
                <c:pt idx="72">
                  <c:v>112.79</c:v>
                </c:pt>
                <c:pt idx="73">
                  <c:v>112.79</c:v>
                </c:pt>
                <c:pt idx="74">
                  <c:v>112.21</c:v>
                </c:pt>
                <c:pt idx="75">
                  <c:v>111.06</c:v>
                </c:pt>
                <c:pt idx="76">
                  <c:v>112.36</c:v>
                </c:pt>
                <c:pt idx="77">
                  <c:v>111.54</c:v>
                </c:pt>
                <c:pt idx="78">
                  <c:v>109.56</c:v>
                </c:pt>
                <c:pt idx="79">
                  <c:v>109.56</c:v>
                </c:pt>
                <c:pt idx="80">
                  <c:v>109.56</c:v>
                </c:pt>
                <c:pt idx="81">
                  <c:v>110.4</c:v>
                </c:pt>
                <c:pt idx="82">
                  <c:v>110.4</c:v>
                </c:pt>
                <c:pt idx="83">
                  <c:v>112.19</c:v>
                </c:pt>
                <c:pt idx="84">
                  <c:v>113.06</c:v>
                </c:pt>
                <c:pt idx="85">
                  <c:v>111.99</c:v>
                </c:pt>
                <c:pt idx="86">
                  <c:v>111.99</c:v>
                </c:pt>
                <c:pt idx="87">
                  <c:v>111.99</c:v>
                </c:pt>
                <c:pt idx="88">
                  <c:v>112.13</c:v>
                </c:pt>
                <c:pt idx="89">
                  <c:v>112.2</c:v>
                </c:pt>
                <c:pt idx="90">
                  <c:v>111.03</c:v>
                </c:pt>
                <c:pt idx="91">
                  <c:v>110.93</c:v>
                </c:pt>
                <c:pt idx="92">
                  <c:v>111.35</c:v>
                </c:pt>
                <c:pt idx="93">
                  <c:v>111.35</c:v>
                </c:pt>
                <c:pt idx="94">
                  <c:v>111.35</c:v>
                </c:pt>
                <c:pt idx="95">
                  <c:v>110.64</c:v>
                </c:pt>
                <c:pt idx="96">
                  <c:v>110.8</c:v>
                </c:pt>
                <c:pt idx="97">
                  <c:v>110.69</c:v>
                </c:pt>
                <c:pt idx="98">
                  <c:v>109.09</c:v>
                </c:pt>
                <c:pt idx="99">
                  <c:v>109.85</c:v>
                </c:pt>
                <c:pt idx="100">
                  <c:v>109.85</c:v>
                </c:pt>
                <c:pt idx="101">
                  <c:v>109.85</c:v>
                </c:pt>
                <c:pt idx="102">
                  <c:v>108.79</c:v>
                </c:pt>
                <c:pt idx="103">
                  <c:v>108.15</c:v>
                </c:pt>
                <c:pt idx="104">
                  <c:v>109.37</c:v>
                </c:pt>
                <c:pt idx="105">
                  <c:v>107.6</c:v>
                </c:pt>
                <c:pt idx="106">
                  <c:v>107.6</c:v>
                </c:pt>
                <c:pt idx="107">
                  <c:v>107.6</c:v>
                </c:pt>
                <c:pt idx="108">
                  <c:v>107.6</c:v>
                </c:pt>
                <c:pt idx="109">
                  <c:v>107.37</c:v>
                </c:pt>
                <c:pt idx="110">
                  <c:v>107.44</c:v>
                </c:pt>
                <c:pt idx="111">
                  <c:v>108.96</c:v>
                </c:pt>
                <c:pt idx="112">
                  <c:v>108.93</c:v>
                </c:pt>
                <c:pt idx="113">
                  <c:v>109.37</c:v>
                </c:pt>
                <c:pt idx="114">
                  <c:v>109.37</c:v>
                </c:pt>
                <c:pt idx="115">
                  <c:v>109.37</c:v>
                </c:pt>
                <c:pt idx="116">
                  <c:v>108.28</c:v>
                </c:pt>
                <c:pt idx="117">
                  <c:v>107.07</c:v>
                </c:pt>
                <c:pt idx="118">
                  <c:v>106.68</c:v>
                </c:pt>
                <c:pt idx="119">
                  <c:v>106.33</c:v>
                </c:pt>
                <c:pt idx="120">
                  <c:v>104.65</c:v>
                </c:pt>
                <c:pt idx="121">
                  <c:v>104.65</c:v>
                </c:pt>
                <c:pt idx="122">
                  <c:v>104.65</c:v>
                </c:pt>
                <c:pt idx="123">
                  <c:v>104.37</c:v>
                </c:pt>
                <c:pt idx="124">
                  <c:v>101.5</c:v>
                </c:pt>
                <c:pt idx="125">
                  <c:v>102.93</c:v>
                </c:pt>
                <c:pt idx="126">
                  <c:v>102.18</c:v>
                </c:pt>
                <c:pt idx="127">
                  <c:v>102.35</c:v>
                </c:pt>
                <c:pt idx="128">
                  <c:v>102.35</c:v>
                </c:pt>
                <c:pt idx="129">
                  <c:v>102.35</c:v>
                </c:pt>
                <c:pt idx="130">
                  <c:v>100.25</c:v>
                </c:pt>
                <c:pt idx="131">
                  <c:v>98.65</c:v>
                </c:pt>
                <c:pt idx="132">
                  <c:v>98.17</c:v>
                </c:pt>
                <c:pt idx="133">
                  <c:v>97.44</c:v>
                </c:pt>
                <c:pt idx="134">
                  <c:v>97.34</c:v>
                </c:pt>
                <c:pt idx="135">
                  <c:v>97.34</c:v>
                </c:pt>
                <c:pt idx="136">
                  <c:v>97.34</c:v>
                </c:pt>
                <c:pt idx="137">
                  <c:v>97.65</c:v>
                </c:pt>
                <c:pt idx="138">
                  <c:v>95.2</c:v>
                </c:pt>
                <c:pt idx="139">
                  <c:v>94</c:v>
                </c:pt>
                <c:pt idx="140">
                  <c:v>92.25</c:v>
                </c:pt>
                <c:pt idx="141">
                  <c:v>94.36</c:v>
                </c:pt>
                <c:pt idx="142">
                  <c:v>94.36</c:v>
                </c:pt>
                <c:pt idx="143">
                  <c:v>94.36</c:v>
                </c:pt>
                <c:pt idx="144">
                  <c:v>94.36</c:v>
                </c:pt>
                <c:pt idx="145">
                  <c:v>93.23</c:v>
                </c:pt>
                <c:pt idx="146">
                  <c:v>93.96</c:v>
                </c:pt>
                <c:pt idx="147">
                  <c:v>94.31</c:v>
                </c:pt>
                <c:pt idx="148">
                  <c:v>93.71</c:v>
                </c:pt>
                <c:pt idx="149">
                  <c:v>93.71</c:v>
                </c:pt>
                <c:pt idx="150">
                  <c:v>93.71</c:v>
                </c:pt>
                <c:pt idx="151">
                  <c:v>93.17</c:v>
                </c:pt>
                <c:pt idx="152">
                  <c:v>94.99</c:v>
                </c:pt>
                <c:pt idx="153">
                  <c:v>87.19</c:v>
                </c:pt>
                <c:pt idx="154">
                  <c:v>87.34</c:v>
                </c:pt>
                <c:pt idx="155">
                  <c:v>89.25</c:v>
                </c:pt>
                <c:pt idx="156">
                  <c:v>89.25</c:v>
                </c:pt>
                <c:pt idx="157">
                  <c:v>89.25</c:v>
                </c:pt>
                <c:pt idx="158">
                  <c:v>92.73</c:v>
                </c:pt>
                <c:pt idx="159">
                  <c:v>95.84</c:v>
                </c:pt>
                <c:pt idx="160">
                  <c:v>94.12</c:v>
                </c:pt>
                <c:pt idx="161">
                  <c:v>92.73</c:v>
                </c:pt>
                <c:pt idx="162">
                  <c:v>92.54</c:v>
                </c:pt>
                <c:pt idx="163">
                  <c:v>92.54</c:v>
                </c:pt>
                <c:pt idx="164">
                  <c:v>92.54</c:v>
                </c:pt>
                <c:pt idx="165">
                  <c:v>94.57</c:v>
                </c:pt>
                <c:pt idx="166">
                  <c:v>94.6</c:v>
                </c:pt>
                <c:pt idx="167">
                  <c:v>94.76</c:v>
                </c:pt>
                <c:pt idx="168">
                  <c:v>95.82</c:v>
                </c:pt>
                <c:pt idx="169">
                  <c:v>94.1</c:v>
                </c:pt>
                <c:pt idx="170">
                  <c:v>94.1</c:v>
                </c:pt>
                <c:pt idx="171">
                  <c:v>94.1</c:v>
                </c:pt>
                <c:pt idx="172">
                  <c:v>94.99</c:v>
                </c:pt>
                <c:pt idx="173">
                  <c:v>96.15</c:v>
                </c:pt>
                <c:pt idx="174">
                  <c:v>95.37</c:v>
                </c:pt>
                <c:pt idx="175">
                  <c:v>95.59</c:v>
                </c:pt>
                <c:pt idx="176">
                  <c:v>95.08</c:v>
                </c:pt>
                <c:pt idx="177">
                  <c:v>95.08</c:v>
                </c:pt>
                <c:pt idx="178">
                  <c:v>95.08</c:v>
                </c:pt>
                <c:pt idx="179">
                  <c:v>93.12</c:v>
                </c:pt>
                <c:pt idx="180">
                  <c:v>94.61</c:v>
                </c:pt>
                <c:pt idx="181">
                  <c:v>94.38</c:v>
                </c:pt>
                <c:pt idx="182">
                  <c:v>96.01</c:v>
                </c:pt>
                <c:pt idx="183">
                  <c:v>97.05</c:v>
                </c:pt>
                <c:pt idx="184">
                  <c:v>97.05</c:v>
                </c:pt>
                <c:pt idx="185">
                  <c:v>97.05</c:v>
                </c:pt>
                <c:pt idx="186">
                  <c:v>96.73</c:v>
                </c:pt>
                <c:pt idx="187">
                  <c:v>96</c:v>
                </c:pt>
                <c:pt idx="188">
                  <c:v>94.08</c:v>
                </c:pt>
                <c:pt idx="189">
                  <c:v>97.17</c:v>
                </c:pt>
                <c:pt idx="190">
                  <c:v>100.05</c:v>
                </c:pt>
                <c:pt idx="191">
                  <c:v>100.05</c:v>
                </c:pt>
                <c:pt idx="192">
                  <c:v>100.05</c:v>
                </c:pt>
                <c:pt idx="193">
                  <c:v>97.26</c:v>
                </c:pt>
                <c:pt idx="194">
                  <c:v>98.39</c:v>
                </c:pt>
                <c:pt idx="195">
                  <c:v>97.52</c:v>
                </c:pt>
                <c:pt idx="196">
                  <c:v>95.69</c:v>
                </c:pt>
                <c:pt idx="197">
                  <c:v>97.52</c:v>
                </c:pt>
                <c:pt idx="198">
                  <c:v>97.52</c:v>
                </c:pt>
                <c:pt idx="199">
                  <c:v>97.52</c:v>
                </c:pt>
                <c:pt idx="200">
                  <c:v>99.7</c:v>
                </c:pt>
                <c:pt idx="201">
                  <c:v>101</c:v>
                </c:pt>
                <c:pt idx="202">
                  <c:v>101.6</c:v>
                </c:pt>
                <c:pt idx="203">
                  <c:v>100.41</c:v>
                </c:pt>
                <c:pt idx="204">
                  <c:v>100.41</c:v>
                </c:pt>
                <c:pt idx="205">
                  <c:v>100.41</c:v>
                </c:pt>
                <c:pt idx="206">
                  <c:v>100.41</c:v>
                </c:pt>
                <c:pt idx="207">
                  <c:v>102.19</c:v>
                </c:pt>
                <c:pt idx="208">
                  <c:v>103.79</c:v>
                </c:pt>
                <c:pt idx="209">
                  <c:v>106.52</c:v>
                </c:pt>
                <c:pt idx="210">
                  <c:v>107.99</c:v>
                </c:pt>
                <c:pt idx="211">
                  <c:v>107.16</c:v>
                </c:pt>
                <c:pt idx="212">
                  <c:v>107.16</c:v>
                </c:pt>
                <c:pt idx="213">
                  <c:v>107.16</c:v>
                </c:pt>
                <c:pt idx="214">
                  <c:v>108.27</c:v>
                </c:pt>
                <c:pt idx="215">
                  <c:v>104.93</c:v>
                </c:pt>
                <c:pt idx="216">
                  <c:v>104.18</c:v>
                </c:pt>
                <c:pt idx="217">
                  <c:v>103.85</c:v>
                </c:pt>
                <c:pt idx="218">
                  <c:v>105.44</c:v>
                </c:pt>
                <c:pt idx="219">
                  <c:v>105.44</c:v>
                </c:pt>
                <c:pt idx="220">
                  <c:v>105.44</c:v>
                </c:pt>
                <c:pt idx="221">
                  <c:v>105.55</c:v>
                </c:pt>
                <c:pt idx="222">
                  <c:v>104.6</c:v>
                </c:pt>
                <c:pt idx="223">
                  <c:v>105.42</c:v>
                </c:pt>
                <c:pt idx="224">
                  <c:v>106.69</c:v>
                </c:pt>
                <c:pt idx="225">
                  <c:v>109.15</c:v>
                </c:pt>
                <c:pt idx="226">
                  <c:v>109.15</c:v>
                </c:pt>
                <c:pt idx="227">
                  <c:v>109.15</c:v>
                </c:pt>
                <c:pt idx="228">
                  <c:v>108.33</c:v>
                </c:pt>
                <c:pt idx="229">
                  <c:v>110.6</c:v>
                </c:pt>
                <c:pt idx="230">
                  <c:v>111.05</c:v>
                </c:pt>
                <c:pt idx="231">
                  <c:v>108.93</c:v>
                </c:pt>
                <c:pt idx="232">
                  <c:v>108.93</c:v>
                </c:pt>
                <c:pt idx="233">
                  <c:v>108.93</c:v>
                </c:pt>
                <c:pt idx="234">
                  <c:v>108.93</c:v>
                </c:pt>
                <c:pt idx="235">
                  <c:v>107.85</c:v>
                </c:pt>
                <c:pt idx="236">
                  <c:v>109.25</c:v>
                </c:pt>
                <c:pt idx="237">
                  <c:v>109.89</c:v>
                </c:pt>
                <c:pt idx="238">
                  <c:v>108.47</c:v>
                </c:pt>
                <c:pt idx="239">
                  <c:v>105.87</c:v>
                </c:pt>
                <c:pt idx="240">
                  <c:v>105.87</c:v>
                </c:pt>
                <c:pt idx="241">
                  <c:v>105.87</c:v>
                </c:pt>
                <c:pt idx="242">
                  <c:v>107.32</c:v>
                </c:pt>
                <c:pt idx="243">
                  <c:v>107.32</c:v>
                </c:pt>
                <c:pt idx="244">
                  <c:v>107.14</c:v>
                </c:pt>
                <c:pt idx="245">
                  <c:v>107.24</c:v>
                </c:pt>
                <c:pt idx="246">
                  <c:v>107.75</c:v>
                </c:pt>
                <c:pt idx="247">
                  <c:v>107.75</c:v>
                </c:pt>
                <c:pt idx="248">
                  <c:v>107.75</c:v>
                </c:pt>
                <c:pt idx="249">
                  <c:v>106.3</c:v>
                </c:pt>
                <c:pt idx="250">
                  <c:v>106.82</c:v>
                </c:pt>
                <c:pt idx="251">
                  <c:v>106.82</c:v>
                </c:pt>
                <c:pt idx="252">
                  <c:v>107.05</c:v>
                </c:pt>
                <c:pt idx="253">
                  <c:v>107.68</c:v>
                </c:pt>
                <c:pt idx="254">
                  <c:v>107.68</c:v>
                </c:pt>
                <c:pt idx="255">
                  <c:v>107.68</c:v>
                </c:pt>
                <c:pt idx="256">
                  <c:v>108.59</c:v>
                </c:pt>
                <c:pt idx="257">
                  <c:v>108.41</c:v>
                </c:pt>
                <c:pt idx="258">
                  <c:v>108.41</c:v>
                </c:pt>
                <c:pt idx="259">
                  <c:v>107.92</c:v>
                </c:pt>
                <c:pt idx="260">
                  <c:v>107.99</c:v>
                </c:pt>
                <c:pt idx="261">
                  <c:v>107.99</c:v>
                </c:pt>
                <c:pt idx="262">
                  <c:v>107.99</c:v>
                </c:pt>
                <c:pt idx="263">
                  <c:v>107.04</c:v>
                </c:pt>
                <c:pt idx="264">
                  <c:v>106.93</c:v>
                </c:pt>
                <c:pt idx="265">
                  <c:v>110.4</c:v>
                </c:pt>
                <c:pt idx="266">
                  <c:v>110.69</c:v>
                </c:pt>
                <c:pt idx="267">
                  <c:v>111.51</c:v>
                </c:pt>
                <c:pt idx="268">
                  <c:v>111.51</c:v>
                </c:pt>
                <c:pt idx="269">
                  <c:v>111.51</c:v>
                </c:pt>
                <c:pt idx="270">
                  <c:v>112.03</c:v>
                </c:pt>
                <c:pt idx="271">
                  <c:v>112.77</c:v>
                </c:pt>
                <c:pt idx="272">
                  <c:v>112.47</c:v>
                </c:pt>
                <c:pt idx="273">
                  <c:v>112.51</c:v>
                </c:pt>
                <c:pt idx="274">
                  <c:v>113.75</c:v>
                </c:pt>
                <c:pt idx="275">
                  <c:v>113.75</c:v>
                </c:pt>
                <c:pt idx="276">
                  <c:v>113.75</c:v>
                </c:pt>
                <c:pt idx="277">
                  <c:v>114.22</c:v>
                </c:pt>
                <c:pt idx="278">
                  <c:v>114.93</c:v>
                </c:pt>
                <c:pt idx="279">
                  <c:v>114.66</c:v>
                </c:pt>
                <c:pt idx="280">
                  <c:v>115.94</c:v>
                </c:pt>
                <c:pt idx="281">
                  <c:v>116.97</c:v>
                </c:pt>
                <c:pt idx="282">
                  <c:v>116.97</c:v>
                </c:pt>
                <c:pt idx="283">
                  <c:v>116.97</c:v>
                </c:pt>
                <c:pt idx="284">
                  <c:v>116.74</c:v>
                </c:pt>
                <c:pt idx="285">
                  <c:v>116.74</c:v>
                </c:pt>
                <c:pt idx="286">
                  <c:v>116.74</c:v>
                </c:pt>
                <c:pt idx="287">
                  <c:v>116.89</c:v>
                </c:pt>
                <c:pt idx="288">
                  <c:v>116.31</c:v>
                </c:pt>
                <c:pt idx="289">
                  <c:v>116.31</c:v>
                </c:pt>
                <c:pt idx="290">
                  <c:v>116.31</c:v>
                </c:pt>
                <c:pt idx="291">
                  <c:v>112.56</c:v>
                </c:pt>
                <c:pt idx="292">
                  <c:v>109.47</c:v>
                </c:pt>
                <c:pt idx="293">
                  <c:v>108.83</c:v>
                </c:pt>
                <c:pt idx="294">
                  <c:v>109.13</c:v>
                </c:pt>
                <c:pt idx="295">
                  <c:v>106.93</c:v>
                </c:pt>
                <c:pt idx="296">
                  <c:v>106.93</c:v>
                </c:pt>
                <c:pt idx="297">
                  <c:v>106.93</c:v>
                </c:pt>
                <c:pt idx="298">
                  <c:v>107.2</c:v>
                </c:pt>
                <c:pt idx="299">
                  <c:v>112.51</c:v>
                </c:pt>
                <c:pt idx="300">
                  <c:v>112.16</c:v>
                </c:pt>
                <c:pt idx="301">
                  <c:v>111.58</c:v>
                </c:pt>
                <c:pt idx="302">
                  <c:v>110.39</c:v>
                </c:pt>
                <c:pt idx="303">
                  <c:v>110.39</c:v>
                </c:pt>
                <c:pt idx="304">
                  <c:v>110.39</c:v>
                </c:pt>
                <c:pt idx="305">
                  <c:v>110.72</c:v>
                </c:pt>
                <c:pt idx="306">
                  <c:v>114.12</c:v>
                </c:pt>
                <c:pt idx="307">
                  <c:v>109.91</c:v>
                </c:pt>
                <c:pt idx="308">
                  <c:v>108.04</c:v>
                </c:pt>
                <c:pt idx="309">
                  <c:v>108.4</c:v>
                </c:pt>
                <c:pt idx="310">
                  <c:v>108.4</c:v>
                </c:pt>
                <c:pt idx="311">
                  <c:v>108.4</c:v>
                </c:pt>
                <c:pt idx="312">
                  <c:v>106.8</c:v>
                </c:pt>
                <c:pt idx="313">
                  <c:v>107.37</c:v>
                </c:pt>
                <c:pt idx="314">
                  <c:v>108.46</c:v>
                </c:pt>
                <c:pt idx="315">
                  <c:v>105.93</c:v>
                </c:pt>
                <c:pt idx="316">
                  <c:v>104.49</c:v>
                </c:pt>
                <c:pt idx="317">
                  <c:v>104.49</c:v>
                </c:pt>
                <c:pt idx="318">
                  <c:v>104.49</c:v>
                </c:pt>
                <c:pt idx="319">
                  <c:v>104.89</c:v>
                </c:pt>
                <c:pt idx="320">
                  <c:v>105.37</c:v>
                </c:pt>
                <c:pt idx="321">
                  <c:v>106.38</c:v>
                </c:pt>
                <c:pt idx="322">
                  <c:v>107.49</c:v>
                </c:pt>
                <c:pt idx="323">
                  <c:v>107.89</c:v>
                </c:pt>
                <c:pt idx="324">
                  <c:v>107.89</c:v>
                </c:pt>
                <c:pt idx="325">
                  <c:v>107.89</c:v>
                </c:pt>
                <c:pt idx="326">
                  <c:v>107.55</c:v>
                </c:pt>
                <c:pt idx="327">
                  <c:v>107.26</c:v>
                </c:pt>
                <c:pt idx="328">
                  <c:v>106.21</c:v>
                </c:pt>
                <c:pt idx="329">
                  <c:v>106.36</c:v>
                </c:pt>
                <c:pt idx="330">
                  <c:v>105.82</c:v>
                </c:pt>
                <c:pt idx="331">
                  <c:v>105.82</c:v>
                </c:pt>
                <c:pt idx="332">
                  <c:v>105.82</c:v>
                </c:pt>
                <c:pt idx="333">
                  <c:v>104.14</c:v>
                </c:pt>
                <c:pt idx="334">
                  <c:v>105.04</c:v>
                </c:pt>
                <c:pt idx="335">
                  <c:v>104.65</c:v>
                </c:pt>
                <c:pt idx="336">
                  <c:v>105.2</c:v>
                </c:pt>
                <c:pt idx="337">
                  <c:v>103.74</c:v>
                </c:pt>
                <c:pt idx="338">
                  <c:v>103.74</c:v>
                </c:pt>
                <c:pt idx="339">
                  <c:v>103.74</c:v>
                </c:pt>
                <c:pt idx="340">
                  <c:v>102.57</c:v>
                </c:pt>
                <c:pt idx="341">
                  <c:v>101.97</c:v>
                </c:pt>
                <c:pt idx="342">
                  <c:v>102.59</c:v>
                </c:pt>
                <c:pt idx="343">
                  <c:v>103.27</c:v>
                </c:pt>
                <c:pt idx="344">
                  <c:v>103.23</c:v>
                </c:pt>
                <c:pt idx="345">
                  <c:v>103.23</c:v>
                </c:pt>
                <c:pt idx="346">
                  <c:v>103.23</c:v>
                </c:pt>
                <c:pt idx="347">
                  <c:v>103.19</c:v>
                </c:pt>
                <c:pt idx="348">
                  <c:v>101.06</c:v>
                </c:pt>
                <c:pt idx="349">
                  <c:v>102.24</c:v>
                </c:pt>
                <c:pt idx="350">
                  <c:v>101.97</c:v>
                </c:pt>
                <c:pt idx="351">
                  <c:v>101.19</c:v>
                </c:pt>
                <c:pt idx="352">
                  <c:v>101.19</c:v>
                </c:pt>
                <c:pt idx="353">
                  <c:v>101.19</c:v>
                </c:pt>
                <c:pt idx="354">
                  <c:v>101.24</c:v>
                </c:pt>
                <c:pt idx="355">
                  <c:v>98.24</c:v>
                </c:pt>
                <c:pt idx="356">
                  <c:v>97.54</c:v>
                </c:pt>
                <c:pt idx="357">
                  <c:v>98.41</c:v>
                </c:pt>
                <c:pt idx="358">
                  <c:v>97.82</c:v>
                </c:pt>
                <c:pt idx="359">
                  <c:v>97.82</c:v>
                </c:pt>
                <c:pt idx="360">
                  <c:v>97.82</c:v>
                </c:pt>
                <c:pt idx="361">
                  <c:v>96.53</c:v>
                </c:pt>
                <c:pt idx="362">
                  <c:v>95.82</c:v>
                </c:pt>
                <c:pt idx="363">
                  <c:v>95</c:v>
                </c:pt>
                <c:pt idx="364">
                  <c:v>94.44</c:v>
                </c:pt>
                <c:pt idx="365">
                  <c:v>94.05</c:v>
                </c:pt>
                <c:pt idx="366">
                  <c:v>94.05</c:v>
                </c:pt>
                <c:pt idx="367">
                  <c:v>94.05</c:v>
                </c:pt>
                <c:pt idx="368">
                  <c:v>95.6</c:v>
                </c:pt>
                <c:pt idx="369">
                  <c:v>96.43</c:v>
                </c:pt>
                <c:pt idx="370">
                  <c:v>97.61</c:v>
                </c:pt>
                <c:pt idx="371">
                  <c:v>100.14</c:v>
                </c:pt>
                <c:pt idx="372">
                  <c:v>100.14</c:v>
                </c:pt>
                <c:pt idx="373">
                  <c:v>100.14</c:v>
                </c:pt>
                <c:pt idx="374">
                  <c:v>100.14</c:v>
                </c:pt>
                <c:pt idx="375">
                  <c:v>99.53</c:v>
                </c:pt>
                <c:pt idx="376">
                  <c:v>99.87</c:v>
                </c:pt>
                <c:pt idx="377">
                  <c:v>101.66</c:v>
                </c:pt>
                <c:pt idx="378">
                  <c:v>99.58</c:v>
                </c:pt>
                <c:pt idx="379">
                  <c:v>98.16</c:v>
                </c:pt>
                <c:pt idx="380">
                  <c:v>98.16</c:v>
                </c:pt>
                <c:pt idx="381">
                  <c:v>98.16</c:v>
                </c:pt>
                <c:pt idx="382">
                  <c:v>96.43</c:v>
                </c:pt>
                <c:pt idx="383">
                  <c:v>97.21</c:v>
                </c:pt>
                <c:pt idx="384">
                  <c:v>96.43</c:v>
                </c:pt>
                <c:pt idx="385">
                  <c:v>97.62</c:v>
                </c:pt>
                <c:pt idx="386">
                  <c:v>96.46</c:v>
                </c:pt>
                <c:pt idx="387">
                  <c:v>96.46</c:v>
                </c:pt>
                <c:pt idx="388">
                  <c:v>96.46</c:v>
                </c:pt>
                <c:pt idx="389">
                  <c:v>96.43</c:v>
                </c:pt>
                <c:pt idx="390">
                  <c:v>95.44</c:v>
                </c:pt>
                <c:pt idx="391">
                  <c:v>95.18</c:v>
                </c:pt>
                <c:pt idx="392">
                  <c:v>94.95</c:v>
                </c:pt>
                <c:pt idx="393">
                  <c:v>96.58</c:v>
                </c:pt>
                <c:pt idx="394">
                  <c:v>96.58</c:v>
                </c:pt>
                <c:pt idx="395">
                  <c:v>96.58</c:v>
                </c:pt>
                <c:pt idx="396">
                  <c:v>96.91</c:v>
                </c:pt>
                <c:pt idx="397">
                  <c:v>91.57</c:v>
                </c:pt>
                <c:pt idx="398">
                  <c:v>91.02</c:v>
                </c:pt>
                <c:pt idx="399">
                  <c:v>86.64</c:v>
                </c:pt>
                <c:pt idx="400">
                  <c:v>88.2</c:v>
                </c:pt>
                <c:pt idx="401">
                  <c:v>88.2</c:v>
                </c:pt>
                <c:pt idx="402">
                  <c:v>88.2</c:v>
                </c:pt>
                <c:pt idx="403">
                  <c:v>90.47</c:v>
                </c:pt>
                <c:pt idx="404">
                  <c:v>90.61</c:v>
                </c:pt>
                <c:pt idx="405">
                  <c:v>90.23</c:v>
                </c:pt>
                <c:pt idx="406">
                  <c:v>89.99</c:v>
                </c:pt>
                <c:pt idx="407">
                  <c:v>90.23</c:v>
                </c:pt>
                <c:pt idx="408">
                  <c:v>90.23</c:v>
                </c:pt>
                <c:pt idx="409">
                  <c:v>90.23</c:v>
                </c:pt>
                <c:pt idx="410">
                  <c:v>88.95</c:v>
                </c:pt>
                <c:pt idx="411">
                  <c:v>87.36</c:v>
                </c:pt>
                <c:pt idx="412">
                  <c:v>89.8</c:v>
                </c:pt>
                <c:pt idx="413">
                  <c:v>90.21</c:v>
                </c:pt>
                <c:pt idx="414">
                  <c:v>89.16</c:v>
                </c:pt>
                <c:pt idx="415">
                  <c:v>89.16</c:v>
                </c:pt>
                <c:pt idx="416">
                  <c:v>89.16</c:v>
                </c:pt>
                <c:pt idx="417">
                  <c:v>89.58</c:v>
                </c:pt>
                <c:pt idx="418">
                  <c:v>89.61</c:v>
                </c:pt>
                <c:pt idx="419">
                  <c:v>91.76</c:v>
                </c:pt>
                <c:pt idx="420">
                  <c:v>87.26</c:v>
                </c:pt>
                <c:pt idx="421">
                  <c:v>87.16</c:v>
                </c:pt>
                <c:pt idx="422">
                  <c:v>87.16</c:v>
                </c:pt>
                <c:pt idx="423">
                  <c:v>87.16</c:v>
                </c:pt>
                <c:pt idx="424">
                  <c:v>86.14</c:v>
                </c:pt>
                <c:pt idx="425">
                  <c:v>83.71</c:v>
                </c:pt>
                <c:pt idx="426">
                  <c:v>82.37</c:v>
                </c:pt>
                <c:pt idx="427">
                  <c:v>83.42</c:v>
                </c:pt>
                <c:pt idx="428">
                  <c:v>84.44</c:v>
                </c:pt>
                <c:pt idx="429">
                  <c:v>84.44</c:v>
                </c:pt>
                <c:pt idx="430">
                  <c:v>84.44</c:v>
                </c:pt>
                <c:pt idx="431">
                  <c:v>86.97</c:v>
                </c:pt>
                <c:pt idx="432">
                  <c:v>86.97</c:v>
                </c:pt>
                <c:pt idx="433">
                  <c:v>85.64</c:v>
                </c:pt>
                <c:pt idx="434">
                  <c:v>85.68</c:v>
                </c:pt>
                <c:pt idx="435">
                  <c:v>88.14</c:v>
                </c:pt>
                <c:pt idx="436">
                  <c:v>88.14</c:v>
                </c:pt>
                <c:pt idx="437">
                  <c:v>88.14</c:v>
                </c:pt>
                <c:pt idx="438">
                  <c:v>88.89</c:v>
                </c:pt>
                <c:pt idx="439">
                  <c:v>88.59</c:v>
                </c:pt>
                <c:pt idx="440">
                  <c:v>89.26</c:v>
                </c:pt>
                <c:pt idx="441">
                  <c:v>91.1</c:v>
                </c:pt>
                <c:pt idx="442">
                  <c:v>89.78</c:v>
                </c:pt>
                <c:pt idx="443">
                  <c:v>89.78</c:v>
                </c:pt>
                <c:pt idx="444">
                  <c:v>89.78</c:v>
                </c:pt>
                <c:pt idx="445">
                  <c:v>88.91</c:v>
                </c:pt>
                <c:pt idx="446">
                  <c:v>88.45</c:v>
                </c:pt>
                <c:pt idx="447">
                  <c:v>88.45</c:v>
                </c:pt>
                <c:pt idx="448">
                  <c:v>88.49</c:v>
                </c:pt>
                <c:pt idx="449">
                  <c:v>86.59</c:v>
                </c:pt>
                <c:pt idx="450">
                  <c:v>86.59</c:v>
                </c:pt>
                <c:pt idx="451">
                  <c:v>86.59</c:v>
                </c:pt>
                <c:pt idx="452">
                  <c:v>87.53</c:v>
                </c:pt>
                <c:pt idx="453">
                  <c:v>87.93</c:v>
                </c:pt>
                <c:pt idx="454">
                  <c:v>86.03</c:v>
                </c:pt>
                <c:pt idx="455">
                  <c:v>85.76</c:v>
                </c:pt>
                <c:pt idx="456">
                  <c:v>85.8</c:v>
                </c:pt>
                <c:pt idx="457">
                  <c:v>85.8</c:v>
                </c:pt>
                <c:pt idx="458">
                  <c:v>85.8</c:v>
                </c:pt>
                <c:pt idx="459">
                  <c:v>85.35</c:v>
                </c:pt>
                <c:pt idx="460">
                  <c:v>86.25</c:v>
                </c:pt>
                <c:pt idx="461">
                  <c:v>85.09</c:v>
                </c:pt>
                <c:pt idx="462">
                  <c:v>85.72</c:v>
                </c:pt>
                <c:pt idx="463">
                  <c:v>87.34</c:v>
                </c:pt>
                <c:pt idx="464">
                  <c:v>87.34</c:v>
                </c:pt>
                <c:pt idx="465">
                  <c:v>87.34</c:v>
                </c:pt>
                <c:pt idx="466">
                  <c:v>85.86</c:v>
                </c:pt>
                <c:pt idx="467">
                  <c:v>85.49</c:v>
                </c:pt>
                <c:pt idx="468">
                  <c:v>86.47</c:v>
                </c:pt>
                <c:pt idx="469">
                  <c:v>89</c:v>
                </c:pt>
                <c:pt idx="470">
                  <c:v>89</c:v>
                </c:pt>
                <c:pt idx="471">
                  <c:v>89</c:v>
                </c:pt>
                <c:pt idx="472">
                  <c:v>89</c:v>
                </c:pt>
                <c:pt idx="473">
                  <c:v>89.25</c:v>
                </c:pt>
                <c:pt idx="474">
                  <c:v>89.24</c:v>
                </c:pt>
                <c:pt idx="475">
                  <c:v>90.14</c:v>
                </c:pt>
                <c:pt idx="476">
                  <c:v>89.57</c:v>
                </c:pt>
                <c:pt idx="477">
                  <c:v>89.62</c:v>
                </c:pt>
                <c:pt idx="478">
                  <c:v>89.62</c:v>
                </c:pt>
                <c:pt idx="479">
                  <c:v>89.62</c:v>
                </c:pt>
                <c:pt idx="480">
                  <c:v>89.61</c:v>
                </c:pt>
                <c:pt idx="481">
                  <c:v>91.09</c:v>
                </c:pt>
                <c:pt idx="482">
                  <c:v>91.44</c:v>
                </c:pt>
                <c:pt idx="483">
                  <c:v>92</c:v>
                </c:pt>
                <c:pt idx="484">
                  <c:v>93.05</c:v>
                </c:pt>
                <c:pt idx="485">
                  <c:v>93.05</c:v>
                </c:pt>
                <c:pt idx="486">
                  <c:v>93.05</c:v>
                </c:pt>
                <c:pt idx="487">
                  <c:v>92.7</c:v>
                </c:pt>
                <c:pt idx="488">
                  <c:v>92.27</c:v>
                </c:pt>
                <c:pt idx="489">
                  <c:v>93.14</c:v>
                </c:pt>
                <c:pt idx="490">
                  <c:v>96.29</c:v>
                </c:pt>
                <c:pt idx="491">
                  <c:v>94.72</c:v>
                </c:pt>
                <c:pt idx="492">
                  <c:v>94.72</c:v>
                </c:pt>
                <c:pt idx="493">
                  <c:v>94.72</c:v>
                </c:pt>
                <c:pt idx="494">
                  <c:v>94.23</c:v>
                </c:pt>
                <c:pt idx="495">
                  <c:v>92.91</c:v>
                </c:pt>
                <c:pt idx="496">
                  <c:v>92.36</c:v>
                </c:pt>
                <c:pt idx="497">
                  <c:v>93.98</c:v>
                </c:pt>
                <c:pt idx="498">
                  <c:v>94.05</c:v>
                </c:pt>
                <c:pt idx="499">
                  <c:v>94.05</c:v>
                </c:pt>
                <c:pt idx="500">
                  <c:v>94.05</c:v>
                </c:pt>
                <c:pt idx="501">
                  <c:v>93.59</c:v>
                </c:pt>
                <c:pt idx="502">
                  <c:v>94.01</c:v>
                </c:pt>
                <c:pt idx="503">
                  <c:v>93.88</c:v>
                </c:pt>
                <c:pt idx="504">
                  <c:v>92.65</c:v>
                </c:pt>
                <c:pt idx="505">
                  <c:v>93.35</c:v>
                </c:pt>
                <c:pt idx="506">
                  <c:v>93.35</c:v>
                </c:pt>
                <c:pt idx="507">
                  <c:v>93.35</c:v>
                </c:pt>
                <c:pt idx="508">
                  <c:v>93.24</c:v>
                </c:pt>
                <c:pt idx="509">
                  <c:v>92.53</c:v>
                </c:pt>
                <c:pt idx="510">
                  <c:v>93.92</c:v>
                </c:pt>
                <c:pt idx="511">
                  <c:v>93.69</c:v>
                </c:pt>
                <c:pt idx="512">
                  <c:v>93.61</c:v>
                </c:pt>
                <c:pt idx="513">
                  <c:v>93.61</c:v>
                </c:pt>
                <c:pt idx="514">
                  <c:v>93.61</c:v>
                </c:pt>
                <c:pt idx="515">
                  <c:v>95.5</c:v>
                </c:pt>
                <c:pt idx="516">
                  <c:v>94.97</c:v>
                </c:pt>
                <c:pt idx="517">
                  <c:v>96.14</c:v>
                </c:pt>
                <c:pt idx="518">
                  <c:v>97.71</c:v>
                </c:pt>
                <c:pt idx="519">
                  <c:v>97.39</c:v>
                </c:pt>
                <c:pt idx="520">
                  <c:v>97.39</c:v>
                </c:pt>
                <c:pt idx="521">
                  <c:v>97.39</c:v>
                </c:pt>
                <c:pt idx="522">
                  <c:v>97.07</c:v>
                </c:pt>
                <c:pt idx="523">
                  <c:v>97.78</c:v>
                </c:pt>
                <c:pt idx="524">
                  <c:v>97</c:v>
                </c:pt>
                <c:pt idx="525">
                  <c:v>97.74</c:v>
                </c:pt>
                <c:pt idx="526">
                  <c:v>98.08</c:v>
                </c:pt>
                <c:pt idx="527">
                  <c:v>98.08</c:v>
                </c:pt>
                <c:pt idx="528">
                  <c:v>98.08</c:v>
                </c:pt>
                <c:pt idx="529">
                  <c:v>98.08</c:v>
                </c:pt>
                <c:pt idx="530">
                  <c:v>97.31</c:v>
                </c:pt>
                <c:pt idx="531">
                  <c:v>96.86</c:v>
                </c:pt>
                <c:pt idx="532">
                  <c:v>95.85</c:v>
                </c:pt>
                <c:pt idx="533">
                  <c:v>97.61</c:v>
                </c:pt>
                <c:pt idx="534">
                  <c:v>97.61</c:v>
                </c:pt>
                <c:pt idx="535">
                  <c:v>97.61</c:v>
                </c:pt>
                <c:pt idx="536">
                  <c:v>98.4</c:v>
                </c:pt>
                <c:pt idx="537">
                  <c:v>95.61</c:v>
                </c:pt>
                <c:pt idx="538">
                  <c:v>93.66</c:v>
                </c:pt>
                <c:pt idx="539">
                  <c:v>91.59</c:v>
                </c:pt>
                <c:pt idx="540">
                  <c:v>91.58</c:v>
                </c:pt>
                <c:pt idx="541">
                  <c:v>91.58</c:v>
                </c:pt>
                <c:pt idx="542">
                  <c:v>91.58</c:v>
                </c:pt>
                <c:pt idx="543">
                  <c:v>90.85</c:v>
                </c:pt>
                <c:pt idx="544">
                  <c:v>91.44</c:v>
                </c:pt>
                <c:pt idx="545">
                  <c:v>91.89</c:v>
                </c:pt>
                <c:pt idx="546">
                  <c:v>91.35</c:v>
                </c:pt>
                <c:pt idx="547">
                  <c:v>91.73</c:v>
                </c:pt>
                <c:pt idx="548">
                  <c:v>91.73</c:v>
                </c:pt>
                <c:pt idx="549">
                  <c:v>91.73</c:v>
                </c:pt>
                <c:pt idx="550">
                  <c:v>90.61</c:v>
                </c:pt>
                <c:pt idx="551">
                  <c:v>89.44</c:v>
                </c:pt>
                <c:pt idx="552">
                  <c:v>88.57</c:v>
                </c:pt>
                <c:pt idx="553">
                  <c:v>89.81</c:v>
                </c:pt>
                <c:pt idx="554">
                  <c:v>89.38</c:v>
                </c:pt>
                <c:pt idx="555">
                  <c:v>89.38</c:v>
                </c:pt>
                <c:pt idx="556">
                  <c:v>89.38</c:v>
                </c:pt>
                <c:pt idx="557">
                  <c:v>88.83</c:v>
                </c:pt>
                <c:pt idx="558">
                  <c:v>89.21</c:v>
                </c:pt>
                <c:pt idx="559">
                  <c:v>89.4</c:v>
                </c:pt>
                <c:pt idx="560">
                  <c:v>89.47</c:v>
                </c:pt>
                <c:pt idx="561">
                  <c:v>89.53</c:v>
                </c:pt>
                <c:pt idx="562">
                  <c:v>89.53</c:v>
                </c:pt>
                <c:pt idx="563">
                  <c:v>89.53</c:v>
                </c:pt>
                <c:pt idx="564">
                  <c:v>89.23</c:v>
                </c:pt>
                <c:pt idx="565">
                  <c:v>88.11</c:v>
                </c:pt>
                <c:pt idx="566">
                  <c:v>87.85</c:v>
                </c:pt>
                <c:pt idx="567">
                  <c:v>89.19</c:v>
                </c:pt>
                <c:pt idx="568">
                  <c:v>89.19</c:v>
                </c:pt>
                <c:pt idx="569">
                  <c:v>89.19</c:v>
                </c:pt>
                <c:pt idx="570">
                  <c:v>89.19</c:v>
                </c:pt>
                <c:pt idx="571">
                  <c:v>90.7</c:v>
                </c:pt>
                <c:pt idx="572">
                  <c:v>89.84</c:v>
                </c:pt>
                <c:pt idx="573">
                  <c:v>88.81</c:v>
                </c:pt>
                <c:pt idx="574">
                  <c:v>90.17</c:v>
                </c:pt>
                <c:pt idx="575">
                  <c:v>89.54</c:v>
                </c:pt>
                <c:pt idx="576">
                  <c:v>89.54</c:v>
                </c:pt>
                <c:pt idx="577">
                  <c:v>89.54</c:v>
                </c:pt>
                <c:pt idx="578">
                  <c:v>88.49</c:v>
                </c:pt>
                <c:pt idx="579">
                  <c:v>87.33</c:v>
                </c:pt>
                <c:pt idx="580">
                  <c:v>88.59</c:v>
                </c:pt>
                <c:pt idx="581">
                  <c:v>88.75</c:v>
                </c:pt>
                <c:pt idx="582">
                  <c:v>90.24</c:v>
                </c:pt>
                <c:pt idx="583">
                  <c:v>90.24</c:v>
                </c:pt>
                <c:pt idx="584">
                  <c:v>90.24</c:v>
                </c:pt>
                <c:pt idx="585">
                  <c:v>89.73</c:v>
                </c:pt>
                <c:pt idx="586">
                  <c:v>88.19</c:v>
                </c:pt>
                <c:pt idx="587">
                  <c:v>89.7</c:v>
                </c:pt>
                <c:pt idx="588">
                  <c:v>89.62</c:v>
                </c:pt>
                <c:pt idx="589">
                  <c:v>89.36</c:v>
                </c:pt>
                <c:pt idx="590">
                  <c:v>89.36</c:v>
                </c:pt>
                <c:pt idx="591">
                  <c:v>89.36</c:v>
                </c:pt>
                <c:pt idx="592">
                  <c:v>88.75</c:v>
                </c:pt>
                <c:pt idx="593">
                  <c:v>88.17</c:v>
                </c:pt>
                <c:pt idx="594">
                  <c:v>88.26</c:v>
                </c:pt>
                <c:pt idx="595">
                  <c:v>88.78</c:v>
                </c:pt>
                <c:pt idx="596">
                  <c:v>88.5</c:v>
                </c:pt>
                <c:pt idx="597">
                  <c:v>88.5</c:v>
                </c:pt>
                <c:pt idx="598">
                  <c:v>88.5</c:v>
                </c:pt>
                <c:pt idx="599">
                  <c:v>88.45</c:v>
                </c:pt>
                <c:pt idx="600">
                  <c:v>87.41</c:v>
                </c:pt>
                <c:pt idx="601">
                  <c:v>88.83</c:v>
                </c:pt>
                <c:pt idx="602">
                  <c:v>90.51</c:v>
                </c:pt>
                <c:pt idx="603">
                  <c:v>90.51</c:v>
                </c:pt>
                <c:pt idx="604">
                  <c:v>90.51</c:v>
                </c:pt>
                <c:pt idx="605">
                  <c:v>90.51</c:v>
                </c:pt>
                <c:pt idx="606">
                  <c:v>89.56</c:v>
                </c:pt>
                <c:pt idx="607">
                  <c:v>89.33</c:v>
                </c:pt>
                <c:pt idx="608">
                  <c:v>88.35</c:v>
                </c:pt>
                <c:pt idx="609">
                  <c:v>89.06</c:v>
                </c:pt>
                <c:pt idx="610">
                  <c:v>88.72</c:v>
                </c:pt>
                <c:pt idx="611">
                  <c:v>88.72</c:v>
                </c:pt>
                <c:pt idx="612">
                  <c:v>88.72</c:v>
                </c:pt>
                <c:pt idx="613">
                  <c:v>88.79</c:v>
                </c:pt>
                <c:pt idx="614">
                  <c:v>89.17</c:v>
                </c:pt>
                <c:pt idx="615">
                  <c:v>91.58</c:v>
                </c:pt>
                <c:pt idx="616">
                  <c:v>92.43</c:v>
                </c:pt>
                <c:pt idx="617">
                  <c:v>92.43</c:v>
                </c:pt>
                <c:pt idx="618">
                  <c:v>92.43</c:v>
                </c:pt>
                <c:pt idx="619">
                  <c:v>92.43</c:v>
                </c:pt>
                <c:pt idx="620">
                  <c:v>92.91</c:v>
                </c:pt>
                <c:pt idx="621">
                  <c:v>92.55</c:v>
                </c:pt>
                <c:pt idx="622">
                  <c:v>92.24</c:v>
                </c:pt>
                <c:pt idx="623">
                  <c:v>92.09</c:v>
                </c:pt>
                <c:pt idx="624">
                  <c:v>92.09</c:v>
                </c:pt>
                <c:pt idx="625">
                  <c:v>92.09</c:v>
                </c:pt>
                <c:pt idx="626">
                  <c:v>92.09</c:v>
                </c:pt>
                <c:pt idx="627">
                  <c:v>92.65</c:v>
                </c:pt>
                <c:pt idx="628">
                  <c:v>91.34</c:v>
                </c:pt>
                <c:pt idx="629">
                  <c:v>93.45</c:v>
                </c:pt>
                <c:pt idx="630">
                  <c:v>92.91</c:v>
                </c:pt>
                <c:pt idx="631">
                  <c:v>92.28</c:v>
                </c:pt>
                <c:pt idx="632">
                  <c:v>92.28</c:v>
                </c:pt>
                <c:pt idx="633">
                  <c:v>92.28</c:v>
                </c:pt>
                <c:pt idx="634">
                  <c:v>93.29</c:v>
                </c:pt>
                <c:pt idx="635">
                  <c:v>92.7</c:v>
                </c:pt>
                <c:pt idx="636">
                  <c:v>92.22</c:v>
                </c:pt>
                <c:pt idx="637">
                  <c:v>91.59</c:v>
                </c:pt>
                <c:pt idx="638">
                  <c:v>91.23</c:v>
                </c:pt>
                <c:pt idx="639">
                  <c:v>91.23</c:v>
                </c:pt>
                <c:pt idx="640">
                  <c:v>91.23</c:v>
                </c:pt>
                <c:pt idx="641">
                  <c:v>91.5</c:v>
                </c:pt>
                <c:pt idx="642">
                  <c:v>90.83</c:v>
                </c:pt>
                <c:pt idx="643">
                  <c:v>90.63</c:v>
                </c:pt>
                <c:pt idx="644">
                  <c:v>90.6</c:v>
                </c:pt>
                <c:pt idx="645">
                  <c:v>89.54</c:v>
                </c:pt>
                <c:pt idx="646">
                  <c:v>89.54</c:v>
                </c:pt>
                <c:pt idx="647">
                  <c:v>89.54</c:v>
                </c:pt>
                <c:pt idx="648">
                  <c:v>88.86</c:v>
                </c:pt>
                <c:pt idx="649">
                  <c:v>87.8</c:v>
                </c:pt>
                <c:pt idx="650">
                  <c:v>87.4</c:v>
                </c:pt>
                <c:pt idx="651">
                  <c:v>88.62</c:v>
                </c:pt>
                <c:pt idx="652">
                  <c:v>87.59</c:v>
                </c:pt>
                <c:pt idx="653">
                  <c:v>87.59</c:v>
                </c:pt>
                <c:pt idx="654">
                  <c:v>87.59</c:v>
                </c:pt>
                <c:pt idx="655">
                  <c:v>87.47</c:v>
                </c:pt>
                <c:pt idx="656">
                  <c:v>87.47</c:v>
                </c:pt>
                <c:pt idx="657">
                  <c:v>86.87</c:v>
                </c:pt>
                <c:pt idx="658">
                  <c:v>86.86</c:v>
                </c:pt>
                <c:pt idx="659">
                  <c:v>86.98</c:v>
                </c:pt>
                <c:pt idx="660">
                  <c:v>86.98</c:v>
                </c:pt>
                <c:pt idx="661">
                  <c:v>86.98</c:v>
                </c:pt>
                <c:pt idx="662">
                  <c:v>86.99</c:v>
                </c:pt>
                <c:pt idx="663">
                  <c:v>87.11</c:v>
                </c:pt>
                <c:pt idx="664">
                  <c:v>86.4</c:v>
                </c:pt>
                <c:pt idx="665">
                  <c:v>80.47</c:v>
                </c:pt>
                <c:pt idx="666">
                  <c:v>80.31</c:v>
                </c:pt>
                <c:pt idx="667">
                  <c:v>80.31</c:v>
                </c:pt>
                <c:pt idx="668">
                  <c:v>80.31</c:v>
                </c:pt>
                <c:pt idx="669">
                  <c:v>78.14</c:v>
                </c:pt>
                <c:pt idx="670">
                  <c:v>78.27</c:v>
                </c:pt>
                <c:pt idx="671">
                  <c:v>78.34</c:v>
                </c:pt>
                <c:pt idx="672">
                  <c:v>78.900000000000006</c:v>
                </c:pt>
                <c:pt idx="673">
                  <c:v>79.010000000000005</c:v>
                </c:pt>
                <c:pt idx="674">
                  <c:v>79.010000000000005</c:v>
                </c:pt>
                <c:pt idx="675">
                  <c:v>79.010000000000005</c:v>
                </c:pt>
                <c:pt idx="676">
                  <c:v>77.8</c:v>
                </c:pt>
                <c:pt idx="677">
                  <c:v>76.17</c:v>
                </c:pt>
                <c:pt idx="678">
                  <c:v>76.55</c:v>
                </c:pt>
                <c:pt idx="679">
                  <c:v>75.55</c:v>
                </c:pt>
                <c:pt idx="680">
                  <c:v>74.81</c:v>
                </c:pt>
                <c:pt idx="681">
                  <c:v>74.81</c:v>
                </c:pt>
                <c:pt idx="682">
                  <c:v>74.81</c:v>
                </c:pt>
                <c:pt idx="683">
                  <c:v>76.28</c:v>
                </c:pt>
                <c:pt idx="684">
                  <c:v>76.22</c:v>
                </c:pt>
                <c:pt idx="685">
                  <c:v>76.099999999999994</c:v>
                </c:pt>
                <c:pt idx="686">
                  <c:v>76.7</c:v>
                </c:pt>
                <c:pt idx="687">
                  <c:v>77.98</c:v>
                </c:pt>
                <c:pt idx="688">
                  <c:v>77.98</c:v>
                </c:pt>
                <c:pt idx="689">
                  <c:v>77.98</c:v>
                </c:pt>
                <c:pt idx="690">
                  <c:v>78.11</c:v>
                </c:pt>
                <c:pt idx="691">
                  <c:v>79.959999999999994</c:v>
                </c:pt>
                <c:pt idx="692">
                  <c:v>83.75</c:v>
                </c:pt>
                <c:pt idx="693">
                  <c:v>82.28</c:v>
                </c:pt>
                <c:pt idx="694">
                  <c:v>80.75</c:v>
                </c:pt>
                <c:pt idx="695">
                  <c:v>80.75</c:v>
                </c:pt>
                <c:pt idx="696">
                  <c:v>80.75</c:v>
                </c:pt>
                <c:pt idx="697">
                  <c:v>82.61</c:v>
                </c:pt>
                <c:pt idx="698">
                  <c:v>83.78</c:v>
                </c:pt>
                <c:pt idx="699">
                  <c:v>82.87</c:v>
                </c:pt>
                <c:pt idx="700">
                  <c:v>82.58</c:v>
                </c:pt>
                <c:pt idx="701">
                  <c:v>82.04</c:v>
                </c:pt>
                <c:pt idx="702">
                  <c:v>82.04</c:v>
                </c:pt>
                <c:pt idx="703">
                  <c:v>82.04</c:v>
                </c:pt>
                <c:pt idx="704">
                  <c:v>80.7</c:v>
                </c:pt>
                <c:pt idx="705">
                  <c:v>80.89</c:v>
                </c:pt>
                <c:pt idx="706">
                  <c:v>79.58</c:v>
                </c:pt>
                <c:pt idx="707">
                  <c:v>81.06</c:v>
                </c:pt>
                <c:pt idx="708">
                  <c:v>83.04</c:v>
                </c:pt>
                <c:pt idx="709">
                  <c:v>83.04</c:v>
                </c:pt>
                <c:pt idx="710">
                  <c:v>83.04</c:v>
                </c:pt>
                <c:pt idx="711">
                  <c:v>83.61</c:v>
                </c:pt>
                <c:pt idx="712">
                  <c:v>83.56</c:v>
                </c:pt>
                <c:pt idx="713">
                  <c:v>81.75</c:v>
                </c:pt>
                <c:pt idx="714">
                  <c:v>81.98</c:v>
                </c:pt>
                <c:pt idx="715">
                  <c:v>82.01</c:v>
                </c:pt>
                <c:pt idx="716">
                  <c:v>82.01</c:v>
                </c:pt>
                <c:pt idx="717">
                  <c:v>82.01</c:v>
                </c:pt>
                <c:pt idx="718">
                  <c:v>81.790000000000006</c:v>
                </c:pt>
                <c:pt idx="719">
                  <c:v>83.57</c:v>
                </c:pt>
                <c:pt idx="720">
                  <c:v>83.61</c:v>
                </c:pt>
                <c:pt idx="721">
                  <c:v>84.72</c:v>
                </c:pt>
                <c:pt idx="722">
                  <c:v>83.93</c:v>
                </c:pt>
                <c:pt idx="723">
                  <c:v>83.93</c:v>
                </c:pt>
                <c:pt idx="724">
                  <c:v>83.93</c:v>
                </c:pt>
                <c:pt idx="725">
                  <c:v>84</c:v>
                </c:pt>
                <c:pt idx="726">
                  <c:v>82.58</c:v>
                </c:pt>
                <c:pt idx="727">
                  <c:v>85.5</c:v>
                </c:pt>
                <c:pt idx="728">
                  <c:v>85.28</c:v>
                </c:pt>
                <c:pt idx="729">
                  <c:v>84.87</c:v>
                </c:pt>
                <c:pt idx="730">
                  <c:v>84.87</c:v>
                </c:pt>
                <c:pt idx="731">
                  <c:v>84.87</c:v>
                </c:pt>
                <c:pt idx="732">
                  <c:v>84.93</c:v>
                </c:pt>
                <c:pt idx="733">
                  <c:v>85.48</c:v>
                </c:pt>
                <c:pt idx="734">
                  <c:v>86.72</c:v>
                </c:pt>
                <c:pt idx="735">
                  <c:v>88.57</c:v>
                </c:pt>
                <c:pt idx="736">
                  <c:v>88.57</c:v>
                </c:pt>
                <c:pt idx="737">
                  <c:v>88.57</c:v>
                </c:pt>
                <c:pt idx="738">
                  <c:v>88.57</c:v>
                </c:pt>
                <c:pt idx="739">
                  <c:v>87.75</c:v>
                </c:pt>
                <c:pt idx="740">
                  <c:v>88.04</c:v>
                </c:pt>
                <c:pt idx="741">
                  <c:v>87.72</c:v>
                </c:pt>
                <c:pt idx="742">
                  <c:v>88.12</c:v>
                </c:pt>
                <c:pt idx="743">
                  <c:v>86.87</c:v>
                </c:pt>
                <c:pt idx="744">
                  <c:v>86.87</c:v>
                </c:pt>
                <c:pt idx="745">
                  <c:v>86.87</c:v>
                </c:pt>
                <c:pt idx="746">
                  <c:v>86.25</c:v>
                </c:pt>
                <c:pt idx="747">
                  <c:v>88.2</c:v>
                </c:pt>
                <c:pt idx="748">
                  <c:v>87.35</c:v>
                </c:pt>
                <c:pt idx="749">
                  <c:v>86.86</c:v>
                </c:pt>
                <c:pt idx="750">
                  <c:v>86.89</c:v>
                </c:pt>
                <c:pt idx="751">
                  <c:v>86.89</c:v>
                </c:pt>
                <c:pt idx="752">
                  <c:v>86.89</c:v>
                </c:pt>
                <c:pt idx="753">
                  <c:v>86.13</c:v>
                </c:pt>
                <c:pt idx="754">
                  <c:v>87.48</c:v>
                </c:pt>
                <c:pt idx="755">
                  <c:v>87.88</c:v>
                </c:pt>
                <c:pt idx="756">
                  <c:v>89.86</c:v>
                </c:pt>
                <c:pt idx="757">
                  <c:v>88.43</c:v>
                </c:pt>
                <c:pt idx="758">
                  <c:v>88.43</c:v>
                </c:pt>
                <c:pt idx="759">
                  <c:v>88.43</c:v>
                </c:pt>
                <c:pt idx="760">
                  <c:v>87.38</c:v>
                </c:pt>
                <c:pt idx="761">
                  <c:v>85.57</c:v>
                </c:pt>
                <c:pt idx="762">
                  <c:v>85.4</c:v>
                </c:pt>
                <c:pt idx="763">
                  <c:v>87.05</c:v>
                </c:pt>
                <c:pt idx="764">
                  <c:v>86.52</c:v>
                </c:pt>
                <c:pt idx="765">
                  <c:v>86.52</c:v>
                </c:pt>
                <c:pt idx="766">
                  <c:v>86.52</c:v>
                </c:pt>
                <c:pt idx="767">
                  <c:v>86.82</c:v>
                </c:pt>
                <c:pt idx="768">
                  <c:v>87.35</c:v>
                </c:pt>
                <c:pt idx="769">
                  <c:v>87.5</c:v>
                </c:pt>
                <c:pt idx="770">
                  <c:v>87</c:v>
                </c:pt>
                <c:pt idx="771">
                  <c:v>86.99</c:v>
                </c:pt>
                <c:pt idx="772">
                  <c:v>86.99</c:v>
                </c:pt>
                <c:pt idx="773">
                  <c:v>86.99</c:v>
                </c:pt>
                <c:pt idx="774">
                  <c:v>86.37</c:v>
                </c:pt>
                <c:pt idx="775">
                  <c:v>87.64</c:v>
                </c:pt>
                <c:pt idx="776">
                  <c:v>88.32</c:v>
                </c:pt>
                <c:pt idx="777">
                  <c:v>87.86</c:v>
                </c:pt>
                <c:pt idx="778">
                  <c:v>88.44</c:v>
                </c:pt>
                <c:pt idx="779">
                  <c:v>88.44</c:v>
                </c:pt>
                <c:pt idx="780">
                  <c:v>88.44</c:v>
                </c:pt>
                <c:pt idx="781">
                  <c:v>88.94</c:v>
                </c:pt>
                <c:pt idx="782">
                  <c:v>88.7</c:v>
                </c:pt>
                <c:pt idx="783">
                  <c:v>88.32</c:v>
                </c:pt>
                <c:pt idx="784">
                  <c:v>87.32</c:v>
                </c:pt>
                <c:pt idx="785">
                  <c:v>86.64</c:v>
                </c:pt>
                <c:pt idx="786">
                  <c:v>86.64</c:v>
                </c:pt>
                <c:pt idx="787">
                  <c:v>86.64</c:v>
                </c:pt>
                <c:pt idx="788">
                  <c:v>87.61</c:v>
                </c:pt>
                <c:pt idx="789">
                  <c:v>86.9</c:v>
                </c:pt>
                <c:pt idx="790">
                  <c:v>87.31</c:v>
                </c:pt>
                <c:pt idx="791">
                  <c:v>86.49</c:v>
                </c:pt>
                <c:pt idx="792">
                  <c:v>85.81</c:v>
                </c:pt>
                <c:pt idx="793">
                  <c:v>85.81</c:v>
                </c:pt>
                <c:pt idx="794">
                  <c:v>85.81</c:v>
                </c:pt>
                <c:pt idx="795">
                  <c:v>85.47</c:v>
                </c:pt>
                <c:pt idx="796">
                  <c:v>85.14</c:v>
                </c:pt>
                <c:pt idx="797">
                  <c:v>85.72</c:v>
                </c:pt>
                <c:pt idx="798">
                  <c:v>85.72</c:v>
                </c:pt>
                <c:pt idx="799">
                  <c:v>84.69</c:v>
                </c:pt>
                <c:pt idx="800">
                  <c:v>84.69</c:v>
                </c:pt>
                <c:pt idx="801">
                  <c:v>84.69</c:v>
                </c:pt>
                <c:pt idx="802">
                  <c:v>84.77</c:v>
                </c:pt>
                <c:pt idx="803">
                  <c:v>83.13</c:v>
                </c:pt>
                <c:pt idx="804">
                  <c:v>85.71</c:v>
                </c:pt>
                <c:pt idx="805">
                  <c:v>85.08</c:v>
                </c:pt>
                <c:pt idx="806">
                  <c:v>84.99</c:v>
                </c:pt>
                <c:pt idx="807">
                  <c:v>84.99</c:v>
                </c:pt>
                <c:pt idx="808">
                  <c:v>84.99</c:v>
                </c:pt>
                <c:pt idx="809">
                  <c:v>85.54</c:v>
                </c:pt>
                <c:pt idx="810">
                  <c:v>86.56</c:v>
                </c:pt>
                <c:pt idx="811">
                  <c:v>86.42</c:v>
                </c:pt>
                <c:pt idx="812">
                  <c:v>86.67</c:v>
                </c:pt>
                <c:pt idx="813">
                  <c:v>86.67</c:v>
                </c:pt>
                <c:pt idx="814">
                  <c:v>86.67</c:v>
                </c:pt>
                <c:pt idx="815">
                  <c:v>86.67</c:v>
                </c:pt>
                <c:pt idx="816">
                  <c:v>86.31</c:v>
                </c:pt>
                <c:pt idx="817">
                  <c:v>86.2</c:v>
                </c:pt>
                <c:pt idx="818">
                  <c:v>85.21</c:v>
                </c:pt>
                <c:pt idx="819">
                  <c:v>84.95</c:v>
                </c:pt>
                <c:pt idx="820">
                  <c:v>83.57</c:v>
                </c:pt>
                <c:pt idx="821">
                  <c:v>83.57</c:v>
                </c:pt>
                <c:pt idx="822">
                  <c:v>83.57</c:v>
                </c:pt>
                <c:pt idx="823">
                  <c:v>83.02</c:v>
                </c:pt>
                <c:pt idx="824">
                  <c:v>83.09</c:v>
                </c:pt>
                <c:pt idx="825">
                  <c:v>83.06</c:v>
                </c:pt>
                <c:pt idx="826">
                  <c:v>81.93</c:v>
                </c:pt>
                <c:pt idx="827">
                  <c:v>81</c:v>
                </c:pt>
                <c:pt idx="828">
                  <c:v>81</c:v>
                </c:pt>
                <c:pt idx="829">
                  <c:v>81</c:v>
                </c:pt>
                <c:pt idx="830">
                  <c:v>77.55</c:v>
                </c:pt>
                <c:pt idx="831">
                  <c:v>78.05</c:v>
                </c:pt>
                <c:pt idx="832">
                  <c:v>76.81</c:v>
                </c:pt>
                <c:pt idx="833">
                  <c:v>77.06</c:v>
                </c:pt>
                <c:pt idx="834">
                  <c:v>77.06</c:v>
                </c:pt>
                <c:pt idx="835">
                  <c:v>77.06</c:v>
                </c:pt>
                <c:pt idx="836">
                  <c:v>77.06</c:v>
                </c:pt>
                <c:pt idx="837">
                  <c:v>76.66</c:v>
                </c:pt>
                <c:pt idx="838">
                  <c:v>76.599999999999994</c:v>
                </c:pt>
                <c:pt idx="839">
                  <c:v>78.31</c:v>
                </c:pt>
                <c:pt idx="840">
                  <c:v>79.400000000000006</c:v>
                </c:pt>
                <c:pt idx="841">
                  <c:v>79.28</c:v>
                </c:pt>
                <c:pt idx="842">
                  <c:v>79.28</c:v>
                </c:pt>
                <c:pt idx="843">
                  <c:v>79.28</c:v>
                </c:pt>
                <c:pt idx="844">
                  <c:v>79.81</c:v>
                </c:pt>
                <c:pt idx="845">
                  <c:v>79.86</c:v>
                </c:pt>
                <c:pt idx="846">
                  <c:v>78.5</c:v>
                </c:pt>
                <c:pt idx="847">
                  <c:v>79.45</c:v>
                </c:pt>
                <c:pt idx="848">
                  <c:v>78.14</c:v>
                </c:pt>
                <c:pt idx="849">
                  <c:v>78.14</c:v>
                </c:pt>
                <c:pt idx="850">
                  <c:v>78.14</c:v>
                </c:pt>
                <c:pt idx="851">
                  <c:v>77.88</c:v>
                </c:pt>
                <c:pt idx="852">
                  <c:v>80.02</c:v>
                </c:pt>
                <c:pt idx="853">
                  <c:v>80.150000000000006</c:v>
                </c:pt>
                <c:pt idx="854">
                  <c:v>82.5</c:v>
                </c:pt>
                <c:pt idx="855">
                  <c:v>83.7</c:v>
                </c:pt>
                <c:pt idx="856">
                  <c:v>83.7</c:v>
                </c:pt>
                <c:pt idx="857">
                  <c:v>83.7</c:v>
                </c:pt>
                <c:pt idx="858">
                  <c:v>81.37</c:v>
                </c:pt>
                <c:pt idx="859">
                  <c:v>81.96</c:v>
                </c:pt>
                <c:pt idx="860">
                  <c:v>82.81</c:v>
                </c:pt>
                <c:pt idx="861">
                  <c:v>83.61</c:v>
                </c:pt>
                <c:pt idx="862">
                  <c:v>83.05</c:v>
                </c:pt>
                <c:pt idx="863">
                  <c:v>83.05</c:v>
                </c:pt>
                <c:pt idx="864">
                  <c:v>83.05</c:v>
                </c:pt>
                <c:pt idx="865">
                  <c:v>82.31</c:v>
                </c:pt>
                <c:pt idx="866">
                  <c:v>80.73</c:v>
                </c:pt>
                <c:pt idx="867">
                  <c:v>81.569999999999993</c:v>
                </c:pt>
                <c:pt idx="868">
                  <c:v>82.9</c:v>
                </c:pt>
                <c:pt idx="869">
                  <c:v>82.35</c:v>
                </c:pt>
                <c:pt idx="870">
                  <c:v>82.35</c:v>
                </c:pt>
                <c:pt idx="871">
                  <c:v>82.35</c:v>
                </c:pt>
                <c:pt idx="872">
                  <c:v>83.14</c:v>
                </c:pt>
                <c:pt idx="873">
                  <c:v>82.62</c:v>
                </c:pt>
                <c:pt idx="874">
                  <c:v>82.95</c:v>
                </c:pt>
                <c:pt idx="875">
                  <c:v>83.47</c:v>
                </c:pt>
                <c:pt idx="876">
                  <c:v>82.72</c:v>
                </c:pt>
                <c:pt idx="877">
                  <c:v>82.72</c:v>
                </c:pt>
                <c:pt idx="878">
                  <c:v>82.72</c:v>
                </c:pt>
                <c:pt idx="879">
                  <c:v>82.69</c:v>
                </c:pt>
                <c:pt idx="880">
                  <c:v>82.21</c:v>
                </c:pt>
                <c:pt idx="881">
                  <c:v>81.77</c:v>
                </c:pt>
                <c:pt idx="882">
                  <c:v>81.33</c:v>
                </c:pt>
                <c:pt idx="883">
                  <c:v>80.27</c:v>
                </c:pt>
                <c:pt idx="884">
                  <c:v>80.27</c:v>
                </c:pt>
                <c:pt idx="885">
                  <c:v>80.27</c:v>
                </c:pt>
                <c:pt idx="886">
                  <c:v>80.27</c:v>
                </c:pt>
                <c:pt idx="887">
                  <c:v>80.040000000000006</c:v>
                </c:pt>
                <c:pt idx="888">
                  <c:v>81.760000000000005</c:v>
                </c:pt>
                <c:pt idx="889">
                  <c:v>84.5</c:v>
                </c:pt>
                <c:pt idx="890">
                  <c:v>84.32</c:v>
                </c:pt>
                <c:pt idx="891">
                  <c:v>84.32</c:v>
                </c:pt>
                <c:pt idx="892">
                  <c:v>84.32</c:v>
                </c:pt>
                <c:pt idx="893">
                  <c:v>83.54</c:v>
                </c:pt>
                <c:pt idx="894">
                  <c:v>83.48</c:v>
                </c:pt>
                <c:pt idx="895">
                  <c:v>83.02</c:v>
                </c:pt>
                <c:pt idx="896">
                  <c:v>81.709999999999994</c:v>
                </c:pt>
                <c:pt idx="897">
                  <c:v>81.180000000000007</c:v>
                </c:pt>
                <c:pt idx="898">
                  <c:v>81.180000000000007</c:v>
                </c:pt>
                <c:pt idx="899">
                  <c:v>81.180000000000007</c:v>
                </c:pt>
                <c:pt idx="900">
                  <c:v>80.84</c:v>
                </c:pt>
                <c:pt idx="901">
                  <c:v>81.790000000000006</c:v>
                </c:pt>
                <c:pt idx="902">
                  <c:v>83.95</c:v>
                </c:pt>
                <c:pt idx="903">
                  <c:v>82.56</c:v>
                </c:pt>
                <c:pt idx="904">
                  <c:v>82.36</c:v>
                </c:pt>
                <c:pt idx="905">
                  <c:v>82.36</c:v>
                </c:pt>
                <c:pt idx="906">
                  <c:v>82.36</c:v>
                </c:pt>
                <c:pt idx="907">
                  <c:v>83.46</c:v>
                </c:pt>
                <c:pt idx="908">
                  <c:v>82.79</c:v>
                </c:pt>
                <c:pt idx="909">
                  <c:v>85.08</c:v>
                </c:pt>
                <c:pt idx="910">
                  <c:v>83.72</c:v>
                </c:pt>
                <c:pt idx="911">
                  <c:v>84.26</c:v>
                </c:pt>
                <c:pt idx="912">
                  <c:v>84.26</c:v>
                </c:pt>
                <c:pt idx="913">
                  <c:v>84.26</c:v>
                </c:pt>
                <c:pt idx="914">
                  <c:v>87.72</c:v>
                </c:pt>
                <c:pt idx="915">
                  <c:v>89.15</c:v>
                </c:pt>
                <c:pt idx="916">
                  <c:v>90.78</c:v>
                </c:pt>
                <c:pt idx="917">
                  <c:v>89.28</c:v>
                </c:pt>
                <c:pt idx="918">
                  <c:v>89.71</c:v>
                </c:pt>
                <c:pt idx="919">
                  <c:v>89.71</c:v>
                </c:pt>
                <c:pt idx="920">
                  <c:v>89.71</c:v>
                </c:pt>
                <c:pt idx="921">
                  <c:v>88.31</c:v>
                </c:pt>
                <c:pt idx="922">
                  <c:v>87.89</c:v>
                </c:pt>
                <c:pt idx="923">
                  <c:v>86.36</c:v>
                </c:pt>
                <c:pt idx="924">
                  <c:v>86.77</c:v>
                </c:pt>
                <c:pt idx="925">
                  <c:v>87.14</c:v>
                </c:pt>
                <c:pt idx="926">
                  <c:v>87.14</c:v>
                </c:pt>
                <c:pt idx="927">
                  <c:v>87.14</c:v>
                </c:pt>
                <c:pt idx="928">
                  <c:v>88.07</c:v>
                </c:pt>
                <c:pt idx="929">
                  <c:v>88.15</c:v>
                </c:pt>
                <c:pt idx="930">
                  <c:v>88.78</c:v>
                </c:pt>
                <c:pt idx="931">
                  <c:v>89.39</c:v>
                </c:pt>
                <c:pt idx="932">
                  <c:v>89.39</c:v>
                </c:pt>
                <c:pt idx="933">
                  <c:v>89.39</c:v>
                </c:pt>
                <c:pt idx="934">
                  <c:v>89.39</c:v>
                </c:pt>
                <c:pt idx="935">
                  <c:v>90.41</c:v>
                </c:pt>
                <c:pt idx="936">
                  <c:v>90.48</c:v>
                </c:pt>
                <c:pt idx="937">
                  <c:v>91.11</c:v>
                </c:pt>
                <c:pt idx="938">
                  <c:v>90.25</c:v>
                </c:pt>
                <c:pt idx="939">
                  <c:v>89.81</c:v>
                </c:pt>
                <c:pt idx="940">
                  <c:v>89.81</c:v>
                </c:pt>
                <c:pt idx="941">
                  <c:v>89.81</c:v>
                </c:pt>
                <c:pt idx="942">
                  <c:v>90.1</c:v>
                </c:pt>
                <c:pt idx="943">
                  <c:v>91.08</c:v>
                </c:pt>
                <c:pt idx="944">
                  <c:v>90.58</c:v>
                </c:pt>
                <c:pt idx="945">
                  <c:v>88.24</c:v>
                </c:pt>
                <c:pt idx="946">
                  <c:v>87.64</c:v>
                </c:pt>
                <c:pt idx="947">
                  <c:v>87.64</c:v>
                </c:pt>
                <c:pt idx="948">
                  <c:v>87.64</c:v>
                </c:pt>
                <c:pt idx="949">
                  <c:v>87.1</c:v>
                </c:pt>
                <c:pt idx="950">
                  <c:v>87.14</c:v>
                </c:pt>
                <c:pt idx="951">
                  <c:v>87.27</c:v>
                </c:pt>
                <c:pt idx="952">
                  <c:v>85.64</c:v>
                </c:pt>
                <c:pt idx="953">
                  <c:v>85.95</c:v>
                </c:pt>
                <c:pt idx="954">
                  <c:v>85.95</c:v>
                </c:pt>
                <c:pt idx="955">
                  <c:v>85.95</c:v>
                </c:pt>
                <c:pt idx="956">
                  <c:v>86.75</c:v>
                </c:pt>
                <c:pt idx="957">
                  <c:v>87.06</c:v>
                </c:pt>
                <c:pt idx="958">
                  <c:v>87.49</c:v>
                </c:pt>
                <c:pt idx="959">
                  <c:v>86.11</c:v>
                </c:pt>
                <c:pt idx="960">
                  <c:v>86.75</c:v>
                </c:pt>
                <c:pt idx="961">
                  <c:v>86.75</c:v>
                </c:pt>
                <c:pt idx="962">
                  <c:v>86.75</c:v>
                </c:pt>
                <c:pt idx="963">
                  <c:v>85.6</c:v>
                </c:pt>
                <c:pt idx="964">
                  <c:v>85.75</c:v>
                </c:pt>
                <c:pt idx="965">
                  <c:v>86.58</c:v>
                </c:pt>
                <c:pt idx="966">
                  <c:v>86.4</c:v>
                </c:pt>
                <c:pt idx="967">
                  <c:v>86.4</c:v>
                </c:pt>
                <c:pt idx="968">
                  <c:v>86.4</c:v>
                </c:pt>
                <c:pt idx="969">
                  <c:v>86.4</c:v>
                </c:pt>
                <c:pt idx="970">
                  <c:v>85.87</c:v>
                </c:pt>
                <c:pt idx="971">
                  <c:v>83.99</c:v>
                </c:pt>
                <c:pt idx="972">
                  <c:v>83.63</c:v>
                </c:pt>
                <c:pt idx="973">
                  <c:v>82.07</c:v>
                </c:pt>
                <c:pt idx="974">
                  <c:v>83.15</c:v>
                </c:pt>
                <c:pt idx="975">
                  <c:v>83.15</c:v>
                </c:pt>
                <c:pt idx="976">
                  <c:v>83.15</c:v>
                </c:pt>
                <c:pt idx="977">
                  <c:v>81.2</c:v>
                </c:pt>
                <c:pt idx="978">
                  <c:v>84.09</c:v>
                </c:pt>
                <c:pt idx="979">
                  <c:v>83.71</c:v>
                </c:pt>
                <c:pt idx="980">
                  <c:v>84.93</c:v>
                </c:pt>
                <c:pt idx="981">
                  <c:v>84.93</c:v>
                </c:pt>
                <c:pt idx="982">
                  <c:v>84.93</c:v>
                </c:pt>
                <c:pt idx="983">
                  <c:v>84.93</c:v>
                </c:pt>
                <c:pt idx="984">
                  <c:v>85</c:v>
                </c:pt>
                <c:pt idx="985">
                  <c:v>84.16</c:v>
                </c:pt>
                <c:pt idx="986">
                  <c:v>85.64</c:v>
                </c:pt>
                <c:pt idx="987">
                  <c:v>84.69</c:v>
                </c:pt>
                <c:pt idx="988">
                  <c:v>84.69</c:v>
                </c:pt>
                <c:pt idx="989">
                  <c:v>84.69</c:v>
                </c:pt>
                <c:pt idx="990">
                  <c:v>84.69</c:v>
                </c:pt>
                <c:pt idx="991">
                  <c:v>84.53</c:v>
                </c:pt>
                <c:pt idx="992">
                  <c:v>84.63</c:v>
                </c:pt>
                <c:pt idx="993">
                  <c:v>83.7</c:v>
                </c:pt>
                <c:pt idx="994">
                  <c:v>82.88</c:v>
                </c:pt>
                <c:pt idx="995">
                  <c:v>82.77</c:v>
                </c:pt>
                <c:pt idx="996">
                  <c:v>82.77</c:v>
                </c:pt>
                <c:pt idx="997">
                  <c:v>82.77</c:v>
                </c:pt>
                <c:pt idx="998">
                  <c:v>83.67</c:v>
                </c:pt>
                <c:pt idx="999">
                  <c:v>85.02</c:v>
                </c:pt>
                <c:pt idx="1000">
                  <c:v>85.35</c:v>
                </c:pt>
                <c:pt idx="1001">
                  <c:v>84.19</c:v>
                </c:pt>
                <c:pt idx="1002">
                  <c:v>83.71</c:v>
                </c:pt>
                <c:pt idx="1003">
                  <c:v>83.71</c:v>
                </c:pt>
                <c:pt idx="1004">
                  <c:v>83.71</c:v>
                </c:pt>
                <c:pt idx="1005">
                  <c:v>85.49</c:v>
                </c:pt>
                <c:pt idx="1006">
                  <c:v>84.95</c:v>
                </c:pt>
                <c:pt idx="1007">
                  <c:v>85.24</c:v>
                </c:pt>
                <c:pt idx="1008">
                  <c:v>84.69</c:v>
                </c:pt>
                <c:pt idx="1009">
                  <c:v>85.9</c:v>
                </c:pt>
                <c:pt idx="1010">
                  <c:v>85.9</c:v>
                </c:pt>
                <c:pt idx="1011">
                  <c:v>85.9</c:v>
                </c:pt>
                <c:pt idx="1012">
                  <c:v>85.01</c:v>
                </c:pt>
                <c:pt idx="1013">
                  <c:v>85</c:v>
                </c:pt>
                <c:pt idx="1014">
                  <c:v>82.61</c:v>
                </c:pt>
                <c:pt idx="1015">
                  <c:v>82.49</c:v>
                </c:pt>
                <c:pt idx="1016">
                  <c:v>84.1</c:v>
                </c:pt>
                <c:pt idx="1017">
                  <c:v>84.1</c:v>
                </c:pt>
                <c:pt idx="1018">
                  <c:v>84.1</c:v>
                </c:pt>
                <c:pt idx="1019">
                  <c:v>83.89</c:v>
                </c:pt>
                <c:pt idx="1020">
                  <c:v>83.89</c:v>
                </c:pt>
                <c:pt idx="1021">
                  <c:v>83.69</c:v>
                </c:pt>
                <c:pt idx="1022">
                  <c:v>81.66</c:v>
                </c:pt>
                <c:pt idx="1023">
                  <c:v>79.87</c:v>
                </c:pt>
                <c:pt idx="1024">
                  <c:v>79.87</c:v>
                </c:pt>
                <c:pt idx="1025">
                  <c:v>79.87</c:v>
                </c:pt>
                <c:pt idx="1026">
                  <c:v>78.67</c:v>
                </c:pt>
                <c:pt idx="1027">
                  <c:v>79.319999999999993</c:v>
                </c:pt>
                <c:pt idx="1028">
                  <c:v>79.81</c:v>
                </c:pt>
                <c:pt idx="1029">
                  <c:v>78.209999999999994</c:v>
                </c:pt>
                <c:pt idx="1030">
                  <c:v>77.650000000000006</c:v>
                </c:pt>
                <c:pt idx="1031">
                  <c:v>77.650000000000006</c:v>
                </c:pt>
                <c:pt idx="1032">
                  <c:v>77.650000000000006</c:v>
                </c:pt>
                <c:pt idx="1033">
                  <c:v>78.489999999999995</c:v>
                </c:pt>
                <c:pt idx="1034">
                  <c:v>75.25</c:v>
                </c:pt>
                <c:pt idx="1035">
                  <c:v>76.73</c:v>
                </c:pt>
                <c:pt idx="1036">
                  <c:v>76.63</c:v>
                </c:pt>
                <c:pt idx="1037">
                  <c:v>75.87</c:v>
                </c:pt>
                <c:pt idx="1038">
                  <c:v>75.87</c:v>
                </c:pt>
                <c:pt idx="1039">
                  <c:v>75.87</c:v>
                </c:pt>
                <c:pt idx="1040">
                  <c:v>74.66</c:v>
                </c:pt>
                <c:pt idx="1041">
                  <c:v>73.72</c:v>
                </c:pt>
                <c:pt idx="1042">
                  <c:v>75.73</c:v>
                </c:pt>
                <c:pt idx="1043">
                  <c:v>75.28</c:v>
                </c:pt>
                <c:pt idx="1044">
                  <c:v>75.599999999999994</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General</c:formatCode>
                <c:ptCount val="5"/>
                <c:pt idx="0">
                  <c:v>3.5</c:v>
                </c:pt>
                <c:pt idx="1">
                  <c:v>2</c:v>
                </c:pt>
                <c:pt idx="2">
                  <c:v>3</c:v>
                </c:pt>
                <c:pt idx="3">
                  <c:v>4</c:v>
                </c:pt>
                <c:pt idx="4">
                  <c:v>5</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ACMR US Equity</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Data'!$U$5:$U$159</c:f>
              <c:numCache>
                <c:formatCode>General</c:formatCode>
                <c:ptCount val="155"/>
                <c:pt idx="0">
                  <c:v>1.8710273466371026</c:v>
                </c:pt>
                <c:pt idx="1">
                  <c:v>1.8201034737620101</c:v>
                </c:pt>
                <c:pt idx="2">
                  <c:v>1.8201034737620101</c:v>
                </c:pt>
                <c:pt idx="3">
                  <c:v>1.7779748706577974</c:v>
                </c:pt>
                <c:pt idx="4">
                  <c:v>1.76260162601626</c:v>
                </c:pt>
                <c:pt idx="5">
                  <c:v>1.6546932742054692</c:v>
                </c:pt>
                <c:pt idx="6">
                  <c:v>1.6827790096082778</c:v>
                </c:pt>
                <c:pt idx="7">
                  <c:v>1.6579453067257943</c:v>
                </c:pt>
                <c:pt idx="8">
                  <c:v>1.6932742054693273</c:v>
                </c:pt>
                <c:pt idx="9">
                  <c:v>1.7062823355506282</c:v>
                </c:pt>
                <c:pt idx="10">
                  <c:v>1.6682926829268292</c:v>
                </c:pt>
                <c:pt idx="11">
                  <c:v>1.648780487804878</c:v>
                </c:pt>
                <c:pt idx="12">
                  <c:v>1.6712490761271248</c:v>
                </c:pt>
                <c:pt idx="13">
                  <c:v>1.6397634885439762</c:v>
                </c:pt>
                <c:pt idx="14">
                  <c:v>1.6125646711012565</c:v>
                </c:pt>
                <c:pt idx="15">
                  <c:v>1.6101995565410199</c:v>
                </c:pt>
                <c:pt idx="16">
                  <c:v>1.6101995565410199</c:v>
                </c:pt>
                <c:pt idx="17">
                  <c:v>1.5717664449371764</c:v>
                </c:pt>
                <c:pt idx="18">
                  <c:v>1.5104212860310422</c:v>
                </c:pt>
                <c:pt idx="19">
                  <c:v>1.4403547671840353</c:v>
                </c:pt>
                <c:pt idx="20">
                  <c:v>1.3636363636363635</c:v>
                </c:pt>
                <c:pt idx="21">
                  <c:v>1.3940872135994087</c:v>
                </c:pt>
                <c:pt idx="22">
                  <c:v>1.2910569105691057</c:v>
                </c:pt>
                <c:pt idx="23">
                  <c:v>1.3707317073170731</c:v>
                </c:pt>
                <c:pt idx="24">
                  <c:v>1.4164079822616407</c:v>
                </c:pt>
                <c:pt idx="25">
                  <c:v>1.4130081300813007</c:v>
                </c:pt>
                <c:pt idx="26">
                  <c:v>1.4192165558019216</c:v>
                </c:pt>
                <c:pt idx="27">
                  <c:v>1.4363636363636363</c:v>
                </c:pt>
                <c:pt idx="28">
                  <c:v>1.4144863266814485</c:v>
                </c:pt>
                <c:pt idx="29">
                  <c:v>1.5963045084996303</c:v>
                </c:pt>
                <c:pt idx="30">
                  <c:v>1.5963045084996303</c:v>
                </c:pt>
                <c:pt idx="31">
                  <c:v>1.5351071692535105</c:v>
                </c:pt>
                <c:pt idx="32">
                  <c:v>1.5770879526977086</c:v>
                </c:pt>
                <c:pt idx="33">
                  <c:v>1.6033998521803399</c:v>
                </c:pt>
                <c:pt idx="34">
                  <c:v>1.6033998521803399</c:v>
                </c:pt>
                <c:pt idx="35">
                  <c:v>1.5852180339985216</c:v>
                </c:pt>
                <c:pt idx="36">
                  <c:v>1.5824094604582408</c:v>
                </c:pt>
                <c:pt idx="37">
                  <c:v>1.5952697708795269</c:v>
                </c:pt>
                <c:pt idx="38">
                  <c:v>1.6362158167036214</c:v>
                </c:pt>
                <c:pt idx="39">
                  <c:v>1.6631189948263119</c:v>
                </c:pt>
                <c:pt idx="40">
                  <c:v>1.7138211382113819</c:v>
                </c:pt>
                <c:pt idx="41">
                  <c:v>1.7278640059127863</c:v>
                </c:pt>
                <c:pt idx="42">
                  <c:v>1.6131559497413155</c:v>
                </c:pt>
                <c:pt idx="43">
                  <c:v>1.649371766444937</c:v>
                </c:pt>
                <c:pt idx="44">
                  <c:v>1.5970436067997043</c:v>
                </c:pt>
                <c:pt idx="45">
                  <c:v>1.5658536585365854</c:v>
                </c:pt>
                <c:pt idx="46">
                  <c:v>1.5889135254988911</c:v>
                </c:pt>
                <c:pt idx="47">
                  <c:v>1.5722099039172208</c:v>
                </c:pt>
                <c:pt idx="48">
                  <c:v>1.5550628233555062</c:v>
                </c:pt>
                <c:pt idx="49">
                  <c:v>1.5265336289726532</c:v>
                </c:pt>
                <c:pt idx="50">
                  <c:v>1.5073170731707315</c:v>
                </c:pt>
                <c:pt idx="51">
                  <c:v>1.4546932742054692</c:v>
                </c:pt>
                <c:pt idx="52">
                  <c:v>1.3960088691796007</c:v>
                </c:pt>
                <c:pt idx="53">
                  <c:v>1.4719881744271988</c:v>
                </c:pt>
                <c:pt idx="54">
                  <c:v>1.4719881744271988</c:v>
                </c:pt>
                <c:pt idx="55">
                  <c:v>1.4430155210643014</c:v>
                </c:pt>
                <c:pt idx="56">
                  <c:v>1.4035476718403548</c:v>
                </c:pt>
                <c:pt idx="57">
                  <c:v>1.2807095343680708</c:v>
                </c:pt>
                <c:pt idx="58">
                  <c:v>1.3302291204730228</c:v>
                </c:pt>
                <c:pt idx="59">
                  <c:v>1.3334811529933479</c:v>
                </c:pt>
                <c:pt idx="60">
                  <c:v>1.2898743532889874</c:v>
                </c:pt>
                <c:pt idx="61">
                  <c:v>1.233111603843311</c:v>
                </c:pt>
                <c:pt idx="62">
                  <c:v>1.266518847006652</c:v>
                </c:pt>
                <c:pt idx="63">
                  <c:v>1.3466371027346635</c:v>
                </c:pt>
                <c:pt idx="64">
                  <c:v>1.3080561714708054</c:v>
                </c:pt>
                <c:pt idx="65">
                  <c:v>1.26770140428677</c:v>
                </c:pt>
                <c:pt idx="66">
                  <c:v>1.267110125646711</c:v>
                </c:pt>
                <c:pt idx="67">
                  <c:v>1.3240206947524018</c:v>
                </c:pt>
                <c:pt idx="68">
                  <c:v>1.3240206947524018</c:v>
                </c:pt>
                <c:pt idx="69">
                  <c:v>1.359940872135994</c:v>
                </c:pt>
                <c:pt idx="70">
                  <c:v>1.4233555062823355</c:v>
                </c:pt>
                <c:pt idx="71">
                  <c:v>1.3892091648189209</c:v>
                </c:pt>
                <c:pt idx="72">
                  <c:v>1.369549150036955</c:v>
                </c:pt>
                <c:pt idx="73">
                  <c:v>1.3849223946784921</c:v>
                </c:pt>
                <c:pt idx="74">
                  <c:v>1.4443458980044344</c:v>
                </c:pt>
                <c:pt idx="75">
                  <c:v>1.4447893569844787</c:v>
                </c:pt>
                <c:pt idx="76">
                  <c:v>1.4168514412416851</c:v>
                </c:pt>
                <c:pt idx="77">
                  <c:v>1.3538802660753879</c:v>
                </c:pt>
                <c:pt idx="78">
                  <c:v>1.350332594235033</c:v>
                </c:pt>
                <c:pt idx="79">
                  <c:v>1.3275683665927567</c:v>
                </c:pt>
                <c:pt idx="80">
                  <c:v>1.3225424981522542</c:v>
                </c:pt>
                <c:pt idx="81">
                  <c:v>1.3328898743532889</c:v>
                </c:pt>
                <c:pt idx="82">
                  <c:v>1.3328898743532889</c:v>
                </c:pt>
                <c:pt idx="83">
                  <c:v>1.3118994826311898</c:v>
                </c:pt>
                <c:pt idx="84">
                  <c:v>1.3247597930524759</c:v>
                </c:pt>
                <c:pt idx="85">
                  <c:v>1.3123429416112342</c:v>
                </c:pt>
                <c:pt idx="86">
                  <c:v>1.3164818920916481</c:v>
                </c:pt>
                <c:pt idx="87">
                  <c:v>1.3164818920916481</c:v>
                </c:pt>
                <c:pt idx="88">
                  <c:v>1.3733924611973392</c:v>
                </c:pt>
                <c:pt idx="89">
                  <c:v>1.3733924611973392</c:v>
                </c:pt>
                <c:pt idx="90">
                  <c:v>1.3733924611973392</c:v>
                </c:pt>
                <c:pt idx="91">
                  <c:v>1.3538802660753879</c:v>
                </c:pt>
                <c:pt idx="92">
                  <c:v>1.3392461197339245</c:v>
                </c:pt>
                <c:pt idx="93">
                  <c:v>1.3099778270509976</c:v>
                </c:pt>
                <c:pt idx="94">
                  <c:v>1.2839615668883961</c:v>
                </c:pt>
                <c:pt idx="95">
                  <c:v>1.1895048041389504</c:v>
                </c:pt>
                <c:pt idx="96">
                  <c:v>1.1662971175166297</c:v>
                </c:pt>
                <c:pt idx="97">
                  <c:v>1.1167775314116777</c:v>
                </c:pt>
                <c:pt idx="98">
                  <c:v>1.1337767923133777</c:v>
                </c:pt>
                <c:pt idx="99">
                  <c:v>1.2162601626016258</c:v>
                </c:pt>
                <c:pt idx="100">
                  <c:v>1.2206947524020693</c:v>
                </c:pt>
                <c:pt idx="101">
                  <c:v>1.1982261640798226</c:v>
                </c:pt>
                <c:pt idx="102">
                  <c:v>1.2118255728011824</c:v>
                </c:pt>
                <c:pt idx="103">
                  <c:v>1.2523281596452327</c:v>
                </c:pt>
                <c:pt idx="104">
                  <c:v>1.2606060606060605</c:v>
                </c:pt>
                <c:pt idx="105">
                  <c:v>1.3025868440502586</c:v>
                </c:pt>
                <c:pt idx="106">
                  <c:v>1.3025868440502586</c:v>
                </c:pt>
                <c:pt idx="107">
                  <c:v>1.2839615668883961</c:v>
                </c:pt>
                <c:pt idx="108">
                  <c:v>1.3283074648928306</c:v>
                </c:pt>
                <c:pt idx="109">
                  <c:v>1.2867701404286769</c:v>
                </c:pt>
                <c:pt idx="110">
                  <c:v>1.286031042128603</c:v>
                </c:pt>
                <c:pt idx="111">
                  <c:v>1.2987435328898742</c:v>
                </c:pt>
                <c:pt idx="112">
                  <c:v>1.2907612712490759</c:v>
                </c:pt>
                <c:pt idx="113">
                  <c:v>1.2784922394678491</c:v>
                </c:pt>
                <c:pt idx="114">
                  <c:v>1.267110125646711</c:v>
                </c:pt>
                <c:pt idx="115">
                  <c:v>1.2576496674057649</c:v>
                </c:pt>
                <c:pt idx="116">
                  <c:v>1.2557280118255727</c:v>
                </c:pt>
                <c:pt idx="117">
                  <c:v>1.2557280118255727</c:v>
                </c:pt>
                <c:pt idx="118">
                  <c:v>1.2110864745011087</c:v>
                </c:pt>
                <c:pt idx="119">
                  <c:v>1.1736881005173687</c:v>
                </c:pt>
                <c:pt idx="120">
                  <c:v>1.1736881005173687</c:v>
                </c:pt>
                <c:pt idx="121">
                  <c:v>1.1744271988174426</c:v>
                </c:pt>
                <c:pt idx="122">
                  <c:v>1.2195121951219512</c:v>
                </c:pt>
                <c:pt idx="123">
                  <c:v>1.2359201773835919</c:v>
                </c:pt>
                <c:pt idx="124">
                  <c:v>1.2254249815225424</c:v>
                </c:pt>
                <c:pt idx="125">
                  <c:v>1.2338507021433849</c:v>
                </c:pt>
                <c:pt idx="126">
                  <c:v>1.2022172949002217</c:v>
                </c:pt>
                <c:pt idx="127">
                  <c:v>1.2490761271249076</c:v>
                </c:pt>
                <c:pt idx="128">
                  <c:v>1.2078344419807832</c:v>
                </c:pt>
                <c:pt idx="129">
                  <c:v>1.2203991130820397</c:v>
                </c:pt>
                <c:pt idx="130">
                  <c:v>1.2375461936437544</c:v>
                </c:pt>
                <c:pt idx="131">
                  <c:v>1.3197339246119733</c:v>
                </c:pt>
                <c:pt idx="132">
                  <c:v>1.282631189948263</c:v>
                </c:pt>
                <c:pt idx="133">
                  <c:v>1.3340724316334072</c:v>
                </c:pt>
                <c:pt idx="134">
                  <c:v>1.3340724316334072</c:v>
                </c:pt>
                <c:pt idx="135">
                  <c:v>1.3043606799704359</c:v>
                </c:pt>
                <c:pt idx="136">
                  <c:v>1.2659275683665927</c:v>
                </c:pt>
                <c:pt idx="137">
                  <c:v>1.2728750923872874</c:v>
                </c:pt>
                <c:pt idx="138">
                  <c:v>1.2131559497413154</c:v>
                </c:pt>
                <c:pt idx="139">
                  <c:v>1.2131559497413154</c:v>
                </c:pt>
                <c:pt idx="140">
                  <c:v>1.2251293422025127</c:v>
                </c:pt>
                <c:pt idx="141">
                  <c:v>1.2251293422025127</c:v>
                </c:pt>
                <c:pt idx="142">
                  <c:v>1.2251293422025127</c:v>
                </c:pt>
                <c:pt idx="143">
                  <c:v>1.2444937176644493</c:v>
                </c:pt>
                <c:pt idx="144">
                  <c:v>1.2518847006651883</c:v>
                </c:pt>
                <c:pt idx="145">
                  <c:v>1.2193643754619363</c:v>
                </c:pt>
                <c:pt idx="146">
                  <c:v>1.2070953436807095</c:v>
                </c:pt>
                <c:pt idx="147">
                  <c:v>1.1560975609756097</c:v>
                </c:pt>
                <c:pt idx="148">
                  <c:v>1.132742054693274</c:v>
                </c:pt>
                <c:pt idx="149">
                  <c:v>1.1127864005912786</c:v>
                </c:pt>
                <c:pt idx="150">
                  <c:v>1.0628233555062823</c:v>
                </c:pt>
                <c:pt idx="151">
                  <c:v>1.0403547671840354</c:v>
                </c:pt>
                <c:pt idx="152">
                  <c:v>1.0638580931263857</c:v>
                </c:pt>
                <c:pt idx="153">
                  <c:v>1.0382852919438283</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ndx Index</c:v>
                </c:pt>
              </c:strCache>
            </c:strRef>
          </c:tx>
          <c:spPr>
            <a:ln w="19050"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Data'!$V$5:$V$159</c:f>
              <c:numCache>
                <c:formatCode>General</c:formatCode>
                <c:ptCount val="155"/>
                <c:pt idx="0">
                  <c:v>2.119135142627893</c:v>
                </c:pt>
                <c:pt idx="1">
                  <c:v>2.0815159972667763</c:v>
                </c:pt>
                <c:pt idx="2">
                  <c:v>2.0815159972667763</c:v>
                </c:pt>
                <c:pt idx="3">
                  <c:v>2.1071199766129882</c:v>
                </c:pt>
                <c:pt idx="4">
                  <c:v>2.0904922734894185</c:v>
                </c:pt>
                <c:pt idx="5">
                  <c:v>2.0604570241449567</c:v>
                </c:pt>
                <c:pt idx="6">
                  <c:v>2.0753546926411772</c:v>
                </c:pt>
                <c:pt idx="7">
                  <c:v>2.0596973016968914</c:v>
                </c:pt>
                <c:pt idx="8">
                  <c:v>2.0308696111909339</c:v>
                </c:pt>
                <c:pt idx="9">
                  <c:v>2.015758687270695</c:v>
                </c:pt>
                <c:pt idx="10">
                  <c:v>2.0151757891117108</c:v>
                </c:pt>
                <c:pt idx="11">
                  <c:v>1.942075384015262</c:v>
                </c:pt>
                <c:pt idx="12">
                  <c:v>1.9492940801182856</c:v>
                </c:pt>
                <c:pt idx="13">
                  <c:v>1.9368808373118795</c:v>
                </c:pt>
                <c:pt idx="14">
                  <c:v>1.9096801079783297</c:v>
                </c:pt>
                <c:pt idx="15">
                  <c:v>1.9057082257059863</c:v>
                </c:pt>
                <c:pt idx="16">
                  <c:v>1.9057082257059863</c:v>
                </c:pt>
                <c:pt idx="17">
                  <c:v>1.8542692403042089</c:v>
                </c:pt>
                <c:pt idx="18">
                  <c:v>1.7742797964476975</c:v>
                </c:pt>
                <c:pt idx="19">
                  <c:v>1.7262395693662138</c:v>
                </c:pt>
                <c:pt idx="20">
                  <c:v>1.5823819031447177</c:v>
                </c:pt>
                <c:pt idx="21">
                  <c:v>1.6701471728995008</c:v>
                </c:pt>
                <c:pt idx="22">
                  <c:v>1.5488279393039519</c:v>
                </c:pt>
                <c:pt idx="23">
                  <c:v>1.7130141788200044</c:v>
                </c:pt>
                <c:pt idx="24">
                  <c:v>1.7931626756802626</c:v>
                </c:pt>
                <c:pt idx="25">
                  <c:v>1.7604448508145025</c:v>
                </c:pt>
                <c:pt idx="26">
                  <c:v>1.7265647838878417</c:v>
                </c:pt>
                <c:pt idx="27">
                  <c:v>1.8149440515509445</c:v>
                </c:pt>
                <c:pt idx="28">
                  <c:v>1.8972695308647241</c:v>
                </c:pt>
                <c:pt idx="29">
                  <c:v>1.9332252839184971</c:v>
                </c:pt>
                <c:pt idx="30">
                  <c:v>1.9332252839184971</c:v>
                </c:pt>
                <c:pt idx="31">
                  <c:v>1.8924268556109725</c:v>
                </c:pt>
                <c:pt idx="32">
                  <c:v>1.8772946061483313</c:v>
                </c:pt>
                <c:pt idx="33">
                  <c:v>1.8468559486267684</c:v>
                </c:pt>
                <c:pt idx="34">
                  <c:v>1.8468559486267684</c:v>
                </c:pt>
                <c:pt idx="35">
                  <c:v>1.9157001308855164</c:v>
                </c:pt>
                <c:pt idx="36">
                  <c:v>1.8834976732944675</c:v>
                </c:pt>
                <c:pt idx="37">
                  <c:v>1.9106948483709505</c:v>
                </c:pt>
                <c:pt idx="38">
                  <c:v>1.963430249037907</c:v>
                </c:pt>
                <c:pt idx="39">
                  <c:v>1.9051546501678052</c:v>
                </c:pt>
                <c:pt idx="40">
                  <c:v>1.8806107279918178</c:v>
                </c:pt>
                <c:pt idx="41">
                  <c:v>1.8486481827527896</c:v>
                </c:pt>
                <c:pt idx="42">
                  <c:v>1.8250390301854165</c:v>
                </c:pt>
                <c:pt idx="43">
                  <c:v>1.8754561666804392</c:v>
                </c:pt>
                <c:pt idx="44">
                  <c:v>1.773894159555931</c:v>
                </c:pt>
                <c:pt idx="45">
                  <c:v>1.808323359199439</c:v>
                </c:pt>
                <c:pt idx="46">
                  <c:v>1.8092474660368523</c:v>
                </c:pt>
                <c:pt idx="47">
                  <c:v>1.8161409476182477</c:v>
                </c:pt>
                <c:pt idx="48">
                  <c:v>1.7594230019077475</c:v>
                </c:pt>
                <c:pt idx="49">
                  <c:v>1.782521230021743</c:v>
                </c:pt>
                <c:pt idx="50">
                  <c:v>1.7639955536244092</c:v>
                </c:pt>
                <c:pt idx="51">
                  <c:v>1.7258637066813813</c:v>
                </c:pt>
                <c:pt idx="52">
                  <c:v>1.6581302297560623</c:v>
                </c:pt>
                <c:pt idx="53">
                  <c:v>1.7341611198042313</c:v>
                </c:pt>
                <c:pt idx="54">
                  <c:v>1.7341611198042313</c:v>
                </c:pt>
                <c:pt idx="55">
                  <c:v>1.7563796692941513</c:v>
                </c:pt>
                <c:pt idx="56">
                  <c:v>1.6475785290884839</c:v>
                </c:pt>
                <c:pt idx="57">
                  <c:v>1.5900990838013846</c:v>
                </c:pt>
                <c:pt idx="58">
                  <c:v>1.6935581756353901</c:v>
                </c:pt>
                <c:pt idx="59">
                  <c:v>1.7613893946300505</c:v>
                </c:pt>
                <c:pt idx="60">
                  <c:v>1.8115053078386474</c:v>
                </c:pt>
                <c:pt idx="61">
                  <c:v>1.8161844872673183</c:v>
                </c:pt>
                <c:pt idx="62">
                  <c:v>1.7604430736859689</c:v>
                </c:pt>
                <c:pt idx="63">
                  <c:v>1.7304451440407103</c:v>
                </c:pt>
                <c:pt idx="64">
                  <c:v>1.7684872459927972</c:v>
                </c:pt>
                <c:pt idx="65">
                  <c:v>1.6949070161923063</c:v>
                </c:pt>
                <c:pt idx="66">
                  <c:v>1.6528157268766699</c:v>
                </c:pt>
                <c:pt idx="67">
                  <c:v>1.6593217944377652</c:v>
                </c:pt>
                <c:pt idx="68">
                  <c:v>1.6593217944377652</c:v>
                </c:pt>
                <c:pt idx="69">
                  <c:v>1.6170634550399809</c:v>
                </c:pt>
                <c:pt idx="70">
                  <c:v>1.6077299759821078</c:v>
                </c:pt>
                <c:pt idx="71">
                  <c:v>1.580108955750388</c:v>
                </c:pt>
                <c:pt idx="72">
                  <c:v>1.5292981852851979</c:v>
                </c:pt>
                <c:pt idx="73">
                  <c:v>1.5733656415300723</c:v>
                </c:pt>
                <c:pt idx="74">
                  <c:v>1.6083182055266918</c:v>
                </c:pt>
                <c:pt idx="75">
                  <c:v>1.6254683844391071</c:v>
                </c:pt>
                <c:pt idx="76">
                  <c:v>1.6240342417125833</c:v>
                </c:pt>
                <c:pt idx="77">
                  <c:v>1.598083722302341</c:v>
                </c:pt>
                <c:pt idx="78">
                  <c:v>1.5951230261655518</c:v>
                </c:pt>
                <c:pt idx="79">
                  <c:v>1.6195398836513948</c:v>
                </c:pt>
                <c:pt idx="80">
                  <c:v>1.5934916221718112</c:v>
                </c:pt>
                <c:pt idx="81">
                  <c:v>1.5889892670322219</c:v>
                </c:pt>
                <c:pt idx="82">
                  <c:v>1.5889892670322219</c:v>
                </c:pt>
                <c:pt idx="83">
                  <c:v>1.5650317972722854</c:v>
                </c:pt>
                <c:pt idx="84">
                  <c:v>1.5635416749969566</c:v>
                </c:pt>
                <c:pt idx="85">
                  <c:v>1.5399156397085154</c:v>
                </c:pt>
                <c:pt idx="86">
                  <c:v>1.4794488413566245</c:v>
                </c:pt>
                <c:pt idx="87">
                  <c:v>1.4794488413566245</c:v>
                </c:pt>
                <c:pt idx="88">
                  <c:v>1.4865502469764378</c:v>
                </c:pt>
                <c:pt idx="89">
                  <c:v>1.4865502469764378</c:v>
                </c:pt>
                <c:pt idx="90">
                  <c:v>1.4865502469764378</c:v>
                </c:pt>
                <c:pt idx="91">
                  <c:v>1.4414049622760039</c:v>
                </c:pt>
                <c:pt idx="92">
                  <c:v>1.4074564759008041</c:v>
                </c:pt>
                <c:pt idx="93">
                  <c:v>1.4183245054473432</c:v>
                </c:pt>
                <c:pt idx="94">
                  <c:v>1.4241072816953093</c:v>
                </c:pt>
                <c:pt idx="95">
                  <c:v>1.3757453943492643</c:v>
                </c:pt>
                <c:pt idx="96">
                  <c:v>1.3466129262998139</c:v>
                </c:pt>
                <c:pt idx="97">
                  <c:v>1.2738021931543231</c:v>
                </c:pt>
                <c:pt idx="98">
                  <c:v>1.297734783114791</c:v>
                </c:pt>
                <c:pt idx="99">
                  <c:v>1.3481945706946172</c:v>
                </c:pt>
                <c:pt idx="100">
                  <c:v>1.3370359806328531</c:v>
                </c:pt>
                <c:pt idx="101">
                  <c:v>1.3184134507304441</c:v>
                </c:pt>
                <c:pt idx="102">
                  <c:v>1.3123116799107171</c:v>
                </c:pt>
                <c:pt idx="103">
                  <c:v>1.3528719729947547</c:v>
                </c:pt>
                <c:pt idx="104">
                  <c:v>1.3738865179032371</c:v>
                </c:pt>
                <c:pt idx="105">
                  <c:v>1.3375078082584939</c:v>
                </c:pt>
                <c:pt idx="106">
                  <c:v>1.3375078082584939</c:v>
                </c:pt>
                <c:pt idx="107">
                  <c:v>1.3272208997424051</c:v>
                </c:pt>
                <c:pt idx="108">
                  <c:v>1.3511143928751361</c:v>
                </c:pt>
                <c:pt idx="109">
                  <c:v>1.369086493734289</c:v>
                </c:pt>
                <c:pt idx="110">
                  <c:v>1.4001107151076362</c:v>
                </c:pt>
                <c:pt idx="111">
                  <c:v>1.3726558563937974</c:v>
                </c:pt>
                <c:pt idx="112">
                  <c:v>1.3962259121334339</c:v>
                </c:pt>
                <c:pt idx="113">
                  <c:v>1.3369018074285748</c:v>
                </c:pt>
                <c:pt idx="114">
                  <c:v>1.3513898477978268</c:v>
                </c:pt>
                <c:pt idx="115">
                  <c:v>1.3052138285479704</c:v>
                </c:pt>
                <c:pt idx="116">
                  <c:v>1.3136800688815018</c:v>
                </c:pt>
                <c:pt idx="117">
                  <c:v>1.3136800688815018</c:v>
                </c:pt>
                <c:pt idx="118">
                  <c:v>1.2934385748850863</c:v>
                </c:pt>
                <c:pt idx="119">
                  <c:v>1.230638406768727</c:v>
                </c:pt>
                <c:pt idx="120">
                  <c:v>1.230638406768727</c:v>
                </c:pt>
                <c:pt idx="121">
                  <c:v>1.191876567760578</c:v>
                </c:pt>
                <c:pt idx="122">
                  <c:v>1.1810476350417758</c:v>
                </c:pt>
                <c:pt idx="123">
                  <c:v>1.1757011438487805</c:v>
                </c:pt>
                <c:pt idx="124">
                  <c:v>1.1524465284238381</c:v>
                </c:pt>
                <c:pt idx="125">
                  <c:v>1.1629271439500768</c:v>
                </c:pt>
                <c:pt idx="126">
                  <c:v>1.1596856615049966</c:v>
                </c:pt>
                <c:pt idx="127">
                  <c:v>1.1683153976636091</c:v>
                </c:pt>
                <c:pt idx="128">
                  <c:v>1.1260837151938268</c:v>
                </c:pt>
                <c:pt idx="129">
                  <c:v>1.116268634303379</c:v>
                </c:pt>
                <c:pt idx="130">
                  <c:v>1.0594502808307364</c:v>
                </c:pt>
                <c:pt idx="131">
                  <c:v>1.0931544120325818</c:v>
                </c:pt>
                <c:pt idx="132">
                  <c:v>1.0714121329896367</c:v>
                </c:pt>
                <c:pt idx="133">
                  <c:v>1.1109105917749158</c:v>
                </c:pt>
                <c:pt idx="134">
                  <c:v>1.1109105917749158</c:v>
                </c:pt>
                <c:pt idx="135">
                  <c:v>1.1075518188466258</c:v>
                </c:pt>
                <c:pt idx="136">
                  <c:v>1.0584924085511869</c:v>
                </c:pt>
                <c:pt idx="137">
                  <c:v>1.0549514799482145</c:v>
                </c:pt>
                <c:pt idx="138">
                  <c:v>0.98705717289061512</c:v>
                </c:pt>
                <c:pt idx="139">
                  <c:v>0.98705717289061512</c:v>
                </c:pt>
                <c:pt idx="140">
                  <c:v>0.98493705855016522</c:v>
                </c:pt>
                <c:pt idx="141">
                  <c:v>0.98493705855016522</c:v>
                </c:pt>
                <c:pt idx="142">
                  <c:v>0.98493705855016522</c:v>
                </c:pt>
                <c:pt idx="143">
                  <c:v>1.040192427477606</c:v>
                </c:pt>
                <c:pt idx="144">
                  <c:v>1.0473329299251561</c:v>
                </c:pt>
                <c:pt idx="145">
                  <c:v>1.0296460581956279</c:v>
                </c:pt>
                <c:pt idx="146">
                  <c:v>1.0265982827606981</c:v>
                </c:pt>
                <c:pt idx="147">
                  <c:v>1.0397037171308972</c:v>
                </c:pt>
                <c:pt idx="148">
                  <c:v>0.97537699560427249</c:v>
                </c:pt>
                <c:pt idx="149">
                  <c:v>1.0134581943840961</c:v>
                </c:pt>
                <c:pt idx="150">
                  <c:v>1.0156520595586855</c:v>
                </c:pt>
                <c:pt idx="151">
                  <c:v>0.98297688577772924</c:v>
                </c:pt>
                <c:pt idx="152">
                  <c:v>0.97093150857775501</c:v>
                </c:pt>
                <c:pt idx="153">
                  <c:v>0.99783368031767938</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Sox index</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Data'!$W$5:$W$159</c:f>
              <c:numCache>
                <c:formatCode>General</c:formatCode>
                <c:ptCount val="155"/>
                <c:pt idx="0">
                  <c:v>2.4572511255691047</c:v>
                </c:pt>
                <c:pt idx="1">
                  <c:v>2.4252721547306768</c:v>
                </c:pt>
                <c:pt idx="2">
                  <c:v>2.4252721547306768</c:v>
                </c:pt>
                <c:pt idx="3">
                  <c:v>2.4337037058883508</c:v>
                </c:pt>
                <c:pt idx="4">
                  <c:v>2.3890677178438624</c:v>
                </c:pt>
                <c:pt idx="5">
                  <c:v>2.3697032104104294</c:v>
                </c:pt>
                <c:pt idx="6">
                  <c:v>2.4171835619301056</c:v>
                </c:pt>
                <c:pt idx="7">
                  <c:v>2.4181614567050889</c:v>
                </c:pt>
                <c:pt idx="8">
                  <c:v>2.379102123224011</c:v>
                </c:pt>
                <c:pt idx="9">
                  <c:v>2.3346451982038086</c:v>
                </c:pt>
                <c:pt idx="10">
                  <c:v>2.3368963364126558</c:v>
                </c:pt>
                <c:pt idx="11">
                  <c:v>2.2095542973861853</c:v>
                </c:pt>
                <c:pt idx="12">
                  <c:v>2.2192426603119655</c:v>
                </c:pt>
                <c:pt idx="13">
                  <c:v>2.1642024785693161</c:v>
                </c:pt>
                <c:pt idx="14">
                  <c:v>2.0361719948800614</c:v>
                </c:pt>
                <c:pt idx="15">
                  <c:v>2.0635269264442804</c:v>
                </c:pt>
                <c:pt idx="16">
                  <c:v>2.0635269264442804</c:v>
                </c:pt>
                <c:pt idx="17">
                  <c:v>2.0143246206181171</c:v>
                </c:pt>
                <c:pt idx="18">
                  <c:v>1.8353648208990567</c:v>
                </c:pt>
                <c:pt idx="19">
                  <c:v>1.7845699074686556</c:v>
                </c:pt>
                <c:pt idx="20">
                  <c:v>1.580774276943508</c:v>
                </c:pt>
                <c:pt idx="21">
                  <c:v>1.6866569818147807</c:v>
                </c:pt>
                <c:pt idx="22">
                  <c:v>1.5567722478434491</c:v>
                </c:pt>
                <c:pt idx="23">
                  <c:v>1.7992358011448237</c:v>
                </c:pt>
                <c:pt idx="24">
                  <c:v>1.9777919717409054</c:v>
                </c:pt>
                <c:pt idx="25">
                  <c:v>1.9650464763346094</c:v>
                </c:pt>
                <c:pt idx="26">
                  <c:v>1.8559735003577049</c:v>
                </c:pt>
                <c:pt idx="27">
                  <c:v>1.927717523655279</c:v>
                </c:pt>
                <c:pt idx="28">
                  <c:v>2.1081153047905468</c:v>
                </c:pt>
                <c:pt idx="29">
                  <c:v>2.1414534693144964</c:v>
                </c:pt>
                <c:pt idx="30">
                  <c:v>2.1414534693144964</c:v>
                </c:pt>
                <c:pt idx="31">
                  <c:v>2.0749435635479929</c:v>
                </c:pt>
                <c:pt idx="32">
                  <c:v>2.0447918782068082</c:v>
                </c:pt>
                <c:pt idx="33">
                  <c:v>2.1150680060300004</c:v>
                </c:pt>
                <c:pt idx="34">
                  <c:v>2.1150680060300004</c:v>
                </c:pt>
                <c:pt idx="35">
                  <c:v>2.2372947411085731</c:v>
                </c:pt>
                <c:pt idx="36">
                  <c:v>2.1177914492981995</c:v>
                </c:pt>
                <c:pt idx="37">
                  <c:v>2.1566548667644705</c:v>
                </c:pt>
                <c:pt idx="38">
                  <c:v>2.2145086552746069</c:v>
                </c:pt>
                <c:pt idx="39">
                  <c:v>2.1145615736648429</c:v>
                </c:pt>
                <c:pt idx="40">
                  <c:v>2.1299306583705016</c:v>
                </c:pt>
                <c:pt idx="41">
                  <c:v>2.1015350546416083</c:v>
                </c:pt>
                <c:pt idx="42">
                  <c:v>2.059760283062829</c:v>
                </c:pt>
                <c:pt idx="43">
                  <c:v>2.1725156374685799</c:v>
                </c:pt>
                <c:pt idx="44">
                  <c:v>2.0956672646669472</c:v>
                </c:pt>
                <c:pt idx="45">
                  <c:v>2.1958039424200728</c:v>
                </c:pt>
                <c:pt idx="46">
                  <c:v>2.1972988026792883</c:v>
                </c:pt>
                <c:pt idx="47">
                  <c:v>2.2887262762559062</c:v>
                </c:pt>
                <c:pt idx="48">
                  <c:v>2.1895413711424556</c:v>
                </c:pt>
                <c:pt idx="49">
                  <c:v>2.1795365933196429</c:v>
                </c:pt>
                <c:pt idx="50">
                  <c:v>2.1174986285878963</c:v>
                </c:pt>
                <c:pt idx="51">
                  <c:v>2.0688912333271259</c:v>
                </c:pt>
                <c:pt idx="52">
                  <c:v>1.9489556623098878</c:v>
                </c:pt>
                <c:pt idx="53">
                  <c:v>2.1476385168357162</c:v>
                </c:pt>
                <c:pt idx="54">
                  <c:v>2.1476385168357162</c:v>
                </c:pt>
                <c:pt idx="55">
                  <c:v>2.2189350932349567</c:v>
                </c:pt>
                <c:pt idx="56">
                  <c:v>1.9986905226365155</c:v>
                </c:pt>
                <c:pt idx="57">
                  <c:v>1.9041562002573451</c:v>
                </c:pt>
                <c:pt idx="58">
                  <c:v>2.1435411335152899</c:v>
                </c:pt>
                <c:pt idx="59">
                  <c:v>2.307945426646095</c:v>
                </c:pt>
                <c:pt idx="60">
                  <c:v>2.4342910326080092</c:v>
                </c:pt>
                <c:pt idx="61">
                  <c:v>2.4290236304206592</c:v>
                </c:pt>
                <c:pt idx="62">
                  <c:v>2.3076572405081852</c:v>
                </c:pt>
                <c:pt idx="63">
                  <c:v>2.2631531271145238</c:v>
                </c:pt>
                <c:pt idx="64">
                  <c:v>2.3965365419180222</c:v>
                </c:pt>
                <c:pt idx="65">
                  <c:v>2.2593119092500165</c:v>
                </c:pt>
                <c:pt idx="66">
                  <c:v>2.1708813187128024</c:v>
                </c:pt>
                <c:pt idx="67">
                  <c:v>2.1446913501183502</c:v>
                </c:pt>
                <c:pt idx="68">
                  <c:v>2.1446913501183502</c:v>
                </c:pt>
                <c:pt idx="69">
                  <c:v>2.0320864086529995</c:v>
                </c:pt>
                <c:pt idx="70">
                  <c:v>2.0309736899538482</c:v>
                </c:pt>
                <c:pt idx="71">
                  <c:v>2.0079470276801943</c:v>
                </c:pt>
                <c:pt idx="72">
                  <c:v>1.8462101416241061</c:v>
                </c:pt>
                <c:pt idx="73">
                  <c:v>1.971419434700139</c:v>
                </c:pt>
                <c:pt idx="74">
                  <c:v>2.0330558769327221</c:v>
                </c:pt>
                <c:pt idx="75">
                  <c:v>2.0906564492602802</c:v>
                </c:pt>
                <c:pt idx="76">
                  <c:v>2.0609067077430225</c:v>
                </c:pt>
                <c:pt idx="77">
                  <c:v>2.0044959565462492</c:v>
                </c:pt>
                <c:pt idx="78">
                  <c:v>2.0603640414482447</c:v>
                </c:pt>
                <c:pt idx="79">
                  <c:v>2.0990256443530266</c:v>
                </c:pt>
                <c:pt idx="80">
                  <c:v>1.9648341286540443</c:v>
                </c:pt>
                <c:pt idx="81">
                  <c:v>1.9212573510638029</c:v>
                </c:pt>
                <c:pt idx="82">
                  <c:v>1.9212573510638029</c:v>
                </c:pt>
                <c:pt idx="83">
                  <c:v>1.8488135073348426</c:v>
                </c:pt>
                <c:pt idx="84">
                  <c:v>1.8488889244674243</c:v>
                </c:pt>
                <c:pt idx="85">
                  <c:v>1.8481844694636453</c:v>
                </c:pt>
                <c:pt idx="86">
                  <c:v>1.7116225806478795</c:v>
                </c:pt>
                <c:pt idx="87">
                  <c:v>1.7116225806478795</c:v>
                </c:pt>
                <c:pt idx="88">
                  <c:v>1.7290275066084788</c:v>
                </c:pt>
                <c:pt idx="89">
                  <c:v>1.7290275066084788</c:v>
                </c:pt>
                <c:pt idx="90">
                  <c:v>1.7290275066084788</c:v>
                </c:pt>
                <c:pt idx="91">
                  <c:v>1.6441714353607764</c:v>
                </c:pt>
                <c:pt idx="92">
                  <c:v>1.5561394180493844</c:v>
                </c:pt>
                <c:pt idx="93">
                  <c:v>1.5754643209550927</c:v>
                </c:pt>
                <c:pt idx="94">
                  <c:v>1.603479889747736</c:v>
                </c:pt>
                <c:pt idx="95">
                  <c:v>1.4985447442685087</c:v>
                </c:pt>
                <c:pt idx="96">
                  <c:v>1.4514187268745371</c:v>
                </c:pt>
                <c:pt idx="97">
                  <c:v>1.3419956300195579</c:v>
                </c:pt>
                <c:pt idx="98">
                  <c:v>1.3897574264809356</c:v>
                </c:pt>
                <c:pt idx="99">
                  <c:v>1.4756950383953258</c:v>
                </c:pt>
                <c:pt idx="100">
                  <c:v>1.4608812597273355</c:v>
                </c:pt>
                <c:pt idx="101">
                  <c:v>1.4530871729361197</c:v>
                </c:pt>
                <c:pt idx="102">
                  <c:v>1.4280646952600122</c:v>
                </c:pt>
                <c:pt idx="103">
                  <c:v>1.4714632524754936</c:v>
                </c:pt>
                <c:pt idx="104">
                  <c:v>1.5038049839348868</c:v>
                </c:pt>
                <c:pt idx="105">
                  <c:v>1.490591818041632</c:v>
                </c:pt>
                <c:pt idx="106">
                  <c:v>1.490591818041632</c:v>
                </c:pt>
                <c:pt idx="107">
                  <c:v>1.5002292006710862</c:v>
                </c:pt>
                <c:pt idx="108">
                  <c:v>1.5232786144819432</c:v>
                </c:pt>
                <c:pt idx="109">
                  <c:v>1.5755051894571062</c:v>
                </c:pt>
                <c:pt idx="110">
                  <c:v>1.6270007659684191</c:v>
                </c:pt>
                <c:pt idx="111">
                  <c:v>1.5556662703405062</c:v>
                </c:pt>
                <c:pt idx="112">
                  <c:v>1.6167549903811558</c:v>
                </c:pt>
                <c:pt idx="113">
                  <c:v>1.5385095046653292</c:v>
                </c:pt>
                <c:pt idx="114">
                  <c:v>1.5604255548636468</c:v>
                </c:pt>
                <c:pt idx="115">
                  <c:v>1.4812818047530489</c:v>
                </c:pt>
                <c:pt idx="116">
                  <c:v>1.5343232218199041</c:v>
                </c:pt>
                <c:pt idx="117">
                  <c:v>1.5343232218199041</c:v>
                </c:pt>
                <c:pt idx="118">
                  <c:v>1.4510913575336659</c:v>
                </c:pt>
                <c:pt idx="119">
                  <c:v>1.3545742808196959</c:v>
                </c:pt>
                <c:pt idx="120">
                  <c:v>1.3545742808196959</c:v>
                </c:pt>
                <c:pt idx="121">
                  <c:v>1.2861545099023959</c:v>
                </c:pt>
                <c:pt idx="122">
                  <c:v>1.2742584052183601</c:v>
                </c:pt>
                <c:pt idx="123">
                  <c:v>1.2720173788038254</c:v>
                </c:pt>
                <c:pt idx="124">
                  <c:v>1.2671392806975117</c:v>
                </c:pt>
                <c:pt idx="125">
                  <c:v>1.2920678029514643</c:v>
                </c:pt>
                <c:pt idx="126">
                  <c:v>1.317470315563821</c:v>
                </c:pt>
                <c:pt idx="127">
                  <c:v>1.3484191473566507</c:v>
                </c:pt>
                <c:pt idx="128">
                  <c:v>1.2991865061475496</c:v>
                </c:pt>
                <c:pt idx="129">
                  <c:v>1.3123057166186498</c:v>
                </c:pt>
                <c:pt idx="130">
                  <c:v>1.2309866667565492</c:v>
                </c:pt>
                <c:pt idx="131">
                  <c:v>1.2616957647592173</c:v>
                </c:pt>
                <c:pt idx="132">
                  <c:v>1.2434165899153391</c:v>
                </c:pt>
                <c:pt idx="133">
                  <c:v>1.2881242031695419</c:v>
                </c:pt>
                <c:pt idx="134">
                  <c:v>1.2881242031695419</c:v>
                </c:pt>
                <c:pt idx="135">
                  <c:v>1.2765053301795772</c:v>
                </c:pt>
                <c:pt idx="136">
                  <c:v>1.2078062209443909</c:v>
                </c:pt>
                <c:pt idx="137">
                  <c:v>1.2365169755960272</c:v>
                </c:pt>
                <c:pt idx="138">
                  <c:v>1.1319951497093281</c:v>
                </c:pt>
                <c:pt idx="139">
                  <c:v>1.1319951497093281</c:v>
                </c:pt>
                <c:pt idx="140">
                  <c:v>1.0953849770757196</c:v>
                </c:pt>
                <c:pt idx="141">
                  <c:v>1.0953849770757196</c:v>
                </c:pt>
                <c:pt idx="142">
                  <c:v>1.0953849770757196</c:v>
                </c:pt>
                <c:pt idx="143">
                  <c:v>1.1709483093501236</c:v>
                </c:pt>
                <c:pt idx="144">
                  <c:v>1.1536070034287409</c:v>
                </c:pt>
                <c:pt idx="145">
                  <c:v>1.1286350847241966</c:v>
                </c:pt>
                <c:pt idx="146">
                  <c:v>1.1273934406475594</c:v>
                </c:pt>
                <c:pt idx="147">
                  <c:v>1.1493962837470602</c:v>
                </c:pt>
                <c:pt idx="148">
                  <c:v>1.0325073120912625</c:v>
                </c:pt>
                <c:pt idx="149">
                  <c:v>1.0046295164961285</c:v>
                </c:pt>
                <c:pt idx="150">
                  <c:v>0.99076498251923562</c:v>
                </c:pt>
                <c:pt idx="151">
                  <c:v>0.93182628274430723</c:v>
                </c:pt>
                <c:pt idx="152">
                  <c:v>0.958658771602374</c:v>
                </c:pt>
                <c:pt idx="153">
                  <c:v>1.0083637178708269</c:v>
                </c:pt>
                <c:pt idx="154">
                  <c:v>1</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ACM RESEARCH-A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NAURA TECH GR -A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#N/A</c:v>
                </c:pt>
                <c:pt idx="1">
                  <c:v>#N/A</c:v>
                </c:pt>
                <c:pt idx="2">
                  <c:v>#N/A</c:v>
                </c:pt>
                <c:pt idx="3">
                  <c:v>#N/A</c:v>
                </c:pt>
                <c:pt idx="4">
                  <c:v>#N/A</c:v>
                </c:pt>
                <c:pt idx="5">
                  <c:v>1.8793888364852511E-3</c:v>
                </c:pt>
                <c:pt idx="6">
                  <c:v>1.4085997710063217E-3</c:v>
                </c:pt>
                <c:pt idx="7">
                  <c:v>2.7294732488216478E-3</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LAM RESEARCH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3.2090366151626857E-3</c:v>
                </c:pt>
                <c:pt idx="1">
                  <c:v>2.4016434777725882E-3</c:v>
                </c:pt>
                <c:pt idx="2">
                  <c:v>9.2457092767548234E-3</c:v>
                </c:pt>
                <c:pt idx="3">
                  <c:v>8.9868962210654414E-3</c:v>
                </c:pt>
                <c:pt idx="4">
                  <c:v>1.7093220020306096E-2</c:v>
                </c:pt>
                <c:pt idx="5">
                  <c:v>1.7572375612547229E-2</c:v>
                </c:pt>
                <c:pt idx="6">
                  <c:v>2.6231378506351315E-2</c:v>
                </c:pt>
                <c:pt idx="7">
                  <c:v>1.2716007488836585E-2</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TOKYO ELECTRON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#N/A</c:v>
                </c:pt>
                <c:pt idx="1">
                  <c:v>#N/A</c:v>
                </c:pt>
                <c:pt idx="2">
                  <c:v>2.0395498516773015E-3</c:v>
                </c:pt>
                <c:pt idx="3">
                  <c:v>2.7194741485919516E-3</c:v>
                </c:pt>
                <c:pt idx="4">
                  <c:v>2.2065647202245734E-3</c:v>
                </c:pt>
                <c:pt idx="5">
                  <c:v>8.8943048211744024E-4</c:v>
                </c:pt>
                <c:pt idx="6">
                  <c:v>1.3651220353065015E-3</c:v>
                </c:pt>
                <c:pt idx="7">
                  <c:v>1.6222057454763445E-3</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SCREEN HOLDINGS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4.4154513793559736E-3</c:v>
                </c:pt>
                <c:pt idx="1">
                  <c:v>3.994021308564002E-3</c:v>
                </c:pt>
                <c:pt idx="2">
                  <c:v>3.5358740553133425E-3</c:v>
                </c:pt>
                <c:pt idx="3">
                  <c:v>4.2360921169103576E-3</c:v>
                </c:pt>
                <c:pt idx="4">
                  <c:v>3.5126685081424813E-3</c:v>
                </c:pt>
                <c:pt idx="5">
                  <c:v>3.0052508873301097E-3</c:v>
                </c:pt>
                <c:pt idx="6">
                  <c:v>2.8784814385178718E-3</c:v>
                </c:pt>
                <c:pt idx="7">
                  <c:v>2.8576497507985291E-3</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SAMSUNG ELECTRON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1.7302921539807933E-2</c:v>
                </c:pt>
                <c:pt idx="1">
                  <c:v>2.1905785102487561E-2</c:v>
                </c:pt>
                <c:pt idx="2">
                  <c:v>2.5619826991871823E-2</c:v>
                </c:pt>
                <c:pt idx="3">
                  <c:v>2.8478742988272115E-2</c:v>
                </c:pt>
                <c:pt idx="4">
                  <c:v>3.1124121776255235E-2</c:v>
                </c:pt>
                <c:pt idx="5">
                  <c:v>3.2413566416032727E-2</c:v>
                </c:pt>
                <c:pt idx="6">
                  <c:v>1.8827189117570382E-2</c:v>
                </c:pt>
                <c:pt idx="7">
                  <c:v>2.1413426678156777E-2</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ACM RESEARCH-A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NAURA TECH GR -A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LAM RESEARCH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2.6479917939707647E-2</c:v>
                </c:pt>
                <c:pt idx="1">
                  <c:v>2.0673471278048441E-2</c:v>
                </c:pt>
                <c:pt idx="2">
                  <c:v>2.631153960938137E-2</c:v>
                </c:pt>
                <c:pt idx="3">
                  <c:v>3.2853028690848614E-2</c:v>
                </c:pt>
                <c:pt idx="4">
                  <c:v>2.4066483661113827E-2</c:v>
                </c:pt>
                <c:pt idx="5">
                  <c:v>2.4124865567437329E-2</c:v>
                </c:pt>
                <c:pt idx="6">
                  <c:v>2.7730416060667472E-2</c:v>
                </c:pt>
                <c:pt idx="7">
                  <c:v>3.1109559993951177E-2</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TOKYO ELECTRON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9.84805346316351E-2</c:v>
                </c:pt>
                <c:pt idx="1">
                  <c:v>8.0010012384966675E-2</c:v>
                </c:pt>
                <c:pt idx="2">
                  <c:v>7.5940968301530618E-2</c:v>
                </c:pt>
                <c:pt idx="3">
                  <c:v>8.8604614477026125E-2</c:v>
                </c:pt>
                <c:pt idx="4">
                  <c:v>3.1654982564751806E-2</c:v>
                </c:pt>
                <c:pt idx="5">
                  <c:v>2.4626610812987705E-2</c:v>
                </c:pt>
                <c:pt idx="6">
                  <c:v>2.8411013312045114E-2</c:v>
                </c:pt>
                <c:pt idx="7">
                  <c:v>3.9131947183265237E-2</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SCREEN HOLDINGS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5.0585597303848984E-2</c:v>
                </c:pt>
                <c:pt idx="1">
                  <c:v>4.6582550632153281E-2</c:v>
                </c:pt>
                <c:pt idx="2">
                  <c:v>4.4256408303755351E-2</c:v>
                </c:pt>
                <c:pt idx="3">
                  <c:v>5.3702119522435428E-2</c:v>
                </c:pt>
                <c:pt idx="4">
                  <c:v>4.9140954974566081E-2</c:v>
                </c:pt>
                <c:pt idx="5">
                  <c:v>4.1329220041018425E-2</c:v>
                </c:pt>
                <c:pt idx="6">
                  <c:v>4.5844774749439807E-2</c:v>
                </c:pt>
                <c:pt idx="7">
                  <c:v>4.6722702109873761E-2</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SAMSUNG ELECTRON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0.11047830492429166</c:v>
                </c:pt>
                <c:pt idx="1">
                  <c:v>0.1174384705762196</c:v>
                </c:pt>
                <c:pt idx="2">
                  <c:v>0.13880161417267431</c:v>
                </c:pt>
                <c:pt idx="3">
                  <c:v>0.14435828069063886</c:v>
                </c:pt>
                <c:pt idx="4">
                  <c:v>0.13229798317360886</c:v>
                </c:pt>
                <c:pt idx="5">
                  <c:v>0.14994897761925083</c:v>
                </c:pt>
                <c:pt idx="6">
                  <c:v>0.1836167892320881</c:v>
                </c:pt>
                <c:pt idx="7">
                  <c:v>0.17571246119904646</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ACM RESEARCH-A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NAURA TECH GR -A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LAM RESEARCH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TOKYO ELECTRON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SCREEN HOLDINGS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#N/A</c:v>
                </c:pt>
                <c:pt idx="1">
                  <c:v>1.4038165462502215E-2</c:v>
                </c:pt>
                <c:pt idx="2">
                  <c:v>1.6436016095973185E-2</c:v>
                </c:pt>
                <c:pt idx="3">
                  <c:v>1.5470009318662787E-2</c:v>
                </c:pt>
                <c:pt idx="4">
                  <c:v>1.290692216106621E-2</c:v>
                </c:pt>
                <c:pt idx="5">
                  <c:v>1.0087479164584421E-2</c:v>
                </c:pt>
                <c:pt idx="6">
                  <c:v>1.2907988513533059E-2</c:v>
                </c:pt>
                <c:pt idx="7">
                  <c:v>1.7729839342490623E-2</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SAMSUNG ELECTRON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0.11651640186293782</c:v>
                </c:pt>
                <c:pt idx="1">
                  <c:v>0.11970800917695107</c:v>
                </c:pt>
                <c:pt idx="2">
                  <c:v>0.13156264028587031</c:v>
                </c:pt>
                <c:pt idx="3">
                  <c:v>0.16459082111611756</c:v>
                </c:pt>
                <c:pt idx="4">
                  <c:v>0.13386974313705993</c:v>
                </c:pt>
                <c:pt idx="5">
                  <c:v>0.15640270454637781</c:v>
                </c:pt>
                <c:pt idx="6">
                  <c:v>0.17327267862931905</c:v>
                </c:pt>
                <c:pt idx="7">
                  <c:v>0.1651031846162814</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ACM RESEARCH-A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NAURA TECH GR -A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LAM RESEARCH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7.1365999386045265E-4</c:v>
                </c:pt>
                <c:pt idx="1">
                  <c:v>6.0548896009550608E-4</c:v>
                </c:pt>
                <c:pt idx="2">
                  <c:v>9.0401892193335131E-4</c:v>
                </c:pt>
                <c:pt idx="3">
                  <c:v>8.6025157853825119E-4</c:v>
                </c:pt>
                <c:pt idx="4">
                  <c:v>5.734249956413684E-4</c:v>
                </c:pt>
                <c:pt idx="5">
                  <c:v>6.2204537877925503E-4</c:v>
                </c:pt>
                <c:pt idx="6">
                  <c:v>6.416495816396531E-4</c:v>
                </c:pt>
                <c:pt idx="7">
                  <c:v>6.6036532029428827E-4</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TOKYO ELECTRON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1.6650971614202746E-3</c:v>
                </c:pt>
                <c:pt idx="1">
                  <c:v>1.4143973322046112E-3</c:v>
                </c:pt>
                <c:pt idx="2">
                  <c:v>1.2974853623529698E-3</c:v>
                </c:pt>
                <c:pt idx="3">
                  <c:v>1.3490327611579013E-3</c:v>
                </c:pt>
                <c:pt idx="4">
                  <c:v>1.1363179420784263E-3</c:v>
                </c:pt>
                <c:pt idx="5">
                  <c:v>8.1024920242792769E-4</c:v>
                </c:pt>
                <c:pt idx="6">
                  <c:v>1.1168345746574168E-3</c:v>
                </c:pt>
                <c:pt idx="7">
                  <c:v>1.5550016564388142E-3</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SCREEN HOLDINGS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7.4208964306064263E-4</c:v>
                </c:pt>
                <c:pt idx="1">
                  <c:v>8.8016032760246453E-4</c:v>
                </c:pt>
                <c:pt idx="2">
                  <c:v>8.415848982475159E-4</c:v>
                </c:pt>
                <c:pt idx="3">
                  <c:v>4.9638551639883202E-4</c:v>
                </c:pt>
                <c:pt idx="4">
                  <c:v>5.1296741922186222E-4</c:v>
                </c:pt>
                <c:pt idx="5">
                  <c:v>5.3709010687111639E-4</c:v>
                </c:pt>
                <c:pt idx="6">
                  <c:v>4.8170266225502911E-4</c:v>
                </c:pt>
                <c:pt idx="7">
                  <c:v>5.0472849095961213E-4</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SAMSUNG ELECTRON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5.4098046486006366E-3</c:v>
                </c:pt>
                <c:pt idx="1">
                  <c:v>5.4618724989213673E-3</c:v>
                </c:pt>
                <c:pt idx="2">
                  <c:v>5.557788401315474E-3</c:v>
                </c:pt>
                <c:pt idx="3">
                  <c:v>5.8774833634231034E-3</c:v>
                </c:pt>
                <c:pt idx="4">
                  <c:v>5.4232677051400443E-3</c:v>
                </c:pt>
                <c:pt idx="5">
                  <c:v>6.0247288571493966E-3</c:v>
                </c:pt>
                <c:pt idx="6">
                  <c:v>6.6317298458279262E-3</c:v>
                </c:pt>
                <c:pt idx="7">
                  <c:v>6.1134993270476039E-3</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Data'!$C$5:$C$159</c:f>
              <c:numCache>
                <c:formatCode>0.0</c:formatCode>
                <c:ptCount val="155"/>
                <c:pt idx="0">
                  <c:v>0</c:v>
                </c:pt>
                <c:pt idx="1">
                  <c:v>16.710699999999999</c:v>
                </c:pt>
                <c:pt idx="2">
                  <c:v>17.423500000000001</c:v>
                </c:pt>
                <c:pt idx="3">
                  <c:v>15.396599999999999</c:v>
                </c:pt>
                <c:pt idx="4">
                  <c:v>13.4335</c:v>
                </c:pt>
                <c:pt idx="5">
                  <c:v>11.1637</c:v>
                </c:pt>
                <c:pt idx="6">
                  <c:v>10.6739</c:v>
                </c:pt>
                <c:pt idx="7">
                  <c:v>11.370799999999999</c:v>
                </c:pt>
                <c:pt idx="8">
                  <c:v>10.008900000000001</c:v>
                </c:pt>
                <c:pt idx="9">
                  <c:v>10.128399999999999</c:v>
                </c:pt>
                <c:pt idx="10">
                  <c:v>9.9357000000000006</c:v>
                </c:pt>
                <c:pt idx="11">
                  <c:v>12.6936</c:v>
                </c:pt>
                <c:pt idx="12">
                  <c:v>11.9526</c:v>
                </c:pt>
                <c:pt idx="13">
                  <c:v>11.742599999999999</c:v>
                </c:pt>
                <c:pt idx="14">
                  <c:v>11.524699999999999</c:v>
                </c:pt>
                <c:pt idx="15">
                  <c:v>10.906499999999999</c:v>
                </c:pt>
                <c:pt idx="16">
                  <c:v>9.7280999999999995</c:v>
                </c:pt>
                <c:pt idx="17">
                  <c:v>9.3971</c:v>
                </c:pt>
                <c:pt idx="18">
                  <c:v>9.6510999999999996</c:v>
                </c:pt>
                <c:pt idx="19">
                  <c:v>8.5927000000000007</c:v>
                </c:pt>
                <c:pt idx="20">
                  <c:v>8.4426000000000005</c:v>
                </c:pt>
                <c:pt idx="21">
                  <c:v>8.5657999999999994</c:v>
                </c:pt>
                <c:pt idx="22">
                  <c:v>9.3817000000000004</c:v>
                </c:pt>
                <c:pt idx="23">
                  <c:v>7.4112</c:v>
                </c:pt>
                <c:pt idx="24">
                  <c:v>7.1957000000000004</c:v>
                </c:pt>
                <c:pt idx="25">
                  <c:v>7.2084000000000001</c:v>
                </c:pt>
                <c:pt idx="26">
                  <c:v>7.2084000000000001</c:v>
                </c:pt>
                <c:pt idx="27">
                  <c:v>7.3643000000000001</c:v>
                </c:pt>
                <c:pt idx="28">
                  <c:v>8.6007999999999996</c:v>
                </c:pt>
                <c:pt idx="29">
                  <c:v>10.2658</c:v>
                </c:pt>
                <c:pt idx="30">
                  <c:v>10.805999999999999</c:v>
                </c:pt>
                <c:pt idx="31">
                  <c:v>10.1471</c:v>
                </c:pt>
                <c:pt idx="32">
                  <c:v>9.8253000000000004</c:v>
                </c:pt>
                <c:pt idx="33">
                  <c:v>10.1355</c:v>
                </c:pt>
                <c:pt idx="34">
                  <c:v>9.6605000000000008</c:v>
                </c:pt>
                <c:pt idx="35">
                  <c:v>8.3187999999999995</c:v>
                </c:pt>
                <c:pt idx="36">
                  <c:v>7.5358999999999998</c:v>
                </c:pt>
                <c:pt idx="37">
                  <c:v>6.2549999999999999</c:v>
                </c:pt>
                <c:pt idx="38">
                  <c:v>6.7149000000000001</c:v>
                </c:pt>
                <c:pt idx="39">
                  <c:v>6.4108999999999998</c:v>
                </c:pt>
                <c:pt idx="40">
                  <c:v>5.4683000000000002</c:v>
                </c:pt>
                <c:pt idx="41">
                  <c:v>5.5290999999999997</c:v>
                </c:pt>
                <c:pt idx="42">
                  <c:v>6.7247000000000003</c:v>
                </c:pt>
                <c:pt idx="43">
                  <c:v>6.5061999999999998</c:v>
                </c:pt>
                <c:pt idx="44">
                  <c:v>6.6985000000000001</c:v>
                </c:pt>
                <c:pt idx="45">
                  <c:v>7.1223999999999998</c:v>
                </c:pt>
                <c:pt idx="46">
                  <c:v>7.4282000000000004</c:v>
                </c:pt>
                <c:pt idx="47">
                  <c:v>8.0443999999999996</c:v>
                </c:pt>
                <c:pt idx="48">
                  <c:v>8.0051000000000005</c:v>
                </c:pt>
                <c:pt idx="49">
                  <c:v>8.1416000000000004</c:v>
                </c:pt>
                <c:pt idx="50">
                  <c:v>8.6123999999999992</c:v>
                </c:pt>
                <c:pt idx="51">
                  <c:v>8.1982999999999997</c:v>
                </c:pt>
                <c:pt idx="52">
                  <c:v>8.3638999999999992</c:v>
                </c:pt>
                <c:pt idx="53">
                  <c:v>9.5015999999999998</c:v>
                </c:pt>
                <c:pt idx="54">
                  <c:v>8.2113999999999994</c:v>
                </c:pt>
                <c:pt idx="55">
                  <c:v>8.0040999999999993</c:v>
                </c:pt>
                <c:pt idx="56">
                  <c:v>7.4316000000000004</c:v>
                </c:pt>
                <c:pt idx="57">
                  <c:v>7.4836</c:v>
                </c:pt>
                <c:pt idx="58">
                  <c:v>7.4032</c:v>
                </c:pt>
                <c:pt idx="59">
                  <c:v>8.0609000000000002</c:v>
                </c:pt>
                <c:pt idx="60">
                  <c:v>9.0449999999999999</c:v>
                </c:pt>
                <c:pt idx="61">
                  <c:v>8.9220000000000006</c:v>
                </c:pt>
                <c:pt idx="62">
                  <c:v>7.9330999999999996</c:v>
                </c:pt>
                <c:pt idx="63">
                  <c:v>8.0405999999999995</c:v>
                </c:pt>
                <c:pt idx="64">
                  <c:v>8.6839999999999993</c:v>
                </c:pt>
                <c:pt idx="65">
                  <c:v>10.0929</c:v>
                </c:pt>
                <c:pt idx="66">
                  <c:v>10.8255</c:v>
                </c:pt>
                <c:pt idx="67">
                  <c:v>10.8208</c:v>
                </c:pt>
                <c:pt idx="68">
                  <c:v>10.8986</c:v>
                </c:pt>
                <c:pt idx="69">
                  <c:v>11.4634</c:v>
                </c:pt>
                <c:pt idx="70">
                  <c:v>12.2263</c:v>
                </c:pt>
                <c:pt idx="71">
                  <c:v>11.4337</c:v>
                </c:pt>
                <c:pt idx="72">
                  <c:v>11.2652</c:v>
                </c:pt>
                <c:pt idx="73">
                  <c:v>11.270200000000001</c:v>
                </c:pt>
                <c:pt idx="74">
                  <c:v>11.884499999999999</c:v>
                </c:pt>
                <c:pt idx="75">
                  <c:v>12.7217</c:v>
                </c:pt>
                <c:pt idx="76">
                  <c:v>12.222799999999999</c:v>
                </c:pt>
                <c:pt idx="77">
                  <c:v>13.799300000000001</c:v>
                </c:pt>
                <c:pt idx="78">
                  <c:v>13.6822</c:v>
                </c:pt>
                <c:pt idx="79">
                  <c:v>14.0238</c:v>
                </c:pt>
                <c:pt idx="80">
                  <c:v>15.292899999999999</c:v>
                </c:pt>
                <c:pt idx="81">
                  <c:v>16.0669</c:v>
                </c:pt>
                <c:pt idx="82">
                  <c:v>16.362400000000001</c:v>
                </c:pt>
                <c:pt idx="83">
                  <c:v>16.095300000000002</c:v>
                </c:pt>
                <c:pt idx="84">
                  <c:v>17.0671</c:v>
                </c:pt>
                <c:pt idx="85">
                  <c:v>17.1921</c:v>
                </c:pt>
                <c:pt idx="86">
                  <c:v>10.5419</c:v>
                </c:pt>
                <c:pt idx="87">
                  <c:v>10.908300000000001</c:v>
                </c:pt>
                <c:pt idx="88">
                  <c:v>8.9408999999999992</c:v>
                </c:pt>
                <c:pt idx="89">
                  <c:v>9.4651999999999994</c:v>
                </c:pt>
                <c:pt idx="90">
                  <c:v>11.3819</c:v>
                </c:pt>
                <c:pt idx="91">
                  <c:v>10.9703</c:v>
                </c:pt>
                <c:pt idx="92">
                  <c:v>11.6806</c:v>
                </c:pt>
                <c:pt idx="93">
                  <c:v>9.7132000000000005</c:v>
                </c:pt>
                <c:pt idx="94">
                  <c:v>11.3443</c:v>
                </c:pt>
                <c:pt idx="95">
                  <c:v>10.135</c:v>
                </c:pt>
                <c:pt idx="96">
                  <c:v>10.055999999999999</c:v>
                </c:pt>
                <c:pt idx="97">
                  <c:v>8.9562000000000008</c:v>
                </c:pt>
                <c:pt idx="98">
                  <c:v>9.4665999999999997</c:v>
                </c:pt>
                <c:pt idx="99">
                  <c:v>10.025700000000001</c:v>
                </c:pt>
                <c:pt idx="100">
                  <c:v>10.4024</c:v>
                </c:pt>
                <c:pt idx="101">
                  <c:v>10.065099999999999</c:v>
                </c:pt>
                <c:pt idx="102">
                  <c:v>7.4909999999999997</c:v>
                </c:pt>
                <c:pt idx="103">
                  <c:v>10.2773</c:v>
                </c:pt>
                <c:pt idx="104">
                  <c:v>10.8972</c:v>
                </c:pt>
                <c:pt idx="105">
                  <c:v>11.396599999999999</c:v>
                </c:pt>
                <c:pt idx="106">
                  <c:v>10.1509</c:v>
                </c:pt>
                <c:pt idx="107">
                  <c:v>10.353899999999999</c:v>
                </c:pt>
                <c:pt idx="108">
                  <c:v>9.2157</c:v>
                </c:pt>
                <c:pt idx="109">
                  <c:v>10.3354</c:v>
                </c:pt>
                <c:pt idx="110">
                  <c:v>11.412000000000001</c:v>
                </c:pt>
                <c:pt idx="111">
                  <c:v>10.113899999999999</c:v>
                </c:pt>
                <c:pt idx="112">
                  <c:v>9.5786999999999995</c:v>
                </c:pt>
                <c:pt idx="113">
                  <c:v>7.4992000000000001</c:v>
                </c:pt>
                <c:pt idx="114">
                  <c:v>7.6592000000000002</c:v>
                </c:pt>
                <c:pt idx="115">
                  <c:v>6.8719999999999999</c:v>
                </c:pt>
                <c:pt idx="116">
                  <c:v>7.0621999999999998</c:v>
                </c:pt>
                <c:pt idx="117">
                  <c:v>7.6207000000000003</c:v>
                </c:pt>
                <c:pt idx="118">
                  <c:v>7.5961999999999996</c:v>
                </c:pt>
                <c:pt idx="119">
                  <c:v>8.0257000000000005</c:v>
                </c:pt>
                <c:pt idx="120">
                  <c:v>8.3849</c:v>
                </c:pt>
                <c:pt idx="121">
                  <c:v>7.6516000000000002</c:v>
                </c:pt>
                <c:pt idx="122">
                  <c:v>7.3792</c:v>
                </c:pt>
                <c:pt idx="123">
                  <c:v>7.0229999999999997</c:v>
                </c:pt>
                <c:pt idx="124">
                  <c:v>6.4711999999999996</c:v>
                </c:pt>
                <c:pt idx="125">
                  <c:v>5.8566000000000003</c:v>
                </c:pt>
                <c:pt idx="126">
                  <c:v>6.3663999999999996</c:v>
                </c:pt>
                <c:pt idx="127">
                  <c:v>6.0102000000000002</c:v>
                </c:pt>
                <c:pt idx="128">
                  <c:v>5.7755000000000001</c:v>
                </c:pt>
                <c:pt idx="129">
                  <c:v>6.0679999999999996</c:v>
                </c:pt>
                <c:pt idx="130">
                  <c:v>6.7156000000000002</c:v>
                </c:pt>
                <c:pt idx="131">
                  <c:v>6.7644000000000002</c:v>
                </c:pt>
                <c:pt idx="132">
                  <c:v>6.8479999999999999</c:v>
                </c:pt>
                <c:pt idx="133">
                  <c:v>8.5884</c:v>
                </c:pt>
                <c:pt idx="134">
                  <c:v>8.0909999999999993</c:v>
                </c:pt>
                <c:pt idx="135">
                  <c:v>9.0680999999999994</c:v>
                </c:pt>
                <c:pt idx="136">
                  <c:v>9.2635000000000005</c:v>
                </c:pt>
                <c:pt idx="137">
                  <c:v>7.52</c:v>
                </c:pt>
                <c:pt idx="138">
                  <c:v>8.44</c:v>
                </c:pt>
                <c:pt idx="139">
                  <c:v>10.7311</c:v>
                </c:pt>
                <c:pt idx="140">
                  <c:v>8.6168999999999993</c:v>
                </c:pt>
                <c:pt idx="141">
                  <c:v>9.2096</c:v>
                </c:pt>
                <c:pt idx="142">
                  <c:v>8.44</c:v>
                </c:pt>
                <c:pt idx="143">
                  <c:v>7.6615000000000002</c:v>
                </c:pt>
                <c:pt idx="144">
                  <c:v>7.3164999999999996</c:v>
                </c:pt>
                <c:pt idx="145">
                  <c:v>6.83</c:v>
                </c:pt>
                <c:pt idx="146">
                  <c:v>3.0356999999999998</c:v>
                </c:pt>
                <c:pt idx="147">
                  <c:v>4.2656999999999998</c:v>
                </c:pt>
                <c:pt idx="148">
                  <c:v>5.1860999999999997</c:v>
                </c:pt>
                <c:pt idx="149">
                  <c:v>4.3258999999999999</c:v>
                </c:pt>
                <c:pt idx="150">
                  <c:v>4.7388000000000003</c:v>
                </c:pt>
                <c:pt idx="151">
                  <c:v>4.4032999999999998</c:v>
                </c:pt>
                <c:pt idx="152">
                  <c:v>4.4204999999999997</c:v>
                </c:pt>
                <c:pt idx="153">
                  <c:v>4.2571000000000003</c:v>
                </c:pt>
                <c:pt idx="154">
                  <c:v>2.1328999999999998</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#NAME?</c:v>
                </c:pt>
              </c:strCache>
            </c:strRef>
          </c:tx>
          <c:spPr>
            <a:ln w="28575" cap="rnd">
              <a:solidFill>
                <a:schemeClr val="accent3"/>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#NAME?</c:v>
                </c:pt>
              </c:strCache>
            </c:strRef>
          </c:tx>
          <c:spPr>
            <a:ln w="28575" cap="rnd">
              <a:solidFill>
                <a:schemeClr val="accent5"/>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Data'!$E$5:$E$159</c:f>
              <c:numCache>
                <c:formatCode>0.0</c:formatCode>
                <c:ptCount val="155"/>
                <c:pt idx="0">
                  <c:v>28.426600000000001</c:v>
                </c:pt>
                <c:pt idx="1">
                  <c:v>28.3293</c:v>
                </c:pt>
                <c:pt idx="2">
                  <c:v>28.3795</c:v>
                </c:pt>
                <c:pt idx="3">
                  <c:v>25.4772</c:v>
                </c:pt>
                <c:pt idx="4">
                  <c:v>24.189599999999999</c:v>
                </c:pt>
                <c:pt idx="5">
                  <c:v>21.351600000000001</c:v>
                </c:pt>
                <c:pt idx="6">
                  <c:v>19.415099999999999</c:v>
                </c:pt>
                <c:pt idx="7">
                  <c:v>20.608799999999999</c:v>
                </c:pt>
                <c:pt idx="8">
                  <c:v>19.699000000000002</c:v>
                </c:pt>
                <c:pt idx="9">
                  <c:v>21.226800000000001</c:v>
                </c:pt>
                <c:pt idx="10">
                  <c:v>19.258700000000001</c:v>
                </c:pt>
                <c:pt idx="11">
                  <c:v>19.8996</c:v>
                </c:pt>
                <c:pt idx="12">
                  <c:v>19.494700000000002</c:v>
                </c:pt>
                <c:pt idx="13">
                  <c:v>20.16</c:v>
                </c:pt>
                <c:pt idx="14">
                  <c:v>20.046099999999999</c:v>
                </c:pt>
                <c:pt idx="15">
                  <c:v>19.846699999999998</c:v>
                </c:pt>
                <c:pt idx="16">
                  <c:v>21.519200000000001</c:v>
                </c:pt>
                <c:pt idx="17">
                  <c:v>20.665299999999998</c:v>
                </c:pt>
                <c:pt idx="18">
                  <c:v>20.373899999999999</c:v>
                </c:pt>
                <c:pt idx="19">
                  <c:v>18.978000000000002</c:v>
                </c:pt>
                <c:pt idx="20">
                  <c:v>18.803999999999998</c:v>
                </c:pt>
                <c:pt idx="21">
                  <c:v>18.5307</c:v>
                </c:pt>
                <c:pt idx="22">
                  <c:v>19.023099999999999</c:v>
                </c:pt>
                <c:pt idx="23">
                  <c:v>16.784600000000001</c:v>
                </c:pt>
                <c:pt idx="24">
                  <c:v>16.018799999999999</c:v>
                </c:pt>
                <c:pt idx="25">
                  <c:v>14.9565</c:v>
                </c:pt>
                <c:pt idx="26">
                  <c:v>14.596</c:v>
                </c:pt>
                <c:pt idx="27">
                  <c:v>15.949400000000001</c:v>
                </c:pt>
                <c:pt idx="28">
                  <c:v>16.554600000000001</c:v>
                </c:pt>
                <c:pt idx="29">
                  <c:v>18.843699999999998</c:v>
                </c:pt>
                <c:pt idx="30">
                  <c:v>19.2898</c:v>
                </c:pt>
                <c:pt idx="31">
                  <c:v>18.9558</c:v>
                </c:pt>
                <c:pt idx="32">
                  <c:v>19.568899999999999</c:v>
                </c:pt>
                <c:pt idx="33">
                  <c:v>20.1297</c:v>
                </c:pt>
                <c:pt idx="34">
                  <c:v>21.7148</c:v>
                </c:pt>
                <c:pt idx="35">
                  <c:v>20.196999999999999</c:v>
                </c:pt>
                <c:pt idx="36">
                  <c:v>20.289200000000001</c:v>
                </c:pt>
                <c:pt idx="37">
                  <c:v>18.641100000000002</c:v>
                </c:pt>
                <c:pt idx="38">
                  <c:v>20.6646</c:v>
                </c:pt>
                <c:pt idx="39">
                  <c:v>18.890899999999998</c:v>
                </c:pt>
                <c:pt idx="40">
                  <c:v>19.113199999999999</c:v>
                </c:pt>
                <c:pt idx="41">
                  <c:v>17.964099999999998</c:v>
                </c:pt>
                <c:pt idx="42">
                  <c:v>19.331700000000001</c:v>
                </c:pt>
                <c:pt idx="43">
                  <c:v>19.651499999999999</c:v>
                </c:pt>
                <c:pt idx="44">
                  <c:v>20.452200000000001</c:v>
                </c:pt>
                <c:pt idx="45">
                  <c:v>20.4602</c:v>
                </c:pt>
                <c:pt idx="46">
                  <c:v>18.6921</c:v>
                </c:pt>
                <c:pt idx="47">
                  <c:v>18.290400000000002</c:v>
                </c:pt>
                <c:pt idx="48">
                  <c:v>19.294699999999999</c:v>
                </c:pt>
                <c:pt idx="49">
                  <c:v>20.068999999999999</c:v>
                </c:pt>
                <c:pt idx="50">
                  <c:v>19.9818</c:v>
                </c:pt>
                <c:pt idx="51">
                  <c:v>19.174199999999999</c:v>
                </c:pt>
                <c:pt idx="52">
                  <c:v>19.514900000000001</c:v>
                </c:pt>
                <c:pt idx="53">
                  <c:v>21.836300000000001</c:v>
                </c:pt>
                <c:pt idx="54">
                  <c:v>21.450099999999999</c:v>
                </c:pt>
                <c:pt idx="55">
                  <c:v>22.3901</c:v>
                </c:pt>
                <c:pt idx="56">
                  <c:v>21.045200000000001</c:v>
                </c:pt>
                <c:pt idx="57">
                  <c:v>21.3536</c:v>
                </c:pt>
                <c:pt idx="58">
                  <c:v>21.285900000000002</c:v>
                </c:pt>
                <c:pt idx="59">
                  <c:v>22.578099999999999</c:v>
                </c:pt>
                <c:pt idx="60">
                  <c:v>24.507100000000001</c:v>
                </c:pt>
                <c:pt idx="61">
                  <c:v>23.715299999999999</c:v>
                </c:pt>
                <c:pt idx="62">
                  <c:v>20.964700000000001</c:v>
                </c:pt>
                <c:pt idx="63">
                  <c:v>25.861799999999999</c:v>
                </c:pt>
                <c:pt idx="64">
                  <c:v>25.540299999999998</c:v>
                </c:pt>
                <c:pt idx="65">
                  <c:v>27.174900000000001</c:v>
                </c:pt>
                <c:pt idx="66">
                  <c:v>31.688199999999998</c:v>
                </c:pt>
                <c:pt idx="67">
                  <c:v>30.4283</c:v>
                </c:pt>
                <c:pt idx="68">
                  <c:v>31.550699999999999</c:v>
                </c:pt>
                <c:pt idx="69">
                  <c:v>31.717400000000001</c:v>
                </c:pt>
                <c:pt idx="70">
                  <c:v>31.0062</c:v>
                </c:pt>
                <c:pt idx="71">
                  <c:v>29.026599999999998</c:v>
                </c:pt>
                <c:pt idx="72">
                  <c:v>28.471599999999999</c:v>
                </c:pt>
                <c:pt idx="73">
                  <c:v>28.847899999999999</c:v>
                </c:pt>
                <c:pt idx="74">
                  <c:v>28.306699999999999</c:v>
                </c:pt>
                <c:pt idx="75">
                  <c:v>27.2714</c:v>
                </c:pt>
                <c:pt idx="76">
                  <c:v>25.9145</c:v>
                </c:pt>
                <c:pt idx="77">
                  <c:v>26.493300000000001</c:v>
                </c:pt>
                <c:pt idx="78">
                  <c:v>27.317699999999999</c:v>
                </c:pt>
                <c:pt idx="79">
                  <c:v>28.8049</c:v>
                </c:pt>
                <c:pt idx="80">
                  <c:v>29.308800000000002</c:v>
                </c:pt>
                <c:pt idx="81">
                  <c:v>29.706199999999999</c:v>
                </c:pt>
                <c:pt idx="82">
                  <c:v>29.193200000000001</c:v>
                </c:pt>
                <c:pt idx="83">
                  <c:v>28.5015</c:v>
                </c:pt>
                <c:pt idx="84">
                  <c:v>30.206800000000001</c:v>
                </c:pt>
                <c:pt idx="85">
                  <c:v>28.3766</c:v>
                </c:pt>
                <c:pt idx="86">
                  <c:v>27.735199999999999</c:v>
                </c:pt>
                <c:pt idx="87">
                  <c:v>28.161000000000001</c:v>
                </c:pt>
                <c:pt idx="88">
                  <c:v>26.084299999999999</c:v>
                </c:pt>
                <c:pt idx="89">
                  <c:v>25.361699999999999</c:v>
                </c:pt>
                <c:pt idx="90">
                  <c:v>26.2104</c:v>
                </c:pt>
                <c:pt idx="91">
                  <c:v>23.249300000000002</c:v>
                </c:pt>
                <c:pt idx="92">
                  <c:v>23.1495</c:v>
                </c:pt>
                <c:pt idx="93">
                  <c:v>22.7529</c:v>
                </c:pt>
                <c:pt idx="94">
                  <c:v>24.555800000000001</c:v>
                </c:pt>
                <c:pt idx="95">
                  <c:v>20.4482</c:v>
                </c:pt>
                <c:pt idx="96">
                  <c:v>19.898</c:v>
                </c:pt>
                <c:pt idx="97">
                  <c:v>18.8186</c:v>
                </c:pt>
                <c:pt idx="98">
                  <c:v>19.337399999999999</c:v>
                </c:pt>
                <c:pt idx="99">
                  <c:v>19.4316</c:v>
                </c:pt>
                <c:pt idx="100">
                  <c:v>18.9008</c:v>
                </c:pt>
                <c:pt idx="101">
                  <c:v>17.535499999999999</c:v>
                </c:pt>
                <c:pt idx="102">
                  <c:v>16.4252</c:v>
                </c:pt>
                <c:pt idx="103">
                  <c:v>15.792400000000001</c:v>
                </c:pt>
                <c:pt idx="104">
                  <c:v>17.427600000000002</c:v>
                </c:pt>
                <c:pt idx="105">
                  <c:v>17.471800000000002</c:v>
                </c:pt>
                <c:pt idx="106">
                  <c:v>17.216799999999999</c:v>
                </c:pt>
                <c:pt idx="107">
                  <c:v>16.713100000000001</c:v>
                </c:pt>
                <c:pt idx="108">
                  <c:v>14.8407</c:v>
                </c:pt>
                <c:pt idx="109">
                  <c:v>15.7966</c:v>
                </c:pt>
                <c:pt idx="110">
                  <c:v>16.699200000000001</c:v>
                </c:pt>
                <c:pt idx="111">
                  <c:v>16.466000000000001</c:v>
                </c:pt>
                <c:pt idx="112">
                  <c:v>16.263300000000001</c:v>
                </c:pt>
                <c:pt idx="113">
                  <c:v>15.499499999999999</c:v>
                </c:pt>
                <c:pt idx="114">
                  <c:v>16.552099999999999</c:v>
                </c:pt>
                <c:pt idx="115">
                  <c:v>16.547999999999998</c:v>
                </c:pt>
                <c:pt idx="116">
                  <c:v>15.4968</c:v>
                </c:pt>
                <c:pt idx="117">
                  <c:v>15.5633</c:v>
                </c:pt>
                <c:pt idx="118">
                  <c:v>15.136900000000001</c:v>
                </c:pt>
                <c:pt idx="119">
                  <c:v>15.282500000000001</c:v>
                </c:pt>
                <c:pt idx="120">
                  <c:v>15.6137</c:v>
                </c:pt>
                <c:pt idx="121">
                  <c:v>13.1945</c:v>
                </c:pt>
                <c:pt idx="122">
                  <c:v>13.7247</c:v>
                </c:pt>
                <c:pt idx="123">
                  <c:v>13.3035</c:v>
                </c:pt>
                <c:pt idx="124">
                  <c:v>13.433</c:v>
                </c:pt>
                <c:pt idx="125">
                  <c:v>12.3209</c:v>
                </c:pt>
                <c:pt idx="126">
                  <c:v>12.501200000000001</c:v>
                </c:pt>
                <c:pt idx="127">
                  <c:v>11.4771</c:v>
                </c:pt>
                <c:pt idx="128">
                  <c:v>11.1982</c:v>
                </c:pt>
                <c:pt idx="129">
                  <c:v>10.822900000000001</c:v>
                </c:pt>
                <c:pt idx="130">
                  <c:v>10.731</c:v>
                </c:pt>
                <c:pt idx="131">
                  <c:v>10.863899999999999</c:v>
                </c:pt>
                <c:pt idx="132">
                  <c:v>10.7851</c:v>
                </c:pt>
                <c:pt idx="133">
                  <c:v>11.2744</c:v>
                </c:pt>
                <c:pt idx="134">
                  <c:v>10.768599999999999</c:v>
                </c:pt>
                <c:pt idx="135">
                  <c:v>10.361700000000001</c:v>
                </c:pt>
                <c:pt idx="136">
                  <c:v>10.495900000000001</c:v>
                </c:pt>
                <c:pt idx="137">
                  <c:v>10.4435</c:v>
                </c:pt>
                <c:pt idx="138">
                  <c:v>10.154299999999999</c:v>
                </c:pt>
                <c:pt idx="139">
                  <c:v>11.064399999999999</c:v>
                </c:pt>
                <c:pt idx="140">
                  <c:v>11.014099999999999</c:v>
                </c:pt>
                <c:pt idx="141">
                  <c:v>11.2751</c:v>
                </c:pt>
                <c:pt idx="142">
                  <c:v>10.4259</c:v>
                </c:pt>
                <c:pt idx="143">
                  <c:v>10.041</c:v>
                </c:pt>
                <c:pt idx="144">
                  <c:v>9.9856999999999996</c:v>
                </c:pt>
                <c:pt idx="145">
                  <c:v>9.0916999999999994</c:v>
                </c:pt>
                <c:pt idx="146">
                  <c:v>8.6715999999999998</c:v>
                </c:pt>
                <c:pt idx="147">
                  <c:v>10.221299999999999</c:v>
                </c:pt>
                <c:pt idx="148">
                  <c:v>10.6815</c:v>
                </c:pt>
                <c:pt idx="149">
                  <c:v>10.1402</c:v>
                </c:pt>
                <c:pt idx="150">
                  <c:v>10.775</c:v>
                </c:pt>
                <c:pt idx="151">
                  <c:v>10.526999999999999</c:v>
                </c:pt>
                <c:pt idx="152">
                  <c:v>10.391</c:v>
                </c:pt>
                <c:pt idx="153">
                  <c:v>9.8795000000000002</c:v>
                </c:pt>
                <c:pt idx="154">
                  <c:v>9.0387000000000004</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#NAME?</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Data'!$F$5:$F$159</c:f>
              <c:numCache>
                <c:formatCode>0.0</c:formatCode>
                <c:ptCount val="155"/>
                <c:pt idx="0">
                  <c:v>15.1273</c:v>
                </c:pt>
                <c:pt idx="1">
                  <c:v>15.1273</c:v>
                </c:pt>
                <c:pt idx="2">
                  <c:v>15.1273</c:v>
                </c:pt>
                <c:pt idx="3">
                  <c:v>15.1273</c:v>
                </c:pt>
                <c:pt idx="4">
                  <c:v>15.1273</c:v>
                </c:pt>
                <c:pt idx="5">
                  <c:v>15.1273</c:v>
                </c:pt>
                <c:pt idx="6">
                  <c:v>15.1273</c:v>
                </c:pt>
                <c:pt idx="7">
                  <c:v>15.1273</c:v>
                </c:pt>
                <c:pt idx="8">
                  <c:v>15.1273</c:v>
                </c:pt>
                <c:pt idx="9">
                  <c:v>15.1273</c:v>
                </c:pt>
                <c:pt idx="10">
                  <c:v>15.1273</c:v>
                </c:pt>
                <c:pt idx="11">
                  <c:v>15.1273</c:v>
                </c:pt>
                <c:pt idx="12">
                  <c:v>15.1273</c:v>
                </c:pt>
                <c:pt idx="13">
                  <c:v>15.1273</c:v>
                </c:pt>
                <c:pt idx="14">
                  <c:v>15.1273</c:v>
                </c:pt>
                <c:pt idx="15">
                  <c:v>15.1273</c:v>
                </c:pt>
                <c:pt idx="16">
                  <c:v>15.1273</c:v>
                </c:pt>
                <c:pt idx="17">
                  <c:v>14.7331</c:v>
                </c:pt>
                <c:pt idx="18">
                  <c:v>14.8231</c:v>
                </c:pt>
                <c:pt idx="19">
                  <c:v>13.3453</c:v>
                </c:pt>
                <c:pt idx="20">
                  <c:v>13.7582</c:v>
                </c:pt>
                <c:pt idx="21">
                  <c:v>13.8079</c:v>
                </c:pt>
                <c:pt idx="22">
                  <c:v>14.416399999999999</c:v>
                </c:pt>
                <c:pt idx="23">
                  <c:v>12.975899999999999</c:v>
                </c:pt>
                <c:pt idx="24">
                  <c:v>12.553699999999999</c:v>
                </c:pt>
                <c:pt idx="25">
                  <c:v>11.575699999999999</c:v>
                </c:pt>
                <c:pt idx="26">
                  <c:v>11.6006</c:v>
                </c:pt>
                <c:pt idx="27">
                  <c:v>10.1911</c:v>
                </c:pt>
                <c:pt idx="28">
                  <c:v>12.1904</c:v>
                </c:pt>
                <c:pt idx="29">
                  <c:v>32.1511</c:v>
                </c:pt>
                <c:pt idx="30">
                  <c:v>32.1511</c:v>
                </c:pt>
                <c:pt idx="31">
                  <c:v>32.1511</c:v>
                </c:pt>
                <c:pt idx="32">
                  <c:v>32.1511</c:v>
                </c:pt>
                <c:pt idx="33">
                  <c:v>32.1511</c:v>
                </c:pt>
                <c:pt idx="34">
                  <c:v>32.1511</c:v>
                </c:pt>
                <c:pt idx="35">
                  <c:v>32.1511</c:v>
                </c:pt>
                <c:pt idx="36">
                  <c:v>32.1511</c:v>
                </c:pt>
                <c:pt idx="37">
                  <c:v>32.1511</c:v>
                </c:pt>
                <c:pt idx="38">
                  <c:v>32.1511</c:v>
                </c:pt>
                <c:pt idx="39">
                  <c:v>32.1511</c:v>
                </c:pt>
                <c:pt idx="40">
                  <c:v>32.1511</c:v>
                </c:pt>
                <c:pt idx="41">
                  <c:v>32.1511</c:v>
                </c:pt>
                <c:pt idx="42">
                  <c:v>32.1511</c:v>
                </c:pt>
                <c:pt idx="43">
                  <c:v>32.1511</c:v>
                </c:pt>
                <c:pt idx="44">
                  <c:v>32.1511</c:v>
                </c:pt>
                <c:pt idx="45">
                  <c:v>32.1511</c:v>
                </c:pt>
                <c:pt idx="46">
                  <c:v>32.1511</c:v>
                </c:pt>
                <c:pt idx="47">
                  <c:v>32.1511</c:v>
                </c:pt>
                <c:pt idx="48">
                  <c:v>32.1511</c:v>
                </c:pt>
                <c:pt idx="49">
                  <c:v>32.1511</c:v>
                </c:pt>
                <c:pt idx="50">
                  <c:v>32.1511</c:v>
                </c:pt>
                <c:pt idx="51">
                  <c:v>32.1511</c:v>
                </c:pt>
                <c:pt idx="52">
                  <c:v>32.1511</c:v>
                </c:pt>
                <c:pt idx="53">
                  <c:v>32.1511</c:v>
                </c:pt>
                <c:pt idx="54">
                  <c:v>32.1511</c:v>
                </c:pt>
                <c:pt idx="55">
                  <c:v>32.1511</c:v>
                </c:pt>
                <c:pt idx="56">
                  <c:v>32.1511</c:v>
                </c:pt>
                <c:pt idx="57">
                  <c:v>32.1511</c:v>
                </c:pt>
                <c:pt idx="58">
                  <c:v>32.1511</c:v>
                </c:pt>
                <c:pt idx="59">
                  <c:v>32.1511</c:v>
                </c:pt>
                <c:pt idx="60">
                  <c:v>32.1511</c:v>
                </c:pt>
                <c:pt idx="61">
                  <c:v>32.1511</c:v>
                </c:pt>
                <c:pt idx="62">
                  <c:v>32.1511</c:v>
                </c:pt>
                <c:pt idx="63">
                  <c:v>32.1511</c:v>
                </c:pt>
                <c:pt idx="64">
                  <c:v>32.1511</c:v>
                </c:pt>
                <c:pt idx="65">
                  <c:v>32.1511</c:v>
                </c:pt>
                <c:pt idx="66">
                  <c:v>32.1511</c:v>
                </c:pt>
                <c:pt idx="67">
                  <c:v>32.1511</c:v>
                </c:pt>
                <c:pt idx="68">
                  <c:v>32.1511</c:v>
                </c:pt>
                <c:pt idx="69">
                  <c:v>31.298100000000002</c:v>
                </c:pt>
                <c:pt idx="70">
                  <c:v>32.012099999999997</c:v>
                </c:pt>
                <c:pt idx="71">
                  <c:v>30.194800000000001</c:v>
                </c:pt>
                <c:pt idx="72">
                  <c:v>31.9008</c:v>
                </c:pt>
                <c:pt idx="73">
                  <c:v>32.642499999999998</c:v>
                </c:pt>
                <c:pt idx="74">
                  <c:v>31.761700000000001</c:v>
                </c:pt>
                <c:pt idx="75">
                  <c:v>32.735300000000002</c:v>
                </c:pt>
                <c:pt idx="76">
                  <c:v>31.492799999999999</c:v>
                </c:pt>
                <c:pt idx="77">
                  <c:v>31.372299999999999</c:v>
                </c:pt>
                <c:pt idx="78">
                  <c:v>33.671700000000001</c:v>
                </c:pt>
                <c:pt idx="79">
                  <c:v>35.5261</c:v>
                </c:pt>
                <c:pt idx="80">
                  <c:v>35.832000000000001</c:v>
                </c:pt>
                <c:pt idx="81">
                  <c:v>13.749599999999999</c:v>
                </c:pt>
                <c:pt idx="82">
                  <c:v>13.749599999999999</c:v>
                </c:pt>
                <c:pt idx="83">
                  <c:v>13.749599999999999</c:v>
                </c:pt>
                <c:pt idx="84">
                  <c:v>13.749599999999999</c:v>
                </c:pt>
                <c:pt idx="85">
                  <c:v>13.749599999999999</c:v>
                </c:pt>
                <c:pt idx="86">
                  <c:v>13.749599999999999</c:v>
                </c:pt>
                <c:pt idx="87">
                  <c:v>13.749599999999999</c:v>
                </c:pt>
                <c:pt idx="88">
                  <c:v>13.749599999999999</c:v>
                </c:pt>
                <c:pt idx="89">
                  <c:v>13.749599999999999</c:v>
                </c:pt>
                <c:pt idx="90">
                  <c:v>13.749599999999999</c:v>
                </c:pt>
                <c:pt idx="91">
                  <c:v>13.749599999999999</c:v>
                </c:pt>
                <c:pt idx="92">
                  <c:v>13.749599999999999</c:v>
                </c:pt>
                <c:pt idx="93">
                  <c:v>13.749599999999999</c:v>
                </c:pt>
                <c:pt idx="94">
                  <c:v>13.749599999999999</c:v>
                </c:pt>
                <c:pt idx="95">
                  <c:v>13.749599999999999</c:v>
                </c:pt>
                <c:pt idx="96">
                  <c:v>13.749599999999999</c:v>
                </c:pt>
                <c:pt idx="97">
                  <c:v>13.749599999999999</c:v>
                </c:pt>
                <c:pt idx="98">
                  <c:v>13.749599999999999</c:v>
                </c:pt>
                <c:pt idx="99">
                  <c:v>13.749599999999999</c:v>
                </c:pt>
                <c:pt idx="100">
                  <c:v>13.749599999999999</c:v>
                </c:pt>
                <c:pt idx="101">
                  <c:v>13.749599999999999</c:v>
                </c:pt>
                <c:pt idx="102">
                  <c:v>13.749599999999999</c:v>
                </c:pt>
                <c:pt idx="103">
                  <c:v>13.749599999999999</c:v>
                </c:pt>
                <c:pt idx="104">
                  <c:v>13.749599999999999</c:v>
                </c:pt>
                <c:pt idx="105">
                  <c:v>13.749599999999999</c:v>
                </c:pt>
                <c:pt idx="106">
                  <c:v>13.749599999999999</c:v>
                </c:pt>
                <c:pt idx="107">
                  <c:v>13.749599999999999</c:v>
                </c:pt>
                <c:pt idx="108">
                  <c:v>13.749599999999999</c:v>
                </c:pt>
                <c:pt idx="109">
                  <c:v>13.749599999999999</c:v>
                </c:pt>
                <c:pt idx="110">
                  <c:v>13.749599999999999</c:v>
                </c:pt>
                <c:pt idx="111">
                  <c:v>13.749599999999999</c:v>
                </c:pt>
                <c:pt idx="112">
                  <c:v>13.749599999999999</c:v>
                </c:pt>
                <c:pt idx="113">
                  <c:v>13.749599999999999</c:v>
                </c:pt>
                <c:pt idx="114">
                  <c:v>13.749599999999999</c:v>
                </c:pt>
                <c:pt idx="115">
                  <c:v>13.749599999999999</c:v>
                </c:pt>
                <c:pt idx="116">
                  <c:v>13.749599999999999</c:v>
                </c:pt>
                <c:pt idx="117">
                  <c:v>13.749599999999999</c:v>
                </c:pt>
                <c:pt idx="118">
                  <c:v>13.749599999999999</c:v>
                </c:pt>
                <c:pt idx="119">
                  <c:v>13.749599999999999</c:v>
                </c:pt>
                <c:pt idx="120">
                  <c:v>13.749599999999999</c:v>
                </c:pt>
                <c:pt idx="121">
                  <c:v>13.978</c:v>
                </c:pt>
                <c:pt idx="122">
                  <c:v>13.5069</c:v>
                </c:pt>
                <c:pt idx="123">
                  <c:v>12.7325</c:v>
                </c:pt>
                <c:pt idx="124">
                  <c:v>13.089399999999999</c:v>
                </c:pt>
                <c:pt idx="125">
                  <c:v>12.3293</c:v>
                </c:pt>
                <c:pt idx="126">
                  <c:v>11.7369</c:v>
                </c:pt>
                <c:pt idx="127">
                  <c:v>10.4594</c:v>
                </c:pt>
                <c:pt idx="128">
                  <c:v>10.1953</c:v>
                </c:pt>
                <c:pt idx="129">
                  <c:v>10.1953</c:v>
                </c:pt>
                <c:pt idx="130">
                  <c:v>10.102499999999999</c:v>
                </c:pt>
                <c:pt idx="131">
                  <c:v>10.684200000000001</c:v>
                </c:pt>
                <c:pt idx="132">
                  <c:v>10.5664</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#NAME?</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Data'!$G$5:$G$159</c:f>
              <c:numCache>
                <c:formatCode>0.0</c:formatCode>
                <c:ptCount val="155"/>
                <c:pt idx="0">
                  <c:v>8.0244999999999997</c:v>
                </c:pt>
                <c:pt idx="1">
                  <c:v>8.4802</c:v>
                </c:pt>
                <c:pt idx="2">
                  <c:v>7.6738</c:v>
                </c:pt>
                <c:pt idx="3">
                  <c:v>8.1065000000000005</c:v>
                </c:pt>
                <c:pt idx="4">
                  <c:v>7.2771999999999997</c:v>
                </c:pt>
                <c:pt idx="5">
                  <c:v>6.5331000000000001</c:v>
                </c:pt>
                <c:pt idx="6">
                  <c:v>5.8644999999999996</c:v>
                </c:pt>
                <c:pt idx="7">
                  <c:v>6.7355</c:v>
                </c:pt>
                <c:pt idx="8">
                  <c:v>6.6797000000000004</c:v>
                </c:pt>
                <c:pt idx="9">
                  <c:v>7.2836999999999996</c:v>
                </c:pt>
                <c:pt idx="10">
                  <c:v>6.9694000000000003</c:v>
                </c:pt>
                <c:pt idx="11">
                  <c:v>6.9414999999999996</c:v>
                </c:pt>
                <c:pt idx="12">
                  <c:v>7.4024000000000001</c:v>
                </c:pt>
                <c:pt idx="13">
                  <c:v>7.2870999999999997</c:v>
                </c:pt>
                <c:pt idx="14">
                  <c:v>7.3570000000000002</c:v>
                </c:pt>
                <c:pt idx="15">
                  <c:v>6.7495000000000003</c:v>
                </c:pt>
                <c:pt idx="16">
                  <c:v>6.4181999999999997</c:v>
                </c:pt>
                <c:pt idx="17">
                  <c:v>6.2609000000000004</c:v>
                </c:pt>
                <c:pt idx="18">
                  <c:v>6.1719999999999997</c:v>
                </c:pt>
                <c:pt idx="19">
                  <c:v>5.7205000000000004</c:v>
                </c:pt>
                <c:pt idx="20">
                  <c:v>5.8777999999999997</c:v>
                </c:pt>
                <c:pt idx="21">
                  <c:v>5.8710000000000004</c:v>
                </c:pt>
                <c:pt idx="22">
                  <c:v>6.5277000000000003</c:v>
                </c:pt>
                <c:pt idx="23">
                  <c:v>5.3333000000000004</c:v>
                </c:pt>
                <c:pt idx="24">
                  <c:v>5.1555</c:v>
                </c:pt>
                <c:pt idx="25">
                  <c:v>4.8634000000000004</c:v>
                </c:pt>
                <c:pt idx="26">
                  <c:v>4.8319000000000001</c:v>
                </c:pt>
                <c:pt idx="27">
                  <c:v>4.4508999999999999</c:v>
                </c:pt>
                <c:pt idx="28">
                  <c:v>5.3860000000000001</c:v>
                </c:pt>
                <c:pt idx="29">
                  <c:v>6.1959</c:v>
                </c:pt>
                <c:pt idx="30">
                  <c:v>6.4119000000000002</c:v>
                </c:pt>
                <c:pt idx="31">
                  <c:v>6.4932999999999996</c:v>
                </c:pt>
                <c:pt idx="32">
                  <c:v>6.5004</c:v>
                </c:pt>
                <c:pt idx="33">
                  <c:v>6.5180999999999996</c:v>
                </c:pt>
                <c:pt idx="34">
                  <c:v>6.8190999999999997</c:v>
                </c:pt>
                <c:pt idx="35">
                  <c:v>5.7674000000000003</c:v>
                </c:pt>
                <c:pt idx="36">
                  <c:v>5.9126000000000003</c:v>
                </c:pt>
                <c:pt idx="37">
                  <c:v>6.2100999999999997</c:v>
                </c:pt>
                <c:pt idx="38">
                  <c:v>6.7836999999999996</c:v>
                </c:pt>
                <c:pt idx="39">
                  <c:v>5.7568000000000001</c:v>
                </c:pt>
                <c:pt idx="40">
                  <c:v>6.0011000000000001</c:v>
                </c:pt>
                <c:pt idx="41">
                  <c:v>6.0486000000000004</c:v>
                </c:pt>
                <c:pt idx="42">
                  <c:v>6.0486000000000004</c:v>
                </c:pt>
                <c:pt idx="43">
                  <c:v>5.9017999999999997</c:v>
                </c:pt>
                <c:pt idx="44">
                  <c:v>6.2873999999999999</c:v>
                </c:pt>
                <c:pt idx="45">
                  <c:v>6.5309999999999997</c:v>
                </c:pt>
                <c:pt idx="46">
                  <c:v>5.6951999999999998</c:v>
                </c:pt>
                <c:pt idx="47">
                  <c:v>5.8993000000000002</c:v>
                </c:pt>
                <c:pt idx="48">
                  <c:v>6.0122999999999998</c:v>
                </c:pt>
                <c:pt idx="49">
                  <c:v>6.8779000000000003</c:v>
                </c:pt>
                <c:pt idx="50">
                  <c:v>6.6882999999999999</c:v>
                </c:pt>
                <c:pt idx="51">
                  <c:v>6.1551</c:v>
                </c:pt>
                <c:pt idx="52">
                  <c:v>6.6036000000000001</c:v>
                </c:pt>
                <c:pt idx="53">
                  <c:v>6.9626000000000001</c:v>
                </c:pt>
                <c:pt idx="54">
                  <c:v>6.4519000000000002</c:v>
                </c:pt>
                <c:pt idx="55">
                  <c:v>7.1614000000000004</c:v>
                </c:pt>
                <c:pt idx="56">
                  <c:v>7.0861000000000001</c:v>
                </c:pt>
                <c:pt idx="57">
                  <c:v>7.0049000000000001</c:v>
                </c:pt>
                <c:pt idx="58">
                  <c:v>7.0201000000000002</c:v>
                </c:pt>
                <c:pt idx="59">
                  <c:v>8.2187999999999999</c:v>
                </c:pt>
                <c:pt idx="60">
                  <c:v>8.5655999999999999</c:v>
                </c:pt>
                <c:pt idx="61">
                  <c:v>7.9396000000000004</c:v>
                </c:pt>
                <c:pt idx="62">
                  <c:v>7.3855000000000004</c:v>
                </c:pt>
                <c:pt idx="63">
                  <c:v>9.75</c:v>
                </c:pt>
                <c:pt idx="64">
                  <c:v>10.1349</c:v>
                </c:pt>
                <c:pt idx="65">
                  <c:v>11.3657</c:v>
                </c:pt>
                <c:pt idx="66">
                  <c:v>12.833399999999999</c:v>
                </c:pt>
                <c:pt idx="67">
                  <c:v>11.9663</c:v>
                </c:pt>
                <c:pt idx="68">
                  <c:v>12.963900000000001</c:v>
                </c:pt>
                <c:pt idx="69">
                  <c:v>12.373699999999999</c:v>
                </c:pt>
                <c:pt idx="70">
                  <c:v>12.93</c:v>
                </c:pt>
                <c:pt idx="71">
                  <c:v>12.417299999999999</c:v>
                </c:pt>
                <c:pt idx="72">
                  <c:v>12.838100000000001</c:v>
                </c:pt>
                <c:pt idx="73">
                  <c:v>13.1913</c:v>
                </c:pt>
                <c:pt idx="74">
                  <c:v>13.2058</c:v>
                </c:pt>
                <c:pt idx="75">
                  <c:v>15.121499999999999</c:v>
                </c:pt>
                <c:pt idx="76">
                  <c:v>14.1539</c:v>
                </c:pt>
                <c:pt idx="77">
                  <c:v>14.5313</c:v>
                </c:pt>
                <c:pt idx="78">
                  <c:v>15.3537</c:v>
                </c:pt>
                <c:pt idx="79">
                  <c:v>16.4373</c:v>
                </c:pt>
                <c:pt idx="80">
                  <c:v>16.572700000000001</c:v>
                </c:pt>
                <c:pt idx="81">
                  <c:v>18.665700000000001</c:v>
                </c:pt>
                <c:pt idx="82">
                  <c:v>18.074400000000001</c:v>
                </c:pt>
                <c:pt idx="83">
                  <c:v>17.201000000000001</c:v>
                </c:pt>
                <c:pt idx="84">
                  <c:v>19.3276</c:v>
                </c:pt>
                <c:pt idx="85">
                  <c:v>18.0853</c:v>
                </c:pt>
                <c:pt idx="86">
                  <c:v>17.1739</c:v>
                </c:pt>
                <c:pt idx="87">
                  <c:v>17.4071</c:v>
                </c:pt>
                <c:pt idx="88">
                  <c:v>15.3131</c:v>
                </c:pt>
                <c:pt idx="89">
                  <c:v>13.495699999999999</c:v>
                </c:pt>
                <c:pt idx="90">
                  <c:v>13.4198</c:v>
                </c:pt>
                <c:pt idx="91">
                  <c:v>11.4885</c:v>
                </c:pt>
                <c:pt idx="92">
                  <c:v>10.4414</c:v>
                </c:pt>
                <c:pt idx="93">
                  <c:v>10.2841</c:v>
                </c:pt>
                <c:pt idx="94">
                  <c:v>11.8034</c:v>
                </c:pt>
                <c:pt idx="95">
                  <c:v>11.6739</c:v>
                </c:pt>
                <c:pt idx="96">
                  <c:v>11.6622</c:v>
                </c:pt>
                <c:pt idx="97">
                  <c:v>10.7912</c:v>
                </c:pt>
                <c:pt idx="98">
                  <c:v>10.4617</c:v>
                </c:pt>
                <c:pt idx="99">
                  <c:v>9.5259999999999998</c:v>
                </c:pt>
                <c:pt idx="100">
                  <c:v>9.3553999999999995</c:v>
                </c:pt>
                <c:pt idx="101">
                  <c:v>8.1537000000000006</c:v>
                </c:pt>
                <c:pt idx="102">
                  <c:v>6.6378000000000004</c:v>
                </c:pt>
                <c:pt idx="103">
                  <c:v>6.6931000000000003</c:v>
                </c:pt>
                <c:pt idx="104">
                  <c:v>6.9931999999999999</c:v>
                </c:pt>
                <c:pt idx="105">
                  <c:v>6.5731000000000002</c:v>
                </c:pt>
                <c:pt idx="106">
                  <c:v>6.1306000000000003</c:v>
                </c:pt>
                <c:pt idx="107">
                  <c:v>7.2389999999999999</c:v>
                </c:pt>
                <c:pt idx="108">
                  <c:v>6.9349999999999996</c:v>
                </c:pt>
                <c:pt idx="109">
                  <c:v>6.8502999999999998</c:v>
                </c:pt>
                <c:pt idx="110">
                  <c:v>7.4991000000000003</c:v>
                </c:pt>
                <c:pt idx="111">
                  <c:v>7.3141999999999996</c:v>
                </c:pt>
                <c:pt idx="112">
                  <c:v>7.0635000000000003</c:v>
                </c:pt>
                <c:pt idx="113">
                  <c:v>7.0509000000000004</c:v>
                </c:pt>
                <c:pt idx="114">
                  <c:v>7.2671999999999999</c:v>
                </c:pt>
                <c:pt idx="115">
                  <c:v>7.5805999999999996</c:v>
                </c:pt>
                <c:pt idx="116">
                  <c:v>7.7748999999999997</c:v>
                </c:pt>
                <c:pt idx="117">
                  <c:v>8.0945</c:v>
                </c:pt>
                <c:pt idx="118">
                  <c:v>7.6087999999999996</c:v>
                </c:pt>
                <c:pt idx="119">
                  <c:v>8.2888999999999999</c:v>
                </c:pt>
                <c:pt idx="120">
                  <c:v>7.7679</c:v>
                </c:pt>
                <c:pt idx="121">
                  <c:v>7.9318</c:v>
                </c:pt>
                <c:pt idx="122">
                  <c:v>7.7351000000000001</c:v>
                </c:pt>
                <c:pt idx="123">
                  <c:v>7.1571999999999996</c:v>
                </c:pt>
                <c:pt idx="124">
                  <c:v>6.9725000000000001</c:v>
                </c:pt>
                <c:pt idx="125">
                  <c:v>6.0667999999999997</c:v>
                </c:pt>
                <c:pt idx="126">
                  <c:v>5.7748999999999997</c:v>
                </c:pt>
                <c:pt idx="127">
                  <c:v>5.0837000000000003</c:v>
                </c:pt>
                <c:pt idx="128">
                  <c:v>4.8037000000000001</c:v>
                </c:pt>
                <c:pt idx="129">
                  <c:v>4.8037000000000001</c:v>
                </c:pt>
                <c:pt idx="130">
                  <c:v>4.6189999999999998</c:v>
                </c:pt>
                <c:pt idx="131">
                  <c:v>4.9526000000000003</c:v>
                </c:pt>
                <c:pt idx="132">
                  <c:v>4.9108999999999998</c:v>
                </c:pt>
                <c:pt idx="133">
                  <c:v>5.2965</c:v>
                </c:pt>
                <c:pt idx="134">
                  <c:v>4.9622999999999999</c:v>
                </c:pt>
                <c:pt idx="135">
                  <c:v>5.0853999999999999</c:v>
                </c:pt>
                <c:pt idx="136">
                  <c:v>5.1382000000000003</c:v>
                </c:pt>
                <c:pt idx="137">
                  <c:v>5.0091999999999999</c:v>
                </c:pt>
                <c:pt idx="138">
                  <c:v>4.4581</c:v>
                </c:pt>
                <c:pt idx="139">
                  <c:v>4.4932999999999996</c:v>
                </c:pt>
                <c:pt idx="140">
                  <c:v>4.5461</c:v>
                </c:pt>
                <c:pt idx="141">
                  <c:v>4.3585000000000003</c:v>
                </c:pt>
                <c:pt idx="142">
                  <c:v>4.1414999999999997</c:v>
                </c:pt>
                <c:pt idx="143">
                  <c:v>3.9539</c:v>
                </c:pt>
                <c:pt idx="144">
                  <c:v>3.7605</c:v>
                </c:pt>
                <c:pt idx="145">
                  <c:v>3.3382999999999998</c:v>
                </c:pt>
                <c:pt idx="146">
                  <c:v>3.8622999999999998</c:v>
                </c:pt>
                <c:pt idx="147">
                  <c:v>4.0186999999999999</c:v>
                </c:pt>
                <c:pt idx="148">
                  <c:v>4.3674999999999997</c:v>
                </c:pt>
                <c:pt idx="149">
                  <c:v>4.2230999999999996</c:v>
                </c:pt>
                <c:pt idx="150">
                  <c:v>4.1931000000000003</c:v>
                </c:pt>
                <c:pt idx="151">
                  <c:v>4.3072999999999997</c:v>
                </c:pt>
                <c:pt idx="152">
                  <c:v>4.3132999999999999</c:v>
                </c:pt>
                <c:pt idx="153">
                  <c:v>3.8022</c:v>
                </c:pt>
                <c:pt idx="154">
                  <c:v>3.5916999999999999</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#NAME?</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Data'!$H$5:$H$159</c:f>
              <c:numCache>
                <c:formatCode>0.0</c:formatCode>
                <c:ptCount val="155"/>
                <c:pt idx="0">
                  <c:v>6.7560000000000002</c:v>
                </c:pt>
                <c:pt idx="1">
                  <c:v>5.98</c:v>
                </c:pt>
                <c:pt idx="2">
                  <c:v>5.98</c:v>
                </c:pt>
                <c:pt idx="3">
                  <c:v>5.931</c:v>
                </c:pt>
                <c:pt idx="4">
                  <c:v>5.3429000000000002</c:v>
                </c:pt>
                <c:pt idx="5">
                  <c:v>4.8855000000000004</c:v>
                </c:pt>
                <c:pt idx="6">
                  <c:v>4.6567999999999996</c:v>
                </c:pt>
                <c:pt idx="7">
                  <c:v>4.7221000000000002</c:v>
                </c:pt>
                <c:pt idx="8">
                  <c:v>4.7138999999999998</c:v>
                </c:pt>
                <c:pt idx="9">
                  <c:v>4.8282999999999996</c:v>
                </c:pt>
                <c:pt idx="10">
                  <c:v>4.5750999999999999</c:v>
                </c:pt>
                <c:pt idx="11">
                  <c:v>4.8855000000000004</c:v>
                </c:pt>
                <c:pt idx="12">
                  <c:v>4.3789999999999996</c:v>
                </c:pt>
                <c:pt idx="13">
                  <c:v>4.2401999999999997</c:v>
                </c:pt>
                <c:pt idx="14">
                  <c:v>3.8889</c:v>
                </c:pt>
                <c:pt idx="15">
                  <c:v>3.9216000000000002</c:v>
                </c:pt>
                <c:pt idx="16">
                  <c:v>3.633</c:v>
                </c:pt>
                <c:pt idx="17">
                  <c:v>3.5177</c:v>
                </c:pt>
                <c:pt idx="18">
                  <c:v>3.5253999999999999</c:v>
                </c:pt>
                <c:pt idx="19">
                  <c:v>3.3639999999999999</c:v>
                </c:pt>
                <c:pt idx="20">
                  <c:v>3.2179000000000002</c:v>
                </c:pt>
                <c:pt idx="21">
                  <c:v>3.2025000000000001</c:v>
                </c:pt>
                <c:pt idx="22">
                  <c:v>3.3332000000000002</c:v>
                </c:pt>
                <c:pt idx="23">
                  <c:v>3.1179999999999999</c:v>
                </c:pt>
                <c:pt idx="24">
                  <c:v>3.1871</c:v>
                </c:pt>
                <c:pt idx="25">
                  <c:v>3.2025000000000001</c:v>
                </c:pt>
                <c:pt idx="26">
                  <c:v>3.1255999999999999</c:v>
                </c:pt>
                <c:pt idx="27">
                  <c:v>2.9950000000000001</c:v>
                </c:pt>
                <c:pt idx="28">
                  <c:v>3.4407999999999999</c:v>
                </c:pt>
                <c:pt idx="29">
                  <c:v>3.7259000000000002</c:v>
                </c:pt>
                <c:pt idx="30">
                  <c:v>3.4980000000000002</c:v>
                </c:pt>
                <c:pt idx="31">
                  <c:v>3.2151999999999998</c:v>
                </c:pt>
                <c:pt idx="32">
                  <c:v>3.1804999999999999</c:v>
                </c:pt>
                <c:pt idx="33">
                  <c:v>3.3864999999999998</c:v>
                </c:pt>
                <c:pt idx="34">
                  <c:v>3.5528</c:v>
                </c:pt>
                <c:pt idx="35">
                  <c:v>3.3231000000000002</c:v>
                </c:pt>
                <c:pt idx="36">
                  <c:v>3.0933000000000002</c:v>
                </c:pt>
                <c:pt idx="37">
                  <c:v>3.2042000000000002</c:v>
                </c:pt>
                <c:pt idx="38">
                  <c:v>3.2042000000000002</c:v>
                </c:pt>
                <c:pt idx="39">
                  <c:v>3.1566999999999998</c:v>
                </c:pt>
                <c:pt idx="40">
                  <c:v>3.4419</c:v>
                </c:pt>
                <c:pt idx="41">
                  <c:v>3.1328999999999998</c:v>
                </c:pt>
                <c:pt idx="42">
                  <c:v>3.4758</c:v>
                </c:pt>
                <c:pt idx="43">
                  <c:v>3.5865999999999998</c:v>
                </c:pt>
                <c:pt idx="44">
                  <c:v>3.5099</c:v>
                </c:pt>
                <c:pt idx="45">
                  <c:v>3.4331999999999998</c:v>
                </c:pt>
                <c:pt idx="46">
                  <c:v>3.706</c:v>
                </c:pt>
                <c:pt idx="47">
                  <c:v>3.6206999999999998</c:v>
                </c:pt>
                <c:pt idx="48">
                  <c:v>3.22</c:v>
                </c:pt>
                <c:pt idx="49">
                  <c:v>3.7911999999999999</c:v>
                </c:pt>
                <c:pt idx="50">
                  <c:v>3.9447000000000001</c:v>
                </c:pt>
                <c:pt idx="51">
                  <c:v>3.9447000000000001</c:v>
                </c:pt>
                <c:pt idx="52">
                  <c:v>3.9788000000000001</c:v>
                </c:pt>
                <c:pt idx="53">
                  <c:v>3.9276</c:v>
                </c:pt>
                <c:pt idx="54">
                  <c:v>4.1322999999999999</c:v>
                </c:pt>
                <c:pt idx="55">
                  <c:v>4.7976000000000001</c:v>
                </c:pt>
                <c:pt idx="56">
                  <c:v>4.8844000000000003</c:v>
                </c:pt>
                <c:pt idx="57">
                  <c:v>5.0579999999999998</c:v>
                </c:pt>
                <c:pt idx="58">
                  <c:v>5.5498000000000003</c:v>
                </c:pt>
                <c:pt idx="59">
                  <c:v>6.1669999999999998</c:v>
                </c:pt>
                <c:pt idx="60">
                  <c:v>6.3502999999999998</c:v>
                </c:pt>
                <c:pt idx="61">
                  <c:v>6.2442000000000002</c:v>
                </c:pt>
                <c:pt idx="62">
                  <c:v>6.0030999999999999</c:v>
                </c:pt>
                <c:pt idx="63">
                  <c:v>6.8902999999999999</c:v>
                </c:pt>
                <c:pt idx="64">
                  <c:v>6.7070999999999996</c:v>
                </c:pt>
                <c:pt idx="65">
                  <c:v>7.1604000000000001</c:v>
                </c:pt>
                <c:pt idx="66">
                  <c:v>7.2664</c:v>
                </c:pt>
                <c:pt idx="67">
                  <c:v>6.6878000000000002</c:v>
                </c:pt>
                <c:pt idx="68">
                  <c:v>8.0129000000000001</c:v>
                </c:pt>
                <c:pt idx="69">
                  <c:v>8.0013000000000005</c:v>
                </c:pt>
                <c:pt idx="70">
                  <c:v>7.4572000000000003</c:v>
                </c:pt>
                <c:pt idx="71">
                  <c:v>7.5613999999999999</c:v>
                </c:pt>
                <c:pt idx="72">
                  <c:v>7.3067000000000002</c:v>
                </c:pt>
                <c:pt idx="73">
                  <c:v>7.5960999999999999</c:v>
                </c:pt>
                <c:pt idx="74">
                  <c:v>7.6539999999999999</c:v>
                </c:pt>
                <c:pt idx="75">
                  <c:v>8.0129000000000001</c:v>
                </c:pt>
                <c:pt idx="76">
                  <c:v>7.6308999999999996</c:v>
                </c:pt>
                <c:pt idx="77">
                  <c:v>7.7003000000000004</c:v>
                </c:pt>
                <c:pt idx="78">
                  <c:v>7.7351000000000001</c:v>
                </c:pt>
                <c:pt idx="79">
                  <c:v>8.3370999999999995</c:v>
                </c:pt>
                <c:pt idx="80">
                  <c:v>8.3370999999999995</c:v>
                </c:pt>
                <c:pt idx="81">
                  <c:v>9.0029000000000003</c:v>
                </c:pt>
                <c:pt idx="82">
                  <c:v>8.6201000000000008</c:v>
                </c:pt>
                <c:pt idx="83">
                  <c:v>8.2506000000000004</c:v>
                </c:pt>
                <c:pt idx="84">
                  <c:v>8.0922000000000001</c:v>
                </c:pt>
                <c:pt idx="85">
                  <c:v>8.1318000000000001</c:v>
                </c:pt>
                <c:pt idx="86">
                  <c:v>8.1053999999999995</c:v>
                </c:pt>
                <c:pt idx="87">
                  <c:v>8.2373999999999992</c:v>
                </c:pt>
                <c:pt idx="88">
                  <c:v>8.3694000000000006</c:v>
                </c:pt>
                <c:pt idx="89">
                  <c:v>8.0657999999999994</c:v>
                </c:pt>
                <c:pt idx="90">
                  <c:v>8.2373999999999992</c:v>
                </c:pt>
                <c:pt idx="91">
                  <c:v>7.8414999999999999</c:v>
                </c:pt>
                <c:pt idx="92">
                  <c:v>8.1845999999999997</c:v>
                </c:pt>
                <c:pt idx="93">
                  <c:v>8.6333000000000002</c:v>
                </c:pt>
                <c:pt idx="94">
                  <c:v>8.4445999999999994</c:v>
                </c:pt>
                <c:pt idx="95">
                  <c:v>8.0340000000000007</c:v>
                </c:pt>
                <c:pt idx="96">
                  <c:v>7.7774000000000001</c:v>
                </c:pt>
                <c:pt idx="97">
                  <c:v>7.6363000000000003</c:v>
                </c:pt>
                <c:pt idx="98">
                  <c:v>7.7645999999999997</c:v>
                </c:pt>
                <c:pt idx="99">
                  <c:v>7.7774000000000001</c:v>
                </c:pt>
                <c:pt idx="100">
                  <c:v>7.7004000000000001</c:v>
                </c:pt>
                <c:pt idx="101">
                  <c:v>7.4053000000000004</c:v>
                </c:pt>
                <c:pt idx="102">
                  <c:v>7.2385000000000002</c:v>
                </c:pt>
                <c:pt idx="103">
                  <c:v>7.1616</c:v>
                </c:pt>
                <c:pt idx="104">
                  <c:v>7.4823000000000004</c:v>
                </c:pt>
                <c:pt idx="105">
                  <c:v>7.1871999999999998</c:v>
                </c:pt>
                <c:pt idx="106">
                  <c:v>7.0974000000000004</c:v>
                </c:pt>
                <c:pt idx="107">
                  <c:v>5.9965000000000002</c:v>
                </c:pt>
                <c:pt idx="108">
                  <c:v>6.1265000000000001</c:v>
                </c:pt>
                <c:pt idx="109">
                  <c:v>6.2674000000000003</c:v>
                </c:pt>
                <c:pt idx="110">
                  <c:v>6.1699000000000002</c:v>
                </c:pt>
                <c:pt idx="111">
                  <c:v>5.8555999999999999</c:v>
                </c:pt>
                <c:pt idx="112">
                  <c:v>5.8555999999999999</c:v>
                </c:pt>
                <c:pt idx="113">
                  <c:v>5.8448000000000002</c:v>
                </c:pt>
                <c:pt idx="114">
                  <c:v>6.0507</c:v>
                </c:pt>
                <c:pt idx="115">
                  <c:v>6.1589999999999998</c:v>
                </c:pt>
                <c:pt idx="116">
                  <c:v>6.1482000000000001</c:v>
                </c:pt>
                <c:pt idx="117">
                  <c:v>6.3540000000000001</c:v>
                </c:pt>
                <c:pt idx="118">
                  <c:v>6.3757000000000001</c:v>
                </c:pt>
                <c:pt idx="119">
                  <c:v>6.3864999999999998</c:v>
                </c:pt>
                <c:pt idx="120">
                  <c:v>5.0233999999999996</c:v>
                </c:pt>
                <c:pt idx="121">
                  <c:v>4.8326000000000002</c:v>
                </c:pt>
                <c:pt idx="122">
                  <c:v>4.9539999999999997</c:v>
                </c:pt>
                <c:pt idx="123">
                  <c:v>4.8758999999999997</c:v>
                </c:pt>
                <c:pt idx="124">
                  <c:v>4.9105999999999996</c:v>
                </c:pt>
                <c:pt idx="125">
                  <c:v>4.6589999999999998</c:v>
                </c:pt>
                <c:pt idx="126">
                  <c:v>4.3554000000000004</c:v>
                </c:pt>
                <c:pt idx="127">
                  <c:v>4.3207000000000004</c:v>
                </c:pt>
                <c:pt idx="128">
                  <c:v>4.3901000000000003</c:v>
                </c:pt>
                <c:pt idx="129">
                  <c:v>4.2773000000000003</c:v>
                </c:pt>
                <c:pt idx="130">
                  <c:v>4.3987999999999996</c:v>
                </c:pt>
                <c:pt idx="131">
                  <c:v>4.4420999999999999</c:v>
                </c:pt>
                <c:pt idx="132">
                  <c:v>4.26</c:v>
                </c:pt>
                <c:pt idx="133">
                  <c:v>3.3835999999999999</c:v>
                </c:pt>
                <c:pt idx="134">
                  <c:v>3.2677999999999998</c:v>
                </c:pt>
                <c:pt idx="135">
                  <c:v>3.1737000000000002</c:v>
                </c:pt>
                <c:pt idx="136">
                  <c:v>3.2099000000000002</c:v>
                </c:pt>
                <c:pt idx="137">
                  <c:v>3.2461000000000002</c:v>
                </c:pt>
                <c:pt idx="138">
                  <c:v>3.2677999999999998</c:v>
                </c:pt>
                <c:pt idx="139">
                  <c:v>3.3473999999999999</c:v>
                </c:pt>
                <c:pt idx="140">
                  <c:v>3.4125999999999999</c:v>
                </c:pt>
                <c:pt idx="141">
                  <c:v>3.3184999999999998</c:v>
                </c:pt>
                <c:pt idx="142">
                  <c:v>3.4342999999999999</c:v>
                </c:pt>
                <c:pt idx="143">
                  <c:v>3.2170999999999998</c:v>
                </c:pt>
                <c:pt idx="144">
                  <c:v>3.2244000000000002</c:v>
                </c:pt>
                <c:pt idx="145">
                  <c:v>3.0289999999999999</c:v>
                </c:pt>
                <c:pt idx="146">
                  <c:v>2.5118999999999998</c:v>
                </c:pt>
                <c:pt idx="147">
                  <c:v>2.6027999999999998</c:v>
                </c:pt>
                <c:pt idx="148">
                  <c:v>2.7650000000000001</c:v>
                </c:pt>
                <c:pt idx="149">
                  <c:v>2.6612</c:v>
                </c:pt>
                <c:pt idx="150">
                  <c:v>2.8753000000000002</c:v>
                </c:pt>
                <c:pt idx="151">
                  <c:v>2.7974999999999999</c:v>
                </c:pt>
                <c:pt idx="152">
                  <c:v>2.9077999999999999</c:v>
                </c:pt>
                <c:pt idx="153">
                  <c:v>2.8622999999999998</c:v>
                </c:pt>
                <c:pt idx="154">
                  <c:v>2.7065999999999999</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Data'!$J$5:$J$159</c:f>
              <c:numCache>
                <c:formatCode>0.0</c:formatCode>
                <c:ptCount val="155"/>
                <c:pt idx="0">
                  <c:v>24.0124</c:v>
                </c:pt>
                <c:pt idx="1">
                  <c:v>26.4086</c:v>
                </c:pt>
                <c:pt idx="2">
                  <c:v>27.534300000000002</c:v>
                </c:pt>
                <c:pt idx="3">
                  <c:v>24.333100000000002</c:v>
                </c:pt>
                <c:pt idx="4">
                  <c:v>21.232500000000002</c:v>
                </c:pt>
                <c:pt idx="5">
                  <c:v>17.647600000000001</c:v>
                </c:pt>
                <c:pt idx="6">
                  <c:v>16.874099999999999</c:v>
                </c:pt>
                <c:pt idx="7">
                  <c:v>17.974699999999999</c:v>
                </c:pt>
                <c:pt idx="8">
                  <c:v>15.8238</c:v>
                </c:pt>
                <c:pt idx="9">
                  <c:v>16.0124</c:v>
                </c:pt>
                <c:pt idx="10">
                  <c:v>15.786</c:v>
                </c:pt>
                <c:pt idx="11">
                  <c:v>20.1633</c:v>
                </c:pt>
                <c:pt idx="12">
                  <c:v>18.987200000000001</c:v>
                </c:pt>
                <c:pt idx="13">
                  <c:v>18.6539</c:v>
                </c:pt>
                <c:pt idx="14">
                  <c:v>18.308</c:v>
                </c:pt>
                <c:pt idx="15">
                  <c:v>17.326899999999998</c:v>
                </c:pt>
                <c:pt idx="16">
                  <c:v>17.132899999999999</c:v>
                </c:pt>
                <c:pt idx="17">
                  <c:v>16.567299999999999</c:v>
                </c:pt>
                <c:pt idx="18">
                  <c:v>17.001300000000001</c:v>
                </c:pt>
                <c:pt idx="19">
                  <c:v>15.1927</c:v>
                </c:pt>
                <c:pt idx="20">
                  <c:v>14.936199999999999</c:v>
                </c:pt>
                <c:pt idx="21">
                  <c:v>15.146599999999999</c:v>
                </c:pt>
                <c:pt idx="22">
                  <c:v>16.540900000000001</c:v>
                </c:pt>
                <c:pt idx="23">
                  <c:v>13.1736</c:v>
                </c:pt>
                <c:pt idx="24">
                  <c:v>12.805300000000001</c:v>
                </c:pt>
                <c:pt idx="25">
                  <c:v>12.9763</c:v>
                </c:pt>
                <c:pt idx="26">
                  <c:v>12.9763</c:v>
                </c:pt>
                <c:pt idx="27">
                  <c:v>13.245900000000001</c:v>
                </c:pt>
                <c:pt idx="28">
                  <c:v>15.3834</c:v>
                </c:pt>
                <c:pt idx="29">
                  <c:v>18.597100000000001</c:v>
                </c:pt>
                <c:pt idx="30">
                  <c:v>19.54</c:v>
                </c:pt>
                <c:pt idx="31">
                  <c:v>18.389800000000001</c:v>
                </c:pt>
                <c:pt idx="32">
                  <c:v>17.828099999999999</c:v>
                </c:pt>
                <c:pt idx="33">
                  <c:v>18.5169</c:v>
                </c:pt>
                <c:pt idx="34">
                  <c:v>17.681000000000001</c:v>
                </c:pt>
                <c:pt idx="35">
                  <c:v>15.320399999999999</c:v>
                </c:pt>
                <c:pt idx="36">
                  <c:v>13.9428</c:v>
                </c:pt>
                <c:pt idx="37">
                  <c:v>11.6892</c:v>
                </c:pt>
                <c:pt idx="38">
                  <c:v>12.4984</c:v>
                </c:pt>
                <c:pt idx="39">
                  <c:v>11.9634</c:v>
                </c:pt>
                <c:pt idx="40">
                  <c:v>10.305</c:v>
                </c:pt>
                <c:pt idx="41">
                  <c:v>10.412000000000001</c:v>
                </c:pt>
                <c:pt idx="42">
                  <c:v>11.9811</c:v>
                </c:pt>
                <c:pt idx="43">
                  <c:v>11.598599999999999</c:v>
                </c:pt>
                <c:pt idx="44">
                  <c:v>11.9352</c:v>
                </c:pt>
                <c:pt idx="45">
                  <c:v>12.677300000000001</c:v>
                </c:pt>
                <c:pt idx="46">
                  <c:v>13.212899999999999</c:v>
                </c:pt>
                <c:pt idx="47">
                  <c:v>14.291600000000001</c:v>
                </c:pt>
                <c:pt idx="48">
                  <c:v>14.222799999999999</c:v>
                </c:pt>
                <c:pt idx="49">
                  <c:v>14.498200000000001</c:v>
                </c:pt>
                <c:pt idx="50">
                  <c:v>15.3245</c:v>
                </c:pt>
                <c:pt idx="51">
                  <c:v>14.5977</c:v>
                </c:pt>
                <c:pt idx="52">
                  <c:v>14.888400000000001</c:v>
                </c:pt>
                <c:pt idx="53">
                  <c:v>16.885300000000001</c:v>
                </c:pt>
                <c:pt idx="54">
                  <c:v>14.6206</c:v>
                </c:pt>
                <c:pt idx="55">
                  <c:v>14.0428</c:v>
                </c:pt>
                <c:pt idx="56">
                  <c:v>13.085000000000001</c:v>
                </c:pt>
                <c:pt idx="57">
                  <c:v>13.1721</c:v>
                </c:pt>
                <c:pt idx="58">
                  <c:v>13.0375</c:v>
                </c:pt>
                <c:pt idx="59">
                  <c:v>14.1378</c:v>
                </c:pt>
                <c:pt idx="60">
                  <c:v>15.7843</c:v>
                </c:pt>
                <c:pt idx="61">
                  <c:v>15.5785</c:v>
                </c:pt>
                <c:pt idx="62">
                  <c:v>13.924099999999999</c:v>
                </c:pt>
                <c:pt idx="63">
                  <c:v>14.209</c:v>
                </c:pt>
                <c:pt idx="64">
                  <c:v>15.2935</c:v>
                </c:pt>
                <c:pt idx="65">
                  <c:v>17.668299999999999</c:v>
                </c:pt>
                <c:pt idx="66">
                  <c:v>18.903199999999998</c:v>
                </c:pt>
                <c:pt idx="67">
                  <c:v>18.895299999999999</c:v>
                </c:pt>
                <c:pt idx="68">
                  <c:v>16.5063</c:v>
                </c:pt>
                <c:pt idx="69">
                  <c:v>17.366299999999999</c:v>
                </c:pt>
                <c:pt idx="70">
                  <c:v>18.528099999999998</c:v>
                </c:pt>
                <c:pt idx="71">
                  <c:v>17.321100000000001</c:v>
                </c:pt>
                <c:pt idx="72">
                  <c:v>17.064599999999999</c:v>
                </c:pt>
                <c:pt idx="73">
                  <c:v>17.072099999999999</c:v>
                </c:pt>
                <c:pt idx="74">
                  <c:v>18.0076</c:v>
                </c:pt>
                <c:pt idx="75">
                  <c:v>19.282499999999999</c:v>
                </c:pt>
                <c:pt idx="76">
                  <c:v>18.799700000000001</c:v>
                </c:pt>
                <c:pt idx="77">
                  <c:v>21.2364</c:v>
                </c:pt>
                <c:pt idx="78">
                  <c:v>21.055299999999999</c:v>
                </c:pt>
                <c:pt idx="79">
                  <c:v>21.583400000000001</c:v>
                </c:pt>
                <c:pt idx="80">
                  <c:v>23.544899999999998</c:v>
                </c:pt>
                <c:pt idx="81">
                  <c:v>25.918800000000001</c:v>
                </c:pt>
                <c:pt idx="82">
                  <c:v>26.388400000000001</c:v>
                </c:pt>
                <c:pt idx="83">
                  <c:v>25.963899999999999</c:v>
                </c:pt>
                <c:pt idx="84">
                  <c:v>27.508199999999999</c:v>
                </c:pt>
                <c:pt idx="85">
                  <c:v>27.706900000000001</c:v>
                </c:pt>
                <c:pt idx="86">
                  <c:v>17.276199999999999</c:v>
                </c:pt>
                <c:pt idx="87">
                  <c:v>17.863199999999999</c:v>
                </c:pt>
                <c:pt idx="88">
                  <c:v>14.711399999999999</c:v>
                </c:pt>
                <c:pt idx="89">
                  <c:v>15.551299999999999</c:v>
                </c:pt>
                <c:pt idx="90">
                  <c:v>18.6218</c:v>
                </c:pt>
                <c:pt idx="91">
                  <c:v>17.962499999999999</c:v>
                </c:pt>
                <c:pt idx="92">
                  <c:v>19.1004</c:v>
                </c:pt>
                <c:pt idx="93">
                  <c:v>15.948600000000001</c:v>
                </c:pt>
                <c:pt idx="94">
                  <c:v>19.383299999999998</c:v>
                </c:pt>
                <c:pt idx="95">
                  <c:v>17.434200000000001</c:v>
                </c:pt>
                <c:pt idx="96">
                  <c:v>17.306799999999999</c:v>
                </c:pt>
                <c:pt idx="97">
                  <c:v>15.534000000000001</c:v>
                </c:pt>
                <c:pt idx="98">
                  <c:v>16.3568</c:v>
                </c:pt>
                <c:pt idx="99">
                  <c:v>17.257899999999999</c:v>
                </c:pt>
                <c:pt idx="100">
                  <c:v>17.865100000000002</c:v>
                </c:pt>
                <c:pt idx="101">
                  <c:v>17.3215</c:v>
                </c:pt>
                <c:pt idx="102">
                  <c:v>13.3009</c:v>
                </c:pt>
                <c:pt idx="103">
                  <c:v>17.835699999999999</c:v>
                </c:pt>
                <c:pt idx="104">
                  <c:v>18.8446</c:v>
                </c:pt>
                <c:pt idx="105">
                  <c:v>19.657499999999999</c:v>
                </c:pt>
                <c:pt idx="106">
                  <c:v>17.630099999999999</c:v>
                </c:pt>
                <c:pt idx="107">
                  <c:v>16.2089</c:v>
                </c:pt>
                <c:pt idx="108">
                  <c:v>14.507099999999999</c:v>
                </c:pt>
                <c:pt idx="109">
                  <c:v>16.1813</c:v>
                </c:pt>
                <c:pt idx="110">
                  <c:v>17.7912</c:v>
                </c:pt>
                <c:pt idx="111">
                  <c:v>15.850199999999999</c:v>
                </c:pt>
                <c:pt idx="112">
                  <c:v>15.049799999999999</c:v>
                </c:pt>
                <c:pt idx="113">
                  <c:v>11.9405</c:v>
                </c:pt>
                <c:pt idx="114">
                  <c:v>12.1797</c:v>
                </c:pt>
                <c:pt idx="115">
                  <c:v>11.0298</c:v>
                </c:pt>
                <c:pt idx="116">
                  <c:v>11.315</c:v>
                </c:pt>
                <c:pt idx="117">
                  <c:v>12.152100000000001</c:v>
                </c:pt>
                <c:pt idx="118">
                  <c:v>12.1153</c:v>
                </c:pt>
                <c:pt idx="119">
                  <c:v>12.7592</c:v>
                </c:pt>
                <c:pt idx="120">
                  <c:v>14.7128</c:v>
                </c:pt>
                <c:pt idx="121">
                  <c:v>13.5106</c:v>
                </c:pt>
                <c:pt idx="122">
                  <c:v>13.0641</c:v>
                </c:pt>
                <c:pt idx="123">
                  <c:v>12.4801</c:v>
                </c:pt>
                <c:pt idx="124">
                  <c:v>11.5756</c:v>
                </c:pt>
                <c:pt idx="125">
                  <c:v>10.568099999999999</c:v>
                </c:pt>
                <c:pt idx="126">
                  <c:v>11.4039</c:v>
                </c:pt>
                <c:pt idx="127">
                  <c:v>10.819900000000001</c:v>
                </c:pt>
                <c:pt idx="128">
                  <c:v>10.465</c:v>
                </c:pt>
                <c:pt idx="129">
                  <c:v>10.9459</c:v>
                </c:pt>
                <c:pt idx="130">
                  <c:v>12.0107</c:v>
                </c:pt>
                <c:pt idx="131">
                  <c:v>12.0909</c:v>
                </c:pt>
                <c:pt idx="132">
                  <c:v>12.228300000000001</c:v>
                </c:pt>
                <c:pt idx="133">
                  <c:v>15.358499999999999</c:v>
                </c:pt>
                <c:pt idx="134">
                  <c:v>14.6241</c:v>
                </c:pt>
                <c:pt idx="135">
                  <c:v>16.066800000000001</c:v>
                </c:pt>
                <c:pt idx="136">
                  <c:v>16.3553</c:v>
                </c:pt>
                <c:pt idx="137">
                  <c:v>13.8371</c:v>
                </c:pt>
                <c:pt idx="138">
                  <c:v>15.2012</c:v>
                </c:pt>
                <c:pt idx="139">
                  <c:v>18.598099999999999</c:v>
                </c:pt>
                <c:pt idx="140">
                  <c:v>15.4635</c:v>
                </c:pt>
                <c:pt idx="141">
                  <c:v>16.342199999999998</c:v>
                </c:pt>
                <c:pt idx="142">
                  <c:v>15.2012</c:v>
                </c:pt>
                <c:pt idx="143">
                  <c:v>14.047000000000001</c:v>
                </c:pt>
                <c:pt idx="144">
                  <c:v>13.535500000000001</c:v>
                </c:pt>
                <c:pt idx="145">
                  <c:v>12.8141</c:v>
                </c:pt>
                <c:pt idx="146">
                  <c:v>8.2635000000000005</c:v>
                </c:pt>
                <c:pt idx="147">
                  <c:v>9.9326000000000008</c:v>
                </c:pt>
                <c:pt idx="148">
                  <c:v>11.1814</c:v>
                </c:pt>
                <c:pt idx="149">
                  <c:v>10.0143</c:v>
                </c:pt>
                <c:pt idx="150">
                  <c:v>10.5745</c:v>
                </c:pt>
                <c:pt idx="151">
                  <c:v>10.119300000000001</c:v>
                </c:pt>
                <c:pt idx="152">
                  <c:v>10.1427</c:v>
                </c:pt>
                <c:pt idx="153">
                  <c:v>9.9208999999999996</c:v>
                </c:pt>
                <c:pt idx="154">
                  <c:v>7.0613999999999999</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#NAME?</c:v>
                </c:pt>
              </c:strCache>
            </c:strRef>
          </c:tx>
          <c:spPr>
            <a:ln w="28575" cap="rnd">
              <a:solidFill>
                <a:schemeClr val="accent2"/>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Data'!$K$5:$K$159</c:f>
              <c:numCache>
                <c:formatCode>0.0</c:formatCode>
                <c:ptCount val="155"/>
                <c:pt idx="0">
                  <c:v>49.095700000000001</c:v>
                </c:pt>
                <c:pt idx="1">
                  <c:v>54.532899999999998</c:v>
                </c:pt>
                <c:pt idx="2">
                  <c:v>54.845999999999997</c:v>
                </c:pt>
                <c:pt idx="3">
                  <c:v>54.845999999999997</c:v>
                </c:pt>
                <c:pt idx="4">
                  <c:v>46.358600000000003</c:v>
                </c:pt>
                <c:pt idx="5">
                  <c:v>43.835799999999999</c:v>
                </c:pt>
                <c:pt idx="6">
                  <c:v>44.458500000000001</c:v>
                </c:pt>
                <c:pt idx="7">
                  <c:v>44.466799999999999</c:v>
                </c:pt>
                <c:pt idx="8">
                  <c:v>41.727400000000003</c:v>
                </c:pt>
                <c:pt idx="9">
                  <c:v>39.443899999999999</c:v>
                </c:pt>
                <c:pt idx="10">
                  <c:v>39.476100000000002</c:v>
                </c:pt>
                <c:pt idx="11">
                  <c:v>41.573799999999999</c:v>
                </c:pt>
                <c:pt idx="12">
                  <c:v>39.466500000000003</c:v>
                </c:pt>
                <c:pt idx="13">
                  <c:v>38.199800000000003</c:v>
                </c:pt>
                <c:pt idx="14">
                  <c:v>39.424900000000001</c:v>
                </c:pt>
                <c:pt idx="15">
                  <c:v>38.548900000000003</c:v>
                </c:pt>
                <c:pt idx="16">
                  <c:v>38.719299999999997</c:v>
                </c:pt>
                <c:pt idx="17">
                  <c:v>36.474600000000002</c:v>
                </c:pt>
                <c:pt idx="18">
                  <c:v>36.542099999999998</c:v>
                </c:pt>
                <c:pt idx="19">
                  <c:v>37.294499999999999</c:v>
                </c:pt>
                <c:pt idx="20">
                  <c:v>36.593899999999998</c:v>
                </c:pt>
                <c:pt idx="21">
                  <c:v>37.440899999999999</c:v>
                </c:pt>
                <c:pt idx="22">
                  <c:v>38.3125</c:v>
                </c:pt>
                <c:pt idx="23">
                  <c:v>39.308599999999998</c:v>
                </c:pt>
                <c:pt idx="24">
                  <c:v>39.541800000000002</c:v>
                </c:pt>
                <c:pt idx="25">
                  <c:v>39.965299999999999</c:v>
                </c:pt>
                <c:pt idx="26">
                  <c:v>41.0351</c:v>
                </c:pt>
                <c:pt idx="27">
                  <c:v>40.334499999999998</c:v>
                </c:pt>
                <c:pt idx="28">
                  <c:v>37.633800000000001</c:v>
                </c:pt>
                <c:pt idx="29">
                  <c:v>40.377899999999997</c:v>
                </c:pt>
                <c:pt idx="30">
                  <c:v>41.07</c:v>
                </c:pt>
                <c:pt idx="31">
                  <c:v>41.8093</c:v>
                </c:pt>
                <c:pt idx="32">
                  <c:v>40.825499999999998</c:v>
                </c:pt>
                <c:pt idx="33">
                  <c:v>43.829900000000002</c:v>
                </c:pt>
                <c:pt idx="34">
                  <c:v>43.150100000000002</c:v>
                </c:pt>
                <c:pt idx="35">
                  <c:v>39.152299999999997</c:v>
                </c:pt>
                <c:pt idx="36">
                  <c:v>35.6937</c:v>
                </c:pt>
                <c:pt idx="37">
                  <c:v>36.343299999999999</c:v>
                </c:pt>
                <c:pt idx="38">
                  <c:v>36.343299999999999</c:v>
                </c:pt>
                <c:pt idx="39">
                  <c:v>36.096899999999998</c:v>
                </c:pt>
                <c:pt idx="40">
                  <c:v>36.471699999999998</c:v>
                </c:pt>
                <c:pt idx="41">
                  <c:v>35.5398</c:v>
                </c:pt>
                <c:pt idx="42">
                  <c:v>39.293199999999999</c:v>
                </c:pt>
                <c:pt idx="43">
                  <c:v>38.262900000000002</c:v>
                </c:pt>
                <c:pt idx="44">
                  <c:v>37.8093</c:v>
                </c:pt>
                <c:pt idx="45">
                  <c:v>38.940100000000001</c:v>
                </c:pt>
                <c:pt idx="46">
                  <c:v>40.232399999999998</c:v>
                </c:pt>
                <c:pt idx="47">
                  <c:v>41.972700000000003</c:v>
                </c:pt>
                <c:pt idx="48">
                  <c:v>45.271299999999997</c:v>
                </c:pt>
                <c:pt idx="49">
                  <c:v>39.168399999999998</c:v>
                </c:pt>
                <c:pt idx="50">
                  <c:v>37.743499999999997</c:v>
                </c:pt>
                <c:pt idx="51">
                  <c:v>38.103299999999997</c:v>
                </c:pt>
                <c:pt idx="52">
                  <c:v>35.133600000000001</c:v>
                </c:pt>
                <c:pt idx="53">
                  <c:v>39.177100000000003</c:v>
                </c:pt>
                <c:pt idx="54">
                  <c:v>31.9297</c:v>
                </c:pt>
                <c:pt idx="55">
                  <c:v>31.9297</c:v>
                </c:pt>
                <c:pt idx="56">
                  <c:v>31.927600000000002</c:v>
                </c:pt>
                <c:pt idx="57">
                  <c:v>32.553800000000003</c:v>
                </c:pt>
                <c:pt idx="58">
                  <c:v>33.218000000000004</c:v>
                </c:pt>
                <c:pt idx="59">
                  <c:v>32.925400000000003</c:v>
                </c:pt>
                <c:pt idx="60">
                  <c:v>33.908099999999997</c:v>
                </c:pt>
                <c:pt idx="61">
                  <c:v>34.177900000000001</c:v>
                </c:pt>
                <c:pt idx="62">
                  <c:v>34.567999999999998</c:v>
                </c:pt>
                <c:pt idx="63">
                  <c:v>37.119500000000002</c:v>
                </c:pt>
                <c:pt idx="64">
                  <c:v>36.0242</c:v>
                </c:pt>
                <c:pt idx="65">
                  <c:v>37.661299999999997</c:v>
                </c:pt>
                <c:pt idx="66">
                  <c:v>34.625399999999999</c:v>
                </c:pt>
                <c:pt idx="67">
                  <c:v>34.601599999999998</c:v>
                </c:pt>
                <c:pt idx="68">
                  <c:v>38.0062</c:v>
                </c:pt>
                <c:pt idx="69">
                  <c:v>39.112400000000001</c:v>
                </c:pt>
                <c:pt idx="70">
                  <c:v>38.659199999999998</c:v>
                </c:pt>
                <c:pt idx="71">
                  <c:v>37.462699999999998</c:v>
                </c:pt>
                <c:pt idx="72">
                  <c:v>35.526400000000002</c:v>
                </c:pt>
                <c:pt idx="73">
                  <c:v>34.8675</c:v>
                </c:pt>
                <c:pt idx="74">
                  <c:v>34.497599999999998</c:v>
                </c:pt>
                <c:pt idx="75">
                  <c:v>37.204599999999999</c:v>
                </c:pt>
                <c:pt idx="76">
                  <c:v>36.275700000000001</c:v>
                </c:pt>
                <c:pt idx="77">
                  <c:v>36.275700000000001</c:v>
                </c:pt>
                <c:pt idx="78">
                  <c:v>36.959600000000002</c:v>
                </c:pt>
                <c:pt idx="79">
                  <c:v>34.643900000000002</c:v>
                </c:pt>
                <c:pt idx="80">
                  <c:v>35.405099999999997</c:v>
                </c:pt>
                <c:pt idx="81">
                  <c:v>41.816200000000002</c:v>
                </c:pt>
                <c:pt idx="82">
                  <c:v>40.142400000000002</c:v>
                </c:pt>
                <c:pt idx="83">
                  <c:v>39.640999999999998</c:v>
                </c:pt>
                <c:pt idx="84">
                  <c:v>39.4377</c:v>
                </c:pt>
                <c:pt idx="85">
                  <c:v>35.430199999999999</c:v>
                </c:pt>
                <c:pt idx="86">
                  <c:v>35.304200000000002</c:v>
                </c:pt>
                <c:pt idx="87">
                  <c:v>33.760599999999997</c:v>
                </c:pt>
                <c:pt idx="88">
                  <c:v>33.760599999999997</c:v>
                </c:pt>
                <c:pt idx="89">
                  <c:v>30.867100000000001</c:v>
                </c:pt>
                <c:pt idx="90">
                  <c:v>34.168500000000002</c:v>
                </c:pt>
                <c:pt idx="91">
                  <c:v>32.837600000000002</c:v>
                </c:pt>
                <c:pt idx="92">
                  <c:v>30.736999999999998</c:v>
                </c:pt>
                <c:pt idx="93">
                  <c:v>32.591000000000001</c:v>
                </c:pt>
                <c:pt idx="94">
                  <c:v>35.485399999999998</c:v>
                </c:pt>
                <c:pt idx="95">
                  <c:v>34.1023</c:v>
                </c:pt>
                <c:pt idx="96">
                  <c:v>33.717100000000002</c:v>
                </c:pt>
                <c:pt idx="97">
                  <c:v>33.165300000000002</c:v>
                </c:pt>
                <c:pt idx="98">
                  <c:v>35.101700000000001</c:v>
                </c:pt>
                <c:pt idx="99">
                  <c:v>35.039299999999997</c:v>
                </c:pt>
                <c:pt idx="100">
                  <c:v>37.746000000000002</c:v>
                </c:pt>
                <c:pt idx="101">
                  <c:v>38.663699999999999</c:v>
                </c:pt>
                <c:pt idx="102">
                  <c:v>37.545299999999997</c:v>
                </c:pt>
                <c:pt idx="103">
                  <c:v>36.884900000000002</c:v>
                </c:pt>
                <c:pt idx="104">
                  <c:v>36.322699999999998</c:v>
                </c:pt>
                <c:pt idx="105">
                  <c:v>36.331699999999998</c:v>
                </c:pt>
                <c:pt idx="106">
                  <c:v>36.197400000000002</c:v>
                </c:pt>
                <c:pt idx="107">
                  <c:v>36.197400000000002</c:v>
                </c:pt>
                <c:pt idx="108">
                  <c:v>36.357399999999998</c:v>
                </c:pt>
                <c:pt idx="109">
                  <c:v>40.346200000000003</c:v>
                </c:pt>
                <c:pt idx="110">
                  <c:v>43.570500000000003</c:v>
                </c:pt>
                <c:pt idx="111">
                  <c:v>41.667000000000002</c:v>
                </c:pt>
                <c:pt idx="112">
                  <c:v>39.020800000000001</c:v>
                </c:pt>
                <c:pt idx="113">
                  <c:v>40.641500000000001</c:v>
                </c:pt>
                <c:pt idx="114">
                  <c:v>43.589199999999998</c:v>
                </c:pt>
                <c:pt idx="115">
                  <c:v>44.019599999999997</c:v>
                </c:pt>
                <c:pt idx="116">
                  <c:v>43.160299999999999</c:v>
                </c:pt>
                <c:pt idx="117">
                  <c:v>42.984699999999997</c:v>
                </c:pt>
                <c:pt idx="118">
                  <c:v>44.247999999999998</c:v>
                </c:pt>
                <c:pt idx="119">
                  <c:v>45.839199999999998</c:v>
                </c:pt>
                <c:pt idx="120">
                  <c:v>60.544899999999998</c:v>
                </c:pt>
                <c:pt idx="121">
                  <c:v>56.8566</c:v>
                </c:pt>
                <c:pt idx="122">
                  <c:v>61.040399999999998</c:v>
                </c:pt>
                <c:pt idx="123">
                  <c:v>59.382300000000001</c:v>
                </c:pt>
                <c:pt idx="124">
                  <c:v>58.505099999999999</c:v>
                </c:pt>
                <c:pt idx="125">
                  <c:v>57.359900000000003</c:v>
                </c:pt>
                <c:pt idx="126">
                  <c:v>57.986400000000003</c:v>
                </c:pt>
                <c:pt idx="127">
                  <c:v>55.8155</c:v>
                </c:pt>
                <c:pt idx="128">
                  <c:v>62.1432</c:v>
                </c:pt>
                <c:pt idx="129">
                  <c:v>64.585999999999999</c:v>
                </c:pt>
                <c:pt idx="130">
                  <c:v>63.161200000000001</c:v>
                </c:pt>
                <c:pt idx="131">
                  <c:v>57.107300000000002</c:v>
                </c:pt>
                <c:pt idx="132">
                  <c:v>59.272399999999998</c:v>
                </c:pt>
                <c:pt idx="133">
                  <c:v>60.944699999999997</c:v>
                </c:pt>
                <c:pt idx="134">
                  <c:v>59.9696</c:v>
                </c:pt>
                <c:pt idx="135">
                  <c:v>60.973799999999997</c:v>
                </c:pt>
                <c:pt idx="136">
                  <c:v>55.813499999999998</c:v>
                </c:pt>
                <c:pt idx="137">
                  <c:v>52.377000000000002</c:v>
                </c:pt>
                <c:pt idx="138">
                  <c:v>54.004399999999997</c:v>
                </c:pt>
                <c:pt idx="139">
                  <c:v>57.371499999999997</c:v>
                </c:pt>
                <c:pt idx="140">
                  <c:v>54.912300000000002</c:v>
                </c:pt>
                <c:pt idx="141">
                  <c:v>53.387999999999998</c:v>
                </c:pt>
                <c:pt idx="142">
                  <c:v>53.621099999999998</c:v>
                </c:pt>
                <c:pt idx="143">
                  <c:v>53.621099999999998</c:v>
                </c:pt>
                <c:pt idx="144">
                  <c:v>51.312199999999997</c:v>
                </c:pt>
                <c:pt idx="145">
                  <c:v>50.729300000000002</c:v>
                </c:pt>
                <c:pt idx="146">
                  <c:v>55.882100000000001</c:v>
                </c:pt>
                <c:pt idx="147">
                  <c:v>56.677500000000002</c:v>
                </c:pt>
                <c:pt idx="148">
                  <c:v>60.232300000000002</c:v>
                </c:pt>
                <c:pt idx="149">
                  <c:v>59.491500000000002</c:v>
                </c:pt>
                <c:pt idx="150">
                  <c:v>55.407299999999999</c:v>
                </c:pt>
                <c:pt idx="151">
                  <c:v>56.120699999999999</c:v>
                </c:pt>
                <c:pt idx="152">
                  <c:v>60.190100000000001</c:v>
                </c:pt>
                <c:pt idx="153">
                  <c:v>62.046999999999997</c:v>
                </c:pt>
                <c:pt idx="154">
                  <c:v>65.042500000000004</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#NAME?</c:v>
                </c:pt>
              </c:strCache>
            </c:strRef>
          </c:tx>
          <c:spPr>
            <a:ln w="28575" cap="rnd">
              <a:solidFill>
                <a:schemeClr val="accent3"/>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Data'!$L$5:$L$159</c:f>
              <c:numCache>
                <c:formatCode>0.0</c:formatCode>
                <c:ptCount val="155"/>
                <c:pt idx="0">
                  <c:v>34.884900000000002</c:v>
                </c:pt>
                <c:pt idx="1">
                  <c:v>34.766599999999997</c:v>
                </c:pt>
                <c:pt idx="2">
                  <c:v>34.827599999999997</c:v>
                </c:pt>
                <c:pt idx="3">
                  <c:v>31.298200000000001</c:v>
                </c:pt>
                <c:pt idx="4">
                  <c:v>29.732399999999998</c:v>
                </c:pt>
                <c:pt idx="5">
                  <c:v>26.1859</c:v>
                </c:pt>
                <c:pt idx="6">
                  <c:v>23.839500000000001</c:v>
                </c:pt>
                <c:pt idx="7">
                  <c:v>25.285900000000002</c:v>
                </c:pt>
                <c:pt idx="8">
                  <c:v>24.183499999999999</c:v>
                </c:pt>
                <c:pt idx="9">
                  <c:v>26.034700000000001</c:v>
                </c:pt>
                <c:pt idx="10">
                  <c:v>23.400500000000001</c:v>
                </c:pt>
                <c:pt idx="11">
                  <c:v>24.168800000000001</c:v>
                </c:pt>
                <c:pt idx="12">
                  <c:v>23.683399999999999</c:v>
                </c:pt>
                <c:pt idx="13">
                  <c:v>24.481000000000002</c:v>
                </c:pt>
                <c:pt idx="14">
                  <c:v>24.3444</c:v>
                </c:pt>
                <c:pt idx="15">
                  <c:v>24.105399999999999</c:v>
                </c:pt>
                <c:pt idx="16">
                  <c:v>26.871200000000002</c:v>
                </c:pt>
                <c:pt idx="17">
                  <c:v>25.813400000000001</c:v>
                </c:pt>
                <c:pt idx="18">
                  <c:v>25.452300000000001</c:v>
                </c:pt>
                <c:pt idx="19">
                  <c:v>23.722899999999999</c:v>
                </c:pt>
                <c:pt idx="20">
                  <c:v>23.507400000000001</c:v>
                </c:pt>
                <c:pt idx="21">
                  <c:v>23.168800000000001</c:v>
                </c:pt>
                <c:pt idx="22">
                  <c:v>23.7788</c:v>
                </c:pt>
                <c:pt idx="23">
                  <c:v>21.005500000000001</c:v>
                </c:pt>
                <c:pt idx="24">
                  <c:v>20.056799999999999</c:v>
                </c:pt>
                <c:pt idx="25">
                  <c:v>18.674399999999999</c:v>
                </c:pt>
                <c:pt idx="26">
                  <c:v>18.229399999999998</c:v>
                </c:pt>
                <c:pt idx="27">
                  <c:v>19.900099999999998</c:v>
                </c:pt>
                <c:pt idx="28">
                  <c:v>20.647300000000001</c:v>
                </c:pt>
                <c:pt idx="29">
                  <c:v>22.7683</c:v>
                </c:pt>
                <c:pt idx="30">
                  <c:v>23.3035</c:v>
                </c:pt>
                <c:pt idx="31">
                  <c:v>22.902799999999999</c:v>
                </c:pt>
                <c:pt idx="32">
                  <c:v>23.638400000000001</c:v>
                </c:pt>
                <c:pt idx="33">
                  <c:v>24.311299999999999</c:v>
                </c:pt>
                <c:pt idx="34">
                  <c:v>26.213100000000001</c:v>
                </c:pt>
                <c:pt idx="35">
                  <c:v>24.391999999999999</c:v>
                </c:pt>
                <c:pt idx="36">
                  <c:v>24.502700000000001</c:v>
                </c:pt>
                <c:pt idx="37">
                  <c:v>22.472200000000001</c:v>
                </c:pt>
                <c:pt idx="38">
                  <c:v>24.894400000000001</c:v>
                </c:pt>
                <c:pt idx="39">
                  <c:v>22.7713</c:v>
                </c:pt>
                <c:pt idx="40">
                  <c:v>23.037400000000002</c:v>
                </c:pt>
                <c:pt idx="41">
                  <c:v>21.661899999999999</c:v>
                </c:pt>
                <c:pt idx="42">
                  <c:v>23.200900000000001</c:v>
                </c:pt>
                <c:pt idx="43">
                  <c:v>23.580300000000001</c:v>
                </c:pt>
                <c:pt idx="44">
                  <c:v>24.5305</c:v>
                </c:pt>
                <c:pt idx="45">
                  <c:v>24.539899999999999</c:v>
                </c:pt>
                <c:pt idx="46">
                  <c:v>22.4421</c:v>
                </c:pt>
                <c:pt idx="47">
                  <c:v>21.965499999999999</c:v>
                </c:pt>
                <c:pt idx="48">
                  <c:v>23.157</c:v>
                </c:pt>
                <c:pt idx="49">
                  <c:v>24.075800000000001</c:v>
                </c:pt>
                <c:pt idx="50">
                  <c:v>23.972300000000001</c:v>
                </c:pt>
                <c:pt idx="51">
                  <c:v>22.846599999999999</c:v>
                </c:pt>
                <c:pt idx="52">
                  <c:v>23.248000000000001</c:v>
                </c:pt>
                <c:pt idx="53">
                  <c:v>25.982299999999999</c:v>
                </c:pt>
                <c:pt idx="54">
                  <c:v>25.5273</c:v>
                </c:pt>
                <c:pt idx="55">
                  <c:v>26.6829</c:v>
                </c:pt>
                <c:pt idx="56">
                  <c:v>25.093399999999999</c:v>
                </c:pt>
                <c:pt idx="57">
                  <c:v>25.457899999999999</c:v>
                </c:pt>
                <c:pt idx="58">
                  <c:v>25.3779</c:v>
                </c:pt>
                <c:pt idx="59">
                  <c:v>26.728000000000002</c:v>
                </c:pt>
                <c:pt idx="60">
                  <c:v>28.992799999999999</c:v>
                </c:pt>
                <c:pt idx="61">
                  <c:v>28.063199999999998</c:v>
                </c:pt>
                <c:pt idx="62">
                  <c:v>24.8337</c:v>
                </c:pt>
                <c:pt idx="63">
                  <c:v>30.583300000000001</c:v>
                </c:pt>
                <c:pt idx="64">
                  <c:v>30.2058</c:v>
                </c:pt>
                <c:pt idx="65">
                  <c:v>32.125</c:v>
                </c:pt>
                <c:pt idx="66">
                  <c:v>37.424100000000003</c:v>
                </c:pt>
                <c:pt idx="67">
                  <c:v>35.944800000000001</c:v>
                </c:pt>
                <c:pt idx="68">
                  <c:v>37.668199999999999</c:v>
                </c:pt>
                <c:pt idx="69">
                  <c:v>37.866199999999999</c:v>
                </c:pt>
                <c:pt idx="70">
                  <c:v>37.0214</c:v>
                </c:pt>
                <c:pt idx="71">
                  <c:v>34.669800000000002</c:v>
                </c:pt>
                <c:pt idx="72">
                  <c:v>34.010399999999997</c:v>
                </c:pt>
                <c:pt idx="73">
                  <c:v>34.457500000000003</c:v>
                </c:pt>
                <c:pt idx="74">
                  <c:v>33.814500000000002</c:v>
                </c:pt>
                <c:pt idx="75">
                  <c:v>32.584699999999998</c:v>
                </c:pt>
                <c:pt idx="76">
                  <c:v>30.9727</c:v>
                </c:pt>
                <c:pt idx="77">
                  <c:v>31.5718</c:v>
                </c:pt>
                <c:pt idx="78">
                  <c:v>32.548299999999998</c:v>
                </c:pt>
                <c:pt idx="79">
                  <c:v>34.310099999999998</c:v>
                </c:pt>
                <c:pt idx="80">
                  <c:v>34.906999999999996</c:v>
                </c:pt>
                <c:pt idx="81">
                  <c:v>35.4651</c:v>
                </c:pt>
                <c:pt idx="82">
                  <c:v>34.855800000000002</c:v>
                </c:pt>
                <c:pt idx="83">
                  <c:v>34.034199999999998</c:v>
                </c:pt>
                <c:pt idx="84">
                  <c:v>36.059699999999999</c:v>
                </c:pt>
                <c:pt idx="85">
                  <c:v>33.885899999999999</c:v>
                </c:pt>
                <c:pt idx="86">
                  <c:v>33.124200000000002</c:v>
                </c:pt>
                <c:pt idx="87">
                  <c:v>33.629899999999999</c:v>
                </c:pt>
                <c:pt idx="88">
                  <c:v>31.163399999999999</c:v>
                </c:pt>
                <c:pt idx="89">
                  <c:v>30.305099999999999</c:v>
                </c:pt>
                <c:pt idx="90">
                  <c:v>31.1494</c:v>
                </c:pt>
                <c:pt idx="91">
                  <c:v>27.6509</c:v>
                </c:pt>
                <c:pt idx="92">
                  <c:v>27.533000000000001</c:v>
                </c:pt>
                <c:pt idx="93">
                  <c:v>27.064399999999999</c:v>
                </c:pt>
                <c:pt idx="94">
                  <c:v>29.194500000000001</c:v>
                </c:pt>
                <c:pt idx="95">
                  <c:v>24.8169</c:v>
                </c:pt>
                <c:pt idx="96">
                  <c:v>24.150300000000001</c:v>
                </c:pt>
                <c:pt idx="97">
                  <c:v>22.842600000000001</c:v>
                </c:pt>
                <c:pt idx="98">
                  <c:v>23.4711</c:v>
                </c:pt>
                <c:pt idx="99">
                  <c:v>23.5852</c:v>
                </c:pt>
                <c:pt idx="100">
                  <c:v>22.9422</c:v>
                </c:pt>
                <c:pt idx="101">
                  <c:v>21.288</c:v>
                </c:pt>
                <c:pt idx="102">
                  <c:v>19.942799999999998</c:v>
                </c:pt>
                <c:pt idx="103">
                  <c:v>19.176200000000001</c:v>
                </c:pt>
                <c:pt idx="104">
                  <c:v>21.112400000000001</c:v>
                </c:pt>
                <c:pt idx="105">
                  <c:v>21.095700000000001</c:v>
                </c:pt>
                <c:pt idx="106">
                  <c:v>20.7883</c:v>
                </c:pt>
                <c:pt idx="107">
                  <c:v>20.1815</c:v>
                </c:pt>
                <c:pt idx="108">
                  <c:v>18.213699999999999</c:v>
                </c:pt>
                <c:pt idx="109">
                  <c:v>19.385000000000002</c:v>
                </c:pt>
                <c:pt idx="110">
                  <c:v>20.491</c:v>
                </c:pt>
                <c:pt idx="111">
                  <c:v>20.205200000000001</c:v>
                </c:pt>
                <c:pt idx="112">
                  <c:v>19.956800000000001</c:v>
                </c:pt>
                <c:pt idx="113">
                  <c:v>19.020900000000001</c:v>
                </c:pt>
                <c:pt idx="114">
                  <c:v>20.191099999999999</c:v>
                </c:pt>
                <c:pt idx="115">
                  <c:v>20.1861</c:v>
                </c:pt>
                <c:pt idx="116">
                  <c:v>18.9056</c:v>
                </c:pt>
                <c:pt idx="117">
                  <c:v>18.839099999999998</c:v>
                </c:pt>
                <c:pt idx="118">
                  <c:v>18.323699999999999</c:v>
                </c:pt>
                <c:pt idx="119">
                  <c:v>18.499700000000001</c:v>
                </c:pt>
                <c:pt idx="120">
                  <c:v>18.899999999999999</c:v>
                </c:pt>
                <c:pt idx="121">
                  <c:v>16.470800000000001</c:v>
                </c:pt>
                <c:pt idx="122">
                  <c:v>17.1296</c:v>
                </c:pt>
                <c:pt idx="123">
                  <c:v>16.606200000000001</c:v>
                </c:pt>
                <c:pt idx="124">
                  <c:v>16.767199999999999</c:v>
                </c:pt>
                <c:pt idx="125">
                  <c:v>15.385199999999999</c:v>
                </c:pt>
                <c:pt idx="126">
                  <c:v>15.6092</c:v>
                </c:pt>
                <c:pt idx="127">
                  <c:v>14.336499999999999</c:v>
                </c:pt>
                <c:pt idx="128">
                  <c:v>13.9899</c:v>
                </c:pt>
                <c:pt idx="129">
                  <c:v>13.5236</c:v>
                </c:pt>
                <c:pt idx="130">
                  <c:v>13.350099999999999</c:v>
                </c:pt>
                <c:pt idx="131">
                  <c:v>13.5146</c:v>
                </c:pt>
                <c:pt idx="132">
                  <c:v>13.417</c:v>
                </c:pt>
                <c:pt idx="133">
                  <c:v>14.022500000000001</c:v>
                </c:pt>
                <c:pt idx="134">
                  <c:v>13.6335</c:v>
                </c:pt>
                <c:pt idx="135">
                  <c:v>13.1151</c:v>
                </c:pt>
                <c:pt idx="136">
                  <c:v>13.286099999999999</c:v>
                </c:pt>
                <c:pt idx="137">
                  <c:v>13.2193</c:v>
                </c:pt>
                <c:pt idx="138">
                  <c:v>12.851000000000001</c:v>
                </c:pt>
                <c:pt idx="139">
                  <c:v>14.010199999999999</c:v>
                </c:pt>
                <c:pt idx="140">
                  <c:v>13.946099999999999</c:v>
                </c:pt>
                <c:pt idx="141">
                  <c:v>14.278700000000001</c:v>
                </c:pt>
                <c:pt idx="142">
                  <c:v>13.1515</c:v>
                </c:pt>
                <c:pt idx="143">
                  <c:v>12.5722</c:v>
                </c:pt>
                <c:pt idx="144">
                  <c:v>12.5025</c:v>
                </c:pt>
                <c:pt idx="145">
                  <c:v>11.3759</c:v>
                </c:pt>
                <c:pt idx="146">
                  <c:v>10.846500000000001</c:v>
                </c:pt>
                <c:pt idx="147">
                  <c:v>12.836600000000001</c:v>
                </c:pt>
                <c:pt idx="148">
                  <c:v>13.420500000000001</c:v>
                </c:pt>
                <c:pt idx="149">
                  <c:v>12.733700000000001</c:v>
                </c:pt>
                <c:pt idx="150">
                  <c:v>13.539099999999999</c:v>
                </c:pt>
                <c:pt idx="151">
                  <c:v>13.224399999999999</c:v>
                </c:pt>
                <c:pt idx="152">
                  <c:v>13.0519</c:v>
                </c:pt>
                <c:pt idx="153">
                  <c:v>12.403</c:v>
                </c:pt>
                <c:pt idx="154">
                  <c:v>11.3362</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#NAME?</c:v>
                </c:pt>
              </c:strCache>
            </c:strRef>
          </c:tx>
          <c:spPr>
            <a:ln w="28575" cap="rnd">
              <a:solidFill>
                <a:schemeClr val="accent4"/>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Data'!$M$5:$M$159</c:f>
              <c:numCache>
                <c:formatCode>0.0</c:formatCode>
                <c:ptCount val="155"/>
                <c:pt idx="0">
                  <c:v>24.919799999999999</c:v>
                </c:pt>
                <c:pt idx="1">
                  <c:v>25.078399999999998</c:v>
                </c:pt>
                <c:pt idx="2">
                  <c:v>22.1252</c:v>
                </c:pt>
                <c:pt idx="3">
                  <c:v>23.363900000000001</c:v>
                </c:pt>
                <c:pt idx="4">
                  <c:v>20.7879</c:v>
                </c:pt>
                <c:pt idx="5">
                  <c:v>18.130500000000001</c:v>
                </c:pt>
                <c:pt idx="6">
                  <c:v>17.0975</c:v>
                </c:pt>
                <c:pt idx="7">
                  <c:v>17.431799999999999</c:v>
                </c:pt>
                <c:pt idx="8">
                  <c:v>17.9376</c:v>
                </c:pt>
                <c:pt idx="9">
                  <c:v>18.593399999999999</c:v>
                </c:pt>
                <c:pt idx="10">
                  <c:v>18.473400000000002</c:v>
                </c:pt>
                <c:pt idx="11">
                  <c:v>23.372499999999999</c:v>
                </c:pt>
                <c:pt idx="12">
                  <c:v>24.0197</c:v>
                </c:pt>
                <c:pt idx="13">
                  <c:v>23.908200000000001</c:v>
                </c:pt>
                <c:pt idx="14">
                  <c:v>23.295300000000001</c:v>
                </c:pt>
                <c:pt idx="15">
                  <c:v>22.7895</c:v>
                </c:pt>
                <c:pt idx="16">
                  <c:v>21.452100000000002</c:v>
                </c:pt>
                <c:pt idx="17">
                  <c:v>20.915199999999999</c:v>
                </c:pt>
                <c:pt idx="18">
                  <c:v>21.037800000000001</c:v>
                </c:pt>
                <c:pt idx="19">
                  <c:v>19.025300000000001</c:v>
                </c:pt>
                <c:pt idx="20">
                  <c:v>19.587599999999998</c:v>
                </c:pt>
                <c:pt idx="21">
                  <c:v>19.6553</c:v>
                </c:pt>
                <c:pt idx="22">
                  <c:v>20.483899999999998</c:v>
                </c:pt>
                <c:pt idx="23">
                  <c:v>18.522200000000002</c:v>
                </c:pt>
                <c:pt idx="24">
                  <c:v>17.947199999999999</c:v>
                </c:pt>
                <c:pt idx="25">
                  <c:v>16.615500000000001</c:v>
                </c:pt>
                <c:pt idx="26">
                  <c:v>16.6493</c:v>
                </c:pt>
                <c:pt idx="27">
                  <c:v>14.729799999999999</c:v>
                </c:pt>
                <c:pt idx="28">
                  <c:v>17.4526</c:v>
                </c:pt>
                <c:pt idx="29">
                  <c:v>19.878399999999999</c:v>
                </c:pt>
                <c:pt idx="30">
                  <c:v>19.4663</c:v>
                </c:pt>
                <c:pt idx="31">
                  <c:v>18.707799999999999</c:v>
                </c:pt>
                <c:pt idx="32">
                  <c:v>19.3216</c:v>
                </c:pt>
                <c:pt idx="33">
                  <c:v>20.119499999999999</c:v>
                </c:pt>
                <c:pt idx="34">
                  <c:v>22.811499999999999</c:v>
                </c:pt>
                <c:pt idx="35">
                  <c:v>22.491399999999999</c:v>
                </c:pt>
                <c:pt idx="36">
                  <c:v>22.8597</c:v>
                </c:pt>
                <c:pt idx="37">
                  <c:v>21.8294</c:v>
                </c:pt>
                <c:pt idx="38">
                  <c:v>24.104900000000001</c:v>
                </c:pt>
                <c:pt idx="39">
                  <c:v>22.495799999999999</c:v>
                </c:pt>
                <c:pt idx="40">
                  <c:v>24.148700000000002</c:v>
                </c:pt>
                <c:pt idx="41">
                  <c:v>23.2835</c:v>
                </c:pt>
                <c:pt idx="42">
                  <c:v>23.2835</c:v>
                </c:pt>
                <c:pt idx="43">
                  <c:v>23.367000000000001</c:v>
                </c:pt>
                <c:pt idx="44">
                  <c:v>24.049800000000001</c:v>
                </c:pt>
                <c:pt idx="45">
                  <c:v>24.221699999999998</c:v>
                </c:pt>
                <c:pt idx="46">
                  <c:v>21.8492</c:v>
                </c:pt>
                <c:pt idx="47">
                  <c:v>21.485700000000001</c:v>
                </c:pt>
                <c:pt idx="48">
                  <c:v>22.404299999999999</c:v>
                </c:pt>
                <c:pt idx="49">
                  <c:v>23.047699999999999</c:v>
                </c:pt>
                <c:pt idx="50">
                  <c:v>23.588100000000001</c:v>
                </c:pt>
                <c:pt idx="51">
                  <c:v>22.369900000000001</c:v>
                </c:pt>
                <c:pt idx="52">
                  <c:v>23.8828</c:v>
                </c:pt>
                <c:pt idx="53">
                  <c:v>25.3172</c:v>
                </c:pt>
                <c:pt idx="54">
                  <c:v>24.639299999999999</c:v>
                </c:pt>
                <c:pt idx="55">
                  <c:v>25.917999999999999</c:v>
                </c:pt>
                <c:pt idx="56">
                  <c:v>24.4129</c:v>
                </c:pt>
                <c:pt idx="57">
                  <c:v>24.1358</c:v>
                </c:pt>
                <c:pt idx="58">
                  <c:v>24.988900000000001</c:v>
                </c:pt>
                <c:pt idx="59">
                  <c:v>28.460899999999999</c:v>
                </c:pt>
                <c:pt idx="60">
                  <c:v>30.427800000000001</c:v>
                </c:pt>
                <c:pt idx="61">
                  <c:v>29.585599999999999</c:v>
                </c:pt>
                <c:pt idx="62">
                  <c:v>27.863199999999999</c:v>
                </c:pt>
                <c:pt idx="63">
                  <c:v>33.709699999999998</c:v>
                </c:pt>
                <c:pt idx="64">
                  <c:v>33.122900000000001</c:v>
                </c:pt>
                <c:pt idx="65">
                  <c:v>36.285200000000003</c:v>
                </c:pt>
                <c:pt idx="66">
                  <c:v>41.099299999999999</c:v>
                </c:pt>
                <c:pt idx="67">
                  <c:v>39.078000000000003</c:v>
                </c:pt>
                <c:pt idx="68">
                  <c:v>45.445900000000002</c:v>
                </c:pt>
                <c:pt idx="69">
                  <c:v>44.273099999999999</c:v>
                </c:pt>
                <c:pt idx="70">
                  <c:v>45.254600000000003</c:v>
                </c:pt>
                <c:pt idx="71">
                  <c:v>42.756100000000004</c:v>
                </c:pt>
                <c:pt idx="72">
                  <c:v>45.101700000000001</c:v>
                </c:pt>
                <c:pt idx="73">
                  <c:v>46.121499999999997</c:v>
                </c:pt>
                <c:pt idx="74">
                  <c:v>44.910400000000003</c:v>
                </c:pt>
                <c:pt idx="75">
                  <c:v>46.249000000000002</c:v>
                </c:pt>
                <c:pt idx="76">
                  <c:v>44.540799999999997</c:v>
                </c:pt>
                <c:pt idx="77">
                  <c:v>44.375</c:v>
                </c:pt>
                <c:pt idx="78">
                  <c:v>47.536499999999997</c:v>
                </c:pt>
                <c:pt idx="79">
                  <c:v>50.085999999999999</c:v>
                </c:pt>
                <c:pt idx="80">
                  <c:v>50.506700000000002</c:v>
                </c:pt>
                <c:pt idx="81">
                  <c:v>51.449300000000001</c:v>
                </c:pt>
                <c:pt idx="82">
                  <c:v>51.228000000000002</c:v>
                </c:pt>
                <c:pt idx="83">
                  <c:v>48.688699999999997</c:v>
                </c:pt>
                <c:pt idx="84">
                  <c:v>51.566499999999998</c:v>
                </c:pt>
                <c:pt idx="85">
                  <c:v>47.5167</c:v>
                </c:pt>
                <c:pt idx="86">
                  <c:v>44.9514</c:v>
                </c:pt>
                <c:pt idx="87">
                  <c:v>43.662300000000002</c:v>
                </c:pt>
                <c:pt idx="88">
                  <c:v>37.086199999999998</c:v>
                </c:pt>
                <c:pt idx="89">
                  <c:v>36.285400000000003</c:v>
                </c:pt>
                <c:pt idx="90">
                  <c:v>36.9495</c:v>
                </c:pt>
                <c:pt idx="91">
                  <c:v>34.364699999999999</c:v>
                </c:pt>
                <c:pt idx="92">
                  <c:v>33.055999999999997</c:v>
                </c:pt>
                <c:pt idx="93">
                  <c:v>31.259</c:v>
                </c:pt>
                <c:pt idx="94">
                  <c:v>35.0306</c:v>
                </c:pt>
                <c:pt idx="95">
                  <c:v>34.531599999999997</c:v>
                </c:pt>
                <c:pt idx="96">
                  <c:v>33.423999999999999</c:v>
                </c:pt>
                <c:pt idx="97">
                  <c:v>31.817399999999999</c:v>
                </c:pt>
                <c:pt idx="98">
                  <c:v>32.753999999999998</c:v>
                </c:pt>
                <c:pt idx="99">
                  <c:v>32.740400000000001</c:v>
                </c:pt>
                <c:pt idx="100">
                  <c:v>32.972799999999999</c:v>
                </c:pt>
                <c:pt idx="101">
                  <c:v>29.069099999999999</c:v>
                </c:pt>
                <c:pt idx="102">
                  <c:v>27.8796</c:v>
                </c:pt>
                <c:pt idx="103">
                  <c:v>27.845400000000001</c:v>
                </c:pt>
                <c:pt idx="104">
                  <c:v>28.9529</c:v>
                </c:pt>
                <c:pt idx="105">
                  <c:v>28.111999999999998</c:v>
                </c:pt>
                <c:pt idx="106">
                  <c:v>26.4712</c:v>
                </c:pt>
                <c:pt idx="107">
                  <c:v>21.218699999999998</c:v>
                </c:pt>
                <c:pt idx="108">
                  <c:v>21.6629</c:v>
                </c:pt>
                <c:pt idx="109">
                  <c:v>21.5427</c:v>
                </c:pt>
                <c:pt idx="110">
                  <c:v>23.1158</c:v>
                </c:pt>
                <c:pt idx="111">
                  <c:v>22.2744</c:v>
                </c:pt>
                <c:pt idx="112">
                  <c:v>22.0183</c:v>
                </c:pt>
                <c:pt idx="113">
                  <c:v>21.2971</c:v>
                </c:pt>
                <c:pt idx="114">
                  <c:v>21.6995</c:v>
                </c:pt>
                <c:pt idx="115">
                  <c:v>22.101900000000001</c:v>
                </c:pt>
                <c:pt idx="116">
                  <c:v>20.758800000000001</c:v>
                </c:pt>
                <c:pt idx="117">
                  <c:v>21.6629</c:v>
                </c:pt>
                <c:pt idx="118">
                  <c:v>20.324999999999999</c:v>
                </c:pt>
                <c:pt idx="119">
                  <c:v>22.279599999999999</c:v>
                </c:pt>
                <c:pt idx="120">
                  <c:v>20.0839</c:v>
                </c:pt>
                <c:pt idx="121">
                  <c:v>20.401399999999999</c:v>
                </c:pt>
                <c:pt idx="122">
                  <c:v>19.746500000000001</c:v>
                </c:pt>
                <c:pt idx="123">
                  <c:v>18.669899999999998</c:v>
                </c:pt>
                <c:pt idx="124">
                  <c:v>19.166</c:v>
                </c:pt>
                <c:pt idx="125">
                  <c:v>18.109200000000001</c:v>
                </c:pt>
                <c:pt idx="126">
                  <c:v>17.285599999999999</c:v>
                </c:pt>
                <c:pt idx="127">
                  <c:v>15.509399999999999</c:v>
                </c:pt>
                <c:pt idx="128">
                  <c:v>15.142300000000001</c:v>
                </c:pt>
                <c:pt idx="129">
                  <c:v>15.142300000000001</c:v>
                </c:pt>
                <c:pt idx="130">
                  <c:v>15.013299999999999</c:v>
                </c:pt>
                <c:pt idx="131">
                  <c:v>15.821999999999999</c:v>
                </c:pt>
                <c:pt idx="132">
                  <c:v>15.658300000000001</c:v>
                </c:pt>
                <c:pt idx="133">
                  <c:v>15.700699999999999</c:v>
                </c:pt>
                <c:pt idx="134">
                  <c:v>15.716900000000001</c:v>
                </c:pt>
                <c:pt idx="135">
                  <c:v>15.1906</c:v>
                </c:pt>
                <c:pt idx="136">
                  <c:v>15.6097</c:v>
                </c:pt>
                <c:pt idx="137">
                  <c:v>15.457000000000001</c:v>
                </c:pt>
                <c:pt idx="138">
                  <c:v>14.4887</c:v>
                </c:pt>
                <c:pt idx="139">
                  <c:v>15.132099999999999</c:v>
                </c:pt>
                <c:pt idx="140">
                  <c:v>15.359500000000001</c:v>
                </c:pt>
                <c:pt idx="141">
                  <c:v>14.989100000000001</c:v>
                </c:pt>
                <c:pt idx="142">
                  <c:v>15.0703</c:v>
                </c:pt>
                <c:pt idx="143">
                  <c:v>14.839600000000001</c:v>
                </c:pt>
                <c:pt idx="144">
                  <c:v>13.9688</c:v>
                </c:pt>
                <c:pt idx="145">
                  <c:v>12.480600000000001</c:v>
                </c:pt>
                <c:pt idx="146">
                  <c:v>12.141999999999999</c:v>
                </c:pt>
                <c:pt idx="147">
                  <c:v>12.661199999999999</c:v>
                </c:pt>
                <c:pt idx="148">
                  <c:v>14.262</c:v>
                </c:pt>
                <c:pt idx="149">
                  <c:v>13.851000000000001</c:v>
                </c:pt>
                <c:pt idx="150">
                  <c:v>13.9344</c:v>
                </c:pt>
                <c:pt idx="151">
                  <c:v>14.3331</c:v>
                </c:pt>
                <c:pt idx="152">
                  <c:v>14.3393</c:v>
                </c:pt>
                <c:pt idx="153">
                  <c:v>12.778600000000001</c:v>
                </c:pt>
                <c:pt idx="154">
                  <c:v>12.0122</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#NAME?</c:v>
                </c:pt>
              </c:strCache>
            </c:strRef>
          </c:tx>
          <c:spPr>
            <a:ln w="28575" cap="rnd">
              <a:solidFill>
                <a:schemeClr val="accent5"/>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Data'!$N$5:$N$159</c:f>
              <c:numCache>
                <c:formatCode>0.0</c:formatCode>
                <c:ptCount val="155"/>
                <c:pt idx="0">
                  <c:v>13.7979</c:v>
                </c:pt>
                <c:pt idx="1">
                  <c:v>14.484299999999999</c:v>
                </c:pt>
                <c:pt idx="2">
                  <c:v>13.269500000000001</c:v>
                </c:pt>
                <c:pt idx="3">
                  <c:v>13.9214</c:v>
                </c:pt>
                <c:pt idx="4">
                  <c:v>12.671900000000001</c:v>
                </c:pt>
                <c:pt idx="5">
                  <c:v>11.5509</c:v>
                </c:pt>
                <c:pt idx="6">
                  <c:v>10.5435</c:v>
                </c:pt>
                <c:pt idx="7">
                  <c:v>11.1312</c:v>
                </c:pt>
                <c:pt idx="8">
                  <c:v>11.052099999999999</c:v>
                </c:pt>
                <c:pt idx="9">
                  <c:v>11.906499999999999</c:v>
                </c:pt>
                <c:pt idx="10">
                  <c:v>11.462</c:v>
                </c:pt>
                <c:pt idx="11">
                  <c:v>11.422499999999999</c:v>
                </c:pt>
                <c:pt idx="12">
                  <c:v>12.074400000000001</c:v>
                </c:pt>
                <c:pt idx="13">
                  <c:v>11.9114</c:v>
                </c:pt>
                <c:pt idx="14">
                  <c:v>12.010199999999999</c:v>
                </c:pt>
                <c:pt idx="15">
                  <c:v>11.1509</c:v>
                </c:pt>
                <c:pt idx="16">
                  <c:v>11.0495</c:v>
                </c:pt>
                <c:pt idx="17">
                  <c:v>10.8248</c:v>
                </c:pt>
                <c:pt idx="18">
                  <c:v>10.697800000000001</c:v>
                </c:pt>
                <c:pt idx="19">
                  <c:v>10.053000000000001</c:v>
                </c:pt>
                <c:pt idx="20">
                  <c:v>10.277699999999999</c:v>
                </c:pt>
                <c:pt idx="21">
                  <c:v>10.268000000000001</c:v>
                </c:pt>
                <c:pt idx="22">
                  <c:v>11.2058</c:v>
                </c:pt>
                <c:pt idx="23">
                  <c:v>9.5000999999999998</c:v>
                </c:pt>
                <c:pt idx="24">
                  <c:v>9.2460000000000004</c:v>
                </c:pt>
                <c:pt idx="25">
                  <c:v>8.8289000000000009</c:v>
                </c:pt>
                <c:pt idx="26">
                  <c:v>8.7838999999999992</c:v>
                </c:pt>
                <c:pt idx="27">
                  <c:v>8.2398000000000007</c:v>
                </c:pt>
                <c:pt idx="28">
                  <c:v>9.5753000000000004</c:v>
                </c:pt>
                <c:pt idx="29">
                  <c:v>10.813000000000001</c:v>
                </c:pt>
                <c:pt idx="30">
                  <c:v>11.1225</c:v>
                </c:pt>
                <c:pt idx="31">
                  <c:v>11.2392</c:v>
                </c:pt>
                <c:pt idx="32">
                  <c:v>11.2493</c:v>
                </c:pt>
                <c:pt idx="33">
                  <c:v>11.274699999999999</c:v>
                </c:pt>
                <c:pt idx="34">
                  <c:v>11.706</c:v>
                </c:pt>
                <c:pt idx="35">
                  <c:v>10.199</c:v>
                </c:pt>
                <c:pt idx="36">
                  <c:v>10.407</c:v>
                </c:pt>
                <c:pt idx="37">
                  <c:v>10.833299999999999</c:v>
                </c:pt>
                <c:pt idx="38">
                  <c:v>11.6553</c:v>
                </c:pt>
                <c:pt idx="39">
                  <c:v>10.1838</c:v>
                </c:pt>
                <c:pt idx="40">
                  <c:v>10.533899999999999</c:v>
                </c:pt>
                <c:pt idx="41">
                  <c:v>10.9095</c:v>
                </c:pt>
                <c:pt idx="42">
                  <c:v>10.9095</c:v>
                </c:pt>
                <c:pt idx="43">
                  <c:v>10.698499999999999</c:v>
                </c:pt>
                <c:pt idx="44">
                  <c:v>11.252599999999999</c:v>
                </c:pt>
                <c:pt idx="45">
                  <c:v>11.602600000000001</c:v>
                </c:pt>
                <c:pt idx="46">
                  <c:v>10.4018</c:v>
                </c:pt>
                <c:pt idx="47">
                  <c:v>10.695</c:v>
                </c:pt>
                <c:pt idx="48">
                  <c:v>10.8573</c:v>
                </c:pt>
                <c:pt idx="49">
                  <c:v>12.101000000000001</c:v>
                </c:pt>
                <c:pt idx="50">
                  <c:v>11.8286</c:v>
                </c:pt>
                <c:pt idx="51">
                  <c:v>11.0625</c:v>
                </c:pt>
                <c:pt idx="52">
                  <c:v>11.706899999999999</c:v>
                </c:pt>
                <c:pt idx="53">
                  <c:v>12.2227</c:v>
                </c:pt>
                <c:pt idx="54">
                  <c:v>11.489000000000001</c:v>
                </c:pt>
                <c:pt idx="55">
                  <c:v>11.8597</c:v>
                </c:pt>
                <c:pt idx="56">
                  <c:v>11.7524</c:v>
                </c:pt>
                <c:pt idx="57">
                  <c:v>11.6366</c:v>
                </c:pt>
                <c:pt idx="58">
                  <c:v>11.658300000000001</c:v>
                </c:pt>
                <c:pt idx="59">
                  <c:v>13.367000000000001</c:v>
                </c:pt>
                <c:pt idx="60">
                  <c:v>13.8614</c:v>
                </c:pt>
                <c:pt idx="61">
                  <c:v>12.969099999999999</c:v>
                </c:pt>
                <c:pt idx="62">
                  <c:v>12.1792</c:v>
                </c:pt>
                <c:pt idx="63">
                  <c:v>15.5496</c:v>
                </c:pt>
                <c:pt idx="64">
                  <c:v>16.098299999999998</c:v>
                </c:pt>
                <c:pt idx="65">
                  <c:v>17.852799999999998</c:v>
                </c:pt>
                <c:pt idx="66">
                  <c:v>19.945</c:v>
                </c:pt>
                <c:pt idx="67">
                  <c:v>18.709</c:v>
                </c:pt>
                <c:pt idx="68">
                  <c:v>20.604800000000001</c:v>
                </c:pt>
                <c:pt idx="69">
                  <c:v>19.781700000000001</c:v>
                </c:pt>
                <c:pt idx="70">
                  <c:v>20.557600000000001</c:v>
                </c:pt>
                <c:pt idx="71">
                  <c:v>19.842400000000001</c:v>
                </c:pt>
                <c:pt idx="72">
                  <c:v>20.429400000000001</c:v>
                </c:pt>
                <c:pt idx="73">
                  <c:v>20.921900000000001</c:v>
                </c:pt>
                <c:pt idx="74">
                  <c:v>20.9421</c:v>
                </c:pt>
                <c:pt idx="75">
                  <c:v>23.613900000000001</c:v>
                </c:pt>
                <c:pt idx="76">
                  <c:v>22.264500000000002</c:v>
                </c:pt>
                <c:pt idx="77">
                  <c:v>22.790800000000001</c:v>
                </c:pt>
                <c:pt idx="78">
                  <c:v>23.9377</c:v>
                </c:pt>
                <c:pt idx="79">
                  <c:v>25.449000000000002</c:v>
                </c:pt>
                <c:pt idx="80">
                  <c:v>25.637899999999998</c:v>
                </c:pt>
                <c:pt idx="81">
                  <c:v>30.592600000000001</c:v>
                </c:pt>
                <c:pt idx="82">
                  <c:v>29.7347</c:v>
                </c:pt>
                <c:pt idx="83">
                  <c:v>28.467500000000001</c:v>
                </c:pt>
                <c:pt idx="84">
                  <c:v>31.552800000000001</c:v>
                </c:pt>
                <c:pt idx="85">
                  <c:v>29.750399999999999</c:v>
                </c:pt>
                <c:pt idx="86">
                  <c:v>28.4282</c:v>
                </c:pt>
                <c:pt idx="87">
                  <c:v>28.7666</c:v>
                </c:pt>
                <c:pt idx="88">
                  <c:v>25.7286</c:v>
                </c:pt>
                <c:pt idx="89">
                  <c:v>23.091999999999999</c:v>
                </c:pt>
                <c:pt idx="90">
                  <c:v>22.9818</c:v>
                </c:pt>
                <c:pt idx="91">
                  <c:v>20.1799</c:v>
                </c:pt>
                <c:pt idx="92">
                  <c:v>18.660900000000002</c:v>
                </c:pt>
                <c:pt idx="93">
                  <c:v>18.432700000000001</c:v>
                </c:pt>
                <c:pt idx="94">
                  <c:v>20.717300000000002</c:v>
                </c:pt>
                <c:pt idx="95">
                  <c:v>20.524699999999999</c:v>
                </c:pt>
                <c:pt idx="96">
                  <c:v>20.507200000000001</c:v>
                </c:pt>
                <c:pt idx="97">
                  <c:v>19.211200000000002</c:v>
                </c:pt>
                <c:pt idx="98">
                  <c:v>18.7209</c:v>
                </c:pt>
                <c:pt idx="99">
                  <c:v>17.328600000000002</c:v>
                </c:pt>
                <c:pt idx="100">
                  <c:v>17.0747</c:v>
                </c:pt>
                <c:pt idx="101">
                  <c:v>15.2867</c:v>
                </c:pt>
                <c:pt idx="102">
                  <c:v>13.0311</c:v>
                </c:pt>
                <c:pt idx="103">
                  <c:v>13.1134</c:v>
                </c:pt>
                <c:pt idx="104">
                  <c:v>13.559900000000001</c:v>
                </c:pt>
                <c:pt idx="105">
                  <c:v>12.934699999999999</c:v>
                </c:pt>
                <c:pt idx="106">
                  <c:v>12.276300000000001</c:v>
                </c:pt>
                <c:pt idx="107">
                  <c:v>13.6319</c:v>
                </c:pt>
                <c:pt idx="108">
                  <c:v>13.179500000000001</c:v>
                </c:pt>
                <c:pt idx="109">
                  <c:v>13.053599999999999</c:v>
                </c:pt>
                <c:pt idx="110">
                  <c:v>14.019</c:v>
                </c:pt>
                <c:pt idx="111">
                  <c:v>13.7438</c:v>
                </c:pt>
                <c:pt idx="112">
                  <c:v>13.370699999999999</c:v>
                </c:pt>
                <c:pt idx="113">
                  <c:v>13.3521</c:v>
                </c:pt>
                <c:pt idx="114">
                  <c:v>13.6738</c:v>
                </c:pt>
                <c:pt idx="115">
                  <c:v>14.1402</c:v>
                </c:pt>
                <c:pt idx="116">
                  <c:v>14.429399999999999</c:v>
                </c:pt>
                <c:pt idx="117">
                  <c:v>14.904999999999999</c:v>
                </c:pt>
                <c:pt idx="118">
                  <c:v>14.1822</c:v>
                </c:pt>
                <c:pt idx="119">
                  <c:v>15.1942</c:v>
                </c:pt>
                <c:pt idx="120">
                  <c:v>13.087400000000001</c:v>
                </c:pt>
                <c:pt idx="121">
                  <c:v>13.3134</c:v>
                </c:pt>
                <c:pt idx="122">
                  <c:v>13.042199999999999</c:v>
                </c:pt>
                <c:pt idx="123">
                  <c:v>12.244999999999999</c:v>
                </c:pt>
                <c:pt idx="124">
                  <c:v>11.9903</c:v>
                </c:pt>
                <c:pt idx="125">
                  <c:v>10.741099999999999</c:v>
                </c:pt>
                <c:pt idx="126">
                  <c:v>10.3384</c:v>
                </c:pt>
                <c:pt idx="127">
                  <c:v>9.3850999999999996</c:v>
                </c:pt>
                <c:pt idx="128">
                  <c:v>8.9989000000000008</c:v>
                </c:pt>
                <c:pt idx="129">
                  <c:v>8.9989000000000008</c:v>
                </c:pt>
                <c:pt idx="130">
                  <c:v>8.7440999999999995</c:v>
                </c:pt>
                <c:pt idx="131">
                  <c:v>9.2042999999999999</c:v>
                </c:pt>
                <c:pt idx="132">
                  <c:v>9.1468000000000007</c:v>
                </c:pt>
                <c:pt idx="133">
                  <c:v>9.5005000000000006</c:v>
                </c:pt>
                <c:pt idx="134">
                  <c:v>9.0360999999999994</c:v>
                </c:pt>
                <c:pt idx="135">
                  <c:v>9.2072000000000003</c:v>
                </c:pt>
                <c:pt idx="136">
                  <c:v>9.2805</c:v>
                </c:pt>
                <c:pt idx="137">
                  <c:v>9.1013000000000002</c:v>
                </c:pt>
                <c:pt idx="138">
                  <c:v>8.3353999999999999</c:v>
                </c:pt>
                <c:pt idx="139">
                  <c:v>8.3842999999999996</c:v>
                </c:pt>
                <c:pt idx="140">
                  <c:v>8.4575999999999993</c:v>
                </c:pt>
                <c:pt idx="141">
                  <c:v>8.1968999999999994</c:v>
                </c:pt>
                <c:pt idx="142">
                  <c:v>7.8954000000000004</c:v>
                </c:pt>
                <c:pt idx="143">
                  <c:v>7.6345999999999998</c:v>
                </c:pt>
                <c:pt idx="144">
                  <c:v>7.3658000000000001</c:v>
                </c:pt>
                <c:pt idx="145">
                  <c:v>6.7790999999999997</c:v>
                </c:pt>
                <c:pt idx="146">
                  <c:v>6.9004000000000003</c:v>
                </c:pt>
                <c:pt idx="147">
                  <c:v>7.1119000000000003</c:v>
                </c:pt>
                <c:pt idx="148">
                  <c:v>7.5838999999999999</c:v>
                </c:pt>
                <c:pt idx="149">
                  <c:v>7.3886000000000003</c:v>
                </c:pt>
                <c:pt idx="150">
                  <c:v>7.3479000000000001</c:v>
                </c:pt>
                <c:pt idx="151">
                  <c:v>7.5025000000000004</c:v>
                </c:pt>
                <c:pt idx="152">
                  <c:v>7.5106999999999999</c:v>
                </c:pt>
                <c:pt idx="153">
                  <c:v>6.819</c:v>
                </c:pt>
                <c:pt idx="154">
                  <c:v>6.5342000000000002</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#NAME?</c:v>
                </c:pt>
              </c:strCache>
            </c:strRef>
          </c:tx>
          <c:spPr>
            <a:ln w="28575" cap="rnd">
              <a:solidFill>
                <a:schemeClr val="accent6"/>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Data'!$O$5:$O$159</c:f>
              <c:numCache>
                <c:formatCode>0.0</c:formatCode>
                <c:ptCount val="155"/>
                <c:pt idx="0">
                  <c:v>21.293199999999999</c:v>
                </c:pt>
                <c:pt idx="1">
                  <c:v>19.1751</c:v>
                </c:pt>
                <c:pt idx="2">
                  <c:v>19.1751</c:v>
                </c:pt>
                <c:pt idx="3">
                  <c:v>19.0413</c:v>
                </c:pt>
                <c:pt idx="4">
                  <c:v>17.4359</c:v>
                </c:pt>
                <c:pt idx="5">
                  <c:v>16.1873</c:v>
                </c:pt>
                <c:pt idx="6">
                  <c:v>15.563000000000001</c:v>
                </c:pt>
                <c:pt idx="7">
                  <c:v>15.741400000000001</c:v>
                </c:pt>
                <c:pt idx="8">
                  <c:v>15.719099999999999</c:v>
                </c:pt>
                <c:pt idx="9">
                  <c:v>16.031199999999998</c:v>
                </c:pt>
                <c:pt idx="10">
                  <c:v>15.3401</c:v>
                </c:pt>
                <c:pt idx="11">
                  <c:v>16.1873</c:v>
                </c:pt>
                <c:pt idx="12">
                  <c:v>14.8049</c:v>
                </c:pt>
                <c:pt idx="13">
                  <c:v>14.4259</c:v>
                </c:pt>
                <c:pt idx="14">
                  <c:v>13.4671</c:v>
                </c:pt>
                <c:pt idx="15">
                  <c:v>13.5563</c:v>
                </c:pt>
                <c:pt idx="16">
                  <c:v>11.863799999999999</c:v>
                </c:pt>
                <c:pt idx="17">
                  <c:v>11.573499999999999</c:v>
                </c:pt>
                <c:pt idx="18">
                  <c:v>11.5928</c:v>
                </c:pt>
                <c:pt idx="19">
                  <c:v>11.186400000000001</c:v>
                </c:pt>
                <c:pt idx="20">
                  <c:v>10.8187</c:v>
                </c:pt>
                <c:pt idx="21">
                  <c:v>10.78</c:v>
                </c:pt>
                <c:pt idx="22">
                  <c:v>11.109</c:v>
                </c:pt>
                <c:pt idx="23">
                  <c:v>10.5671</c:v>
                </c:pt>
                <c:pt idx="24">
                  <c:v>10.741300000000001</c:v>
                </c:pt>
                <c:pt idx="25">
                  <c:v>10.78</c:v>
                </c:pt>
                <c:pt idx="26">
                  <c:v>10.586399999999999</c:v>
                </c:pt>
                <c:pt idx="27">
                  <c:v>10.257400000000001</c:v>
                </c:pt>
                <c:pt idx="28">
                  <c:v>11.379899999999999</c:v>
                </c:pt>
                <c:pt idx="29">
                  <c:v>12.4041</c:v>
                </c:pt>
                <c:pt idx="30">
                  <c:v>11.818199999999999</c:v>
                </c:pt>
                <c:pt idx="31">
                  <c:v>11.0909</c:v>
                </c:pt>
                <c:pt idx="32">
                  <c:v>10.9091</c:v>
                </c:pt>
                <c:pt idx="33">
                  <c:v>11.4344</c:v>
                </c:pt>
                <c:pt idx="34">
                  <c:v>11.858599999999999</c:v>
                </c:pt>
                <c:pt idx="35">
                  <c:v>11.2727</c:v>
                </c:pt>
                <c:pt idx="36">
                  <c:v>10.6869</c:v>
                </c:pt>
                <c:pt idx="37">
                  <c:v>10.9697</c:v>
                </c:pt>
                <c:pt idx="38">
                  <c:v>10.9697</c:v>
                </c:pt>
                <c:pt idx="39">
                  <c:v>10.8485</c:v>
                </c:pt>
                <c:pt idx="40">
                  <c:v>11.575799999999999</c:v>
                </c:pt>
                <c:pt idx="41">
                  <c:v>10.7879</c:v>
                </c:pt>
                <c:pt idx="42">
                  <c:v>11.3535</c:v>
                </c:pt>
                <c:pt idx="43">
                  <c:v>11.6289</c:v>
                </c:pt>
                <c:pt idx="44">
                  <c:v>11.4383</c:v>
                </c:pt>
                <c:pt idx="45">
                  <c:v>11.2476</c:v>
                </c:pt>
                <c:pt idx="46">
                  <c:v>11.9254</c:v>
                </c:pt>
                <c:pt idx="47">
                  <c:v>11.7136</c:v>
                </c:pt>
                <c:pt idx="48">
                  <c:v>10.7181</c:v>
                </c:pt>
                <c:pt idx="49">
                  <c:v>12.1373</c:v>
                </c:pt>
                <c:pt idx="50">
                  <c:v>12.5185</c:v>
                </c:pt>
                <c:pt idx="51">
                  <c:v>12.5185</c:v>
                </c:pt>
                <c:pt idx="52">
                  <c:v>12.603300000000001</c:v>
                </c:pt>
                <c:pt idx="53">
                  <c:v>12.4762</c:v>
                </c:pt>
                <c:pt idx="54">
                  <c:v>12.984500000000001</c:v>
                </c:pt>
                <c:pt idx="55">
                  <c:v>15.2041</c:v>
                </c:pt>
                <c:pt idx="56">
                  <c:v>15.424099999999999</c:v>
                </c:pt>
                <c:pt idx="57">
                  <c:v>15.864100000000001</c:v>
                </c:pt>
                <c:pt idx="58">
                  <c:v>17.110700000000001</c:v>
                </c:pt>
                <c:pt idx="59">
                  <c:v>18.6751</c:v>
                </c:pt>
                <c:pt idx="60">
                  <c:v>19.139600000000002</c:v>
                </c:pt>
                <c:pt idx="61">
                  <c:v>18.870699999999999</c:v>
                </c:pt>
                <c:pt idx="62">
                  <c:v>18.259599999999999</c:v>
                </c:pt>
                <c:pt idx="63">
                  <c:v>20.508400000000002</c:v>
                </c:pt>
                <c:pt idx="64">
                  <c:v>20.044</c:v>
                </c:pt>
                <c:pt idx="65">
                  <c:v>21.192900000000002</c:v>
                </c:pt>
                <c:pt idx="66">
                  <c:v>21.4617</c:v>
                </c:pt>
                <c:pt idx="67">
                  <c:v>19.995100000000001</c:v>
                </c:pt>
                <c:pt idx="68">
                  <c:v>28.034500000000001</c:v>
                </c:pt>
                <c:pt idx="69">
                  <c:v>28</c:v>
                </c:pt>
                <c:pt idx="70">
                  <c:v>26.379300000000001</c:v>
                </c:pt>
                <c:pt idx="71">
                  <c:v>26.689699999999998</c:v>
                </c:pt>
                <c:pt idx="72">
                  <c:v>25.931000000000001</c:v>
                </c:pt>
                <c:pt idx="73">
                  <c:v>26.793099999999999</c:v>
                </c:pt>
                <c:pt idx="74">
                  <c:v>26.965499999999999</c:v>
                </c:pt>
                <c:pt idx="75">
                  <c:v>28.034500000000001</c:v>
                </c:pt>
                <c:pt idx="76">
                  <c:v>26.896599999999999</c:v>
                </c:pt>
                <c:pt idx="77">
                  <c:v>27.103400000000001</c:v>
                </c:pt>
                <c:pt idx="78">
                  <c:v>27.206900000000001</c:v>
                </c:pt>
                <c:pt idx="79">
                  <c:v>29</c:v>
                </c:pt>
                <c:pt idx="80">
                  <c:v>29</c:v>
                </c:pt>
                <c:pt idx="81">
                  <c:v>37.447200000000002</c:v>
                </c:pt>
                <c:pt idx="82">
                  <c:v>36.086300000000001</c:v>
                </c:pt>
                <c:pt idx="83">
                  <c:v>34.772399999999998</c:v>
                </c:pt>
                <c:pt idx="84">
                  <c:v>34.209299999999999</c:v>
                </c:pt>
                <c:pt idx="85">
                  <c:v>34.350099999999998</c:v>
                </c:pt>
                <c:pt idx="86">
                  <c:v>34.2562</c:v>
                </c:pt>
                <c:pt idx="87">
                  <c:v>34.725499999999997</c:v>
                </c:pt>
                <c:pt idx="88">
                  <c:v>35.194699999999997</c:v>
                </c:pt>
                <c:pt idx="89">
                  <c:v>34.115400000000001</c:v>
                </c:pt>
                <c:pt idx="90">
                  <c:v>34.725499999999997</c:v>
                </c:pt>
                <c:pt idx="91">
                  <c:v>33.317700000000002</c:v>
                </c:pt>
                <c:pt idx="92">
                  <c:v>34.537799999999997</c:v>
                </c:pt>
                <c:pt idx="93">
                  <c:v>36.133299999999998</c:v>
                </c:pt>
                <c:pt idx="94">
                  <c:v>16.581600000000002</c:v>
                </c:pt>
                <c:pt idx="95">
                  <c:v>15.901400000000001</c:v>
                </c:pt>
                <c:pt idx="96">
                  <c:v>15.4762</c:v>
                </c:pt>
                <c:pt idx="97">
                  <c:v>15.2423</c:v>
                </c:pt>
                <c:pt idx="98">
                  <c:v>15.4549</c:v>
                </c:pt>
                <c:pt idx="99">
                  <c:v>15.4762</c:v>
                </c:pt>
                <c:pt idx="100">
                  <c:v>15.348599999999999</c:v>
                </c:pt>
                <c:pt idx="101">
                  <c:v>14.8597</c:v>
                </c:pt>
                <c:pt idx="102">
                  <c:v>14.583299999999999</c:v>
                </c:pt>
                <c:pt idx="103">
                  <c:v>14.4558</c:v>
                </c:pt>
                <c:pt idx="104">
                  <c:v>14.9872</c:v>
                </c:pt>
                <c:pt idx="105">
                  <c:v>14.4983</c:v>
                </c:pt>
                <c:pt idx="106">
                  <c:v>14.349500000000001</c:v>
                </c:pt>
                <c:pt idx="107">
                  <c:v>13.0534</c:v>
                </c:pt>
                <c:pt idx="108">
                  <c:v>13.282400000000001</c:v>
                </c:pt>
                <c:pt idx="109">
                  <c:v>13.5305</c:v>
                </c:pt>
                <c:pt idx="110">
                  <c:v>13.3588</c:v>
                </c:pt>
                <c:pt idx="111">
                  <c:v>12.805300000000001</c:v>
                </c:pt>
                <c:pt idx="112">
                  <c:v>12.805300000000001</c:v>
                </c:pt>
                <c:pt idx="113">
                  <c:v>12.786300000000001</c:v>
                </c:pt>
                <c:pt idx="114">
                  <c:v>13.148899999999999</c:v>
                </c:pt>
                <c:pt idx="115">
                  <c:v>13.339700000000001</c:v>
                </c:pt>
                <c:pt idx="116">
                  <c:v>13.320600000000001</c:v>
                </c:pt>
                <c:pt idx="117">
                  <c:v>13.683199999999999</c:v>
                </c:pt>
                <c:pt idx="118">
                  <c:v>13.721399999999999</c:v>
                </c:pt>
                <c:pt idx="119">
                  <c:v>13.740500000000001</c:v>
                </c:pt>
                <c:pt idx="120">
                  <c:v>10.973599999999999</c:v>
                </c:pt>
                <c:pt idx="121">
                  <c:v>10.641500000000001</c:v>
                </c:pt>
                <c:pt idx="122">
                  <c:v>10.8528</c:v>
                </c:pt>
                <c:pt idx="123">
                  <c:v>10.717000000000001</c:v>
                </c:pt>
                <c:pt idx="124">
                  <c:v>10.7774</c:v>
                </c:pt>
                <c:pt idx="125">
                  <c:v>10.339600000000001</c:v>
                </c:pt>
                <c:pt idx="126">
                  <c:v>9.8112999999999992</c:v>
                </c:pt>
                <c:pt idx="127">
                  <c:v>9.7508999999999997</c:v>
                </c:pt>
                <c:pt idx="128">
                  <c:v>9.8717000000000006</c:v>
                </c:pt>
                <c:pt idx="129">
                  <c:v>9.6754999999999995</c:v>
                </c:pt>
                <c:pt idx="130">
                  <c:v>9.8867999999999991</c:v>
                </c:pt>
                <c:pt idx="131">
                  <c:v>9.9623000000000008</c:v>
                </c:pt>
                <c:pt idx="132">
                  <c:v>9.6453000000000007</c:v>
                </c:pt>
                <c:pt idx="133">
                  <c:v>7.7820999999999998</c:v>
                </c:pt>
                <c:pt idx="134">
                  <c:v>7.5834999999999999</c:v>
                </c:pt>
                <c:pt idx="135">
                  <c:v>7.4221000000000004</c:v>
                </c:pt>
                <c:pt idx="136">
                  <c:v>7.4842000000000004</c:v>
                </c:pt>
                <c:pt idx="137">
                  <c:v>7.5461999999999998</c:v>
                </c:pt>
                <c:pt idx="138">
                  <c:v>7.5834999999999999</c:v>
                </c:pt>
                <c:pt idx="139">
                  <c:v>7.72</c:v>
                </c:pt>
                <c:pt idx="140">
                  <c:v>7.8316999999999997</c:v>
                </c:pt>
                <c:pt idx="141">
                  <c:v>7.6703000000000001</c:v>
                </c:pt>
                <c:pt idx="142">
                  <c:v>7.8689</c:v>
                </c:pt>
                <c:pt idx="143">
                  <c:v>7.4965999999999999</c:v>
                </c:pt>
                <c:pt idx="144">
                  <c:v>7.5090000000000003</c:v>
                </c:pt>
                <c:pt idx="145">
                  <c:v>7.1738999999999997</c:v>
                </c:pt>
                <c:pt idx="146">
                  <c:v>9.1837999999999997</c:v>
                </c:pt>
                <c:pt idx="147">
                  <c:v>9.4109999999999996</c:v>
                </c:pt>
                <c:pt idx="148">
                  <c:v>9.8165999999999993</c:v>
                </c:pt>
                <c:pt idx="149">
                  <c:v>9.5570000000000004</c:v>
                </c:pt>
                <c:pt idx="150">
                  <c:v>10.092499999999999</c:v>
                </c:pt>
                <c:pt idx="151">
                  <c:v>9.8978000000000002</c:v>
                </c:pt>
                <c:pt idx="152">
                  <c:v>10.1736</c:v>
                </c:pt>
                <c:pt idx="153">
                  <c:v>10.06</c:v>
                </c:pt>
                <c:pt idx="154">
                  <c:v>9.6706000000000003</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8.9035072477228472E-2</c:v>
                </c:pt>
                <c:pt idx="1">
                  <c:v>8.9276308958484207E-2</c:v>
                </c:pt>
                <c:pt idx="2">
                  <c:v>8.6275175308482055E-2</c:v>
                </c:pt>
                <c:pt idx="3">
                  <c:v>7.6718966011578335E-2</c:v>
                </c:pt>
                <c:pt idx="4">
                  <c:v>7.7817253363357874E-2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9.8509846117933189E-2</c:v>
                </c:pt>
                <c:pt idx="1">
                  <c:v>0.10054662379592799</c:v>
                </c:pt>
                <c:pt idx="2">
                  <c:v>0.10676620707898493</c:v>
                </c:pt>
                <c:pt idx="3">
                  <c:v>0.11171738263257611</c:v>
                </c:pt>
                <c:pt idx="4">
                  <c:v>0.11473507632117097</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COGS Margin</c:v>
                </c:pt>
                <c:pt idx="1">
                  <c:v>SG&amp;A Margin</c:v>
                </c:pt>
                <c:pt idx="2">
                  <c:v>Capex Intensity</c:v>
                </c:pt>
                <c:pt idx="3">
                  <c:v>WACC</c:v>
                </c:pt>
                <c:pt idx="4">
                  <c:v>EBITDA Exit</c:v>
                </c:pt>
                <c:pt idx="5">
                  <c:v>Terminal g</c:v>
                </c:pt>
                <c:pt idx="6">
                  <c:v>Revenue Exit</c:v>
                </c:pt>
              </c:strCache>
            </c:strRef>
          </c:cat>
          <c:val>
            <c:numRef>
              <c:f>Sensitivity!$AJ$28:$AJ$34</c:f>
              <c:numCache>
                <c:formatCode>General</c:formatCode>
                <c:ptCount val="7"/>
                <c:pt idx="0">
                  <c:v>-1.2135361723977667E-2</c:v>
                </c:pt>
                <c:pt idx="1">
                  <c:v>-0.35984057152131754</c:v>
                </c:pt>
                <c:pt idx="2">
                  <c:v>-1.2750059628757242</c:v>
                </c:pt>
                <c:pt idx="3">
                  <c:v>-1.8745552328007378</c:v>
                </c:pt>
                <c:pt idx="4">
                  <c:v>-2.0590728193332453</c:v>
                </c:pt>
                <c:pt idx="5">
                  <c:v>-6.1399008443299223</c:v>
                </c:pt>
                <c:pt idx="6">
                  <c:v>-7.3950030903929331</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COGS Margin</c:v>
                </c:pt>
                <c:pt idx="1">
                  <c:v>SG&amp;A Margin</c:v>
                </c:pt>
                <c:pt idx="2">
                  <c:v>Capex Intensity</c:v>
                </c:pt>
                <c:pt idx="3">
                  <c:v>WACC</c:v>
                </c:pt>
                <c:pt idx="4">
                  <c:v>EBITDA Exit</c:v>
                </c:pt>
                <c:pt idx="5">
                  <c:v>Terminal g</c:v>
                </c:pt>
                <c:pt idx="6">
                  <c:v>Revenue Exit</c:v>
                </c:pt>
              </c:strCache>
            </c:strRef>
          </c:cat>
          <c:val>
            <c:numRef>
              <c:f>Sensitivity!$AK$28:$AK$34</c:f>
              <c:numCache>
                <c:formatCode>General</c:formatCode>
                <c:ptCount val="7"/>
                <c:pt idx="0">
                  <c:v>1.2195722712817769E-2</c:v>
                </c:pt>
                <c:pt idx="1">
                  <c:v>0.28439903897385932</c:v>
                </c:pt>
                <c:pt idx="2">
                  <c:v>1.2750059628757384</c:v>
                </c:pt>
                <c:pt idx="3">
                  <c:v>1.976350890753082</c:v>
                </c:pt>
                <c:pt idx="4">
                  <c:v>2.0590728193332595</c:v>
                </c:pt>
                <c:pt idx="5">
                  <c:v>3.4686457438383442</c:v>
                </c:pt>
                <c:pt idx="6">
                  <c:v>15.824874830858157</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ACMR US Equity</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Data'!$U$5:$U$159</c:f>
              <c:numCache>
                <c:formatCode>General</c:formatCode>
                <c:ptCount val="155"/>
                <c:pt idx="0">
                  <c:v>1.8710273466371026</c:v>
                </c:pt>
                <c:pt idx="1">
                  <c:v>1.8201034737620101</c:v>
                </c:pt>
                <c:pt idx="2">
                  <c:v>1.8201034737620101</c:v>
                </c:pt>
                <c:pt idx="3">
                  <c:v>1.7779748706577974</c:v>
                </c:pt>
                <c:pt idx="4">
                  <c:v>1.76260162601626</c:v>
                </c:pt>
                <c:pt idx="5">
                  <c:v>1.6546932742054692</c:v>
                </c:pt>
                <c:pt idx="6">
                  <c:v>1.6827790096082778</c:v>
                </c:pt>
                <c:pt idx="7">
                  <c:v>1.6579453067257943</c:v>
                </c:pt>
                <c:pt idx="8">
                  <c:v>1.6932742054693273</c:v>
                </c:pt>
                <c:pt idx="9">
                  <c:v>1.7062823355506282</c:v>
                </c:pt>
                <c:pt idx="10">
                  <c:v>1.6682926829268292</c:v>
                </c:pt>
                <c:pt idx="11">
                  <c:v>1.648780487804878</c:v>
                </c:pt>
                <c:pt idx="12">
                  <c:v>1.6712490761271248</c:v>
                </c:pt>
                <c:pt idx="13">
                  <c:v>1.6397634885439762</c:v>
                </c:pt>
                <c:pt idx="14">
                  <c:v>1.6125646711012565</c:v>
                </c:pt>
                <c:pt idx="15">
                  <c:v>1.6101995565410199</c:v>
                </c:pt>
                <c:pt idx="16">
                  <c:v>1.6101995565410199</c:v>
                </c:pt>
                <c:pt idx="17">
                  <c:v>1.5717664449371764</c:v>
                </c:pt>
                <c:pt idx="18">
                  <c:v>1.5104212860310422</c:v>
                </c:pt>
                <c:pt idx="19">
                  <c:v>1.4403547671840353</c:v>
                </c:pt>
                <c:pt idx="20">
                  <c:v>1.3636363636363635</c:v>
                </c:pt>
                <c:pt idx="21">
                  <c:v>1.3940872135994087</c:v>
                </c:pt>
                <c:pt idx="22">
                  <c:v>1.2910569105691057</c:v>
                </c:pt>
                <c:pt idx="23">
                  <c:v>1.3707317073170731</c:v>
                </c:pt>
                <c:pt idx="24">
                  <c:v>1.4164079822616407</c:v>
                </c:pt>
                <c:pt idx="25">
                  <c:v>1.4130081300813007</c:v>
                </c:pt>
                <c:pt idx="26">
                  <c:v>1.4192165558019216</c:v>
                </c:pt>
                <c:pt idx="27">
                  <c:v>1.4363636363636363</c:v>
                </c:pt>
                <c:pt idx="28">
                  <c:v>1.4144863266814485</c:v>
                </c:pt>
                <c:pt idx="29">
                  <c:v>1.5963045084996303</c:v>
                </c:pt>
                <c:pt idx="30">
                  <c:v>1.5963045084996303</c:v>
                </c:pt>
                <c:pt idx="31">
                  <c:v>1.5351071692535105</c:v>
                </c:pt>
                <c:pt idx="32">
                  <c:v>1.5770879526977086</c:v>
                </c:pt>
                <c:pt idx="33">
                  <c:v>1.6033998521803399</c:v>
                </c:pt>
                <c:pt idx="34">
                  <c:v>1.6033998521803399</c:v>
                </c:pt>
                <c:pt idx="35">
                  <c:v>1.5852180339985216</c:v>
                </c:pt>
                <c:pt idx="36">
                  <c:v>1.5824094604582408</c:v>
                </c:pt>
                <c:pt idx="37">
                  <c:v>1.5952697708795269</c:v>
                </c:pt>
                <c:pt idx="38">
                  <c:v>1.6362158167036214</c:v>
                </c:pt>
                <c:pt idx="39">
                  <c:v>1.6631189948263119</c:v>
                </c:pt>
                <c:pt idx="40">
                  <c:v>1.7138211382113819</c:v>
                </c:pt>
                <c:pt idx="41">
                  <c:v>1.7278640059127863</c:v>
                </c:pt>
                <c:pt idx="42">
                  <c:v>1.6131559497413155</c:v>
                </c:pt>
                <c:pt idx="43">
                  <c:v>1.649371766444937</c:v>
                </c:pt>
                <c:pt idx="44">
                  <c:v>1.5970436067997043</c:v>
                </c:pt>
                <c:pt idx="45">
                  <c:v>1.5658536585365854</c:v>
                </c:pt>
                <c:pt idx="46">
                  <c:v>1.5889135254988911</c:v>
                </c:pt>
                <c:pt idx="47">
                  <c:v>1.5722099039172208</c:v>
                </c:pt>
                <c:pt idx="48">
                  <c:v>1.5550628233555062</c:v>
                </c:pt>
                <c:pt idx="49">
                  <c:v>1.5265336289726532</c:v>
                </c:pt>
                <c:pt idx="50">
                  <c:v>1.5073170731707315</c:v>
                </c:pt>
                <c:pt idx="51">
                  <c:v>1.4546932742054692</c:v>
                </c:pt>
                <c:pt idx="52">
                  <c:v>1.3960088691796007</c:v>
                </c:pt>
                <c:pt idx="53">
                  <c:v>1.4719881744271988</c:v>
                </c:pt>
                <c:pt idx="54">
                  <c:v>1.4719881744271988</c:v>
                </c:pt>
                <c:pt idx="55">
                  <c:v>1.4430155210643014</c:v>
                </c:pt>
                <c:pt idx="56">
                  <c:v>1.4035476718403548</c:v>
                </c:pt>
                <c:pt idx="57">
                  <c:v>1.2807095343680708</c:v>
                </c:pt>
                <c:pt idx="58">
                  <c:v>1.3302291204730228</c:v>
                </c:pt>
                <c:pt idx="59">
                  <c:v>1.3334811529933479</c:v>
                </c:pt>
                <c:pt idx="60">
                  <c:v>1.2898743532889874</c:v>
                </c:pt>
                <c:pt idx="61">
                  <c:v>1.233111603843311</c:v>
                </c:pt>
                <c:pt idx="62">
                  <c:v>1.266518847006652</c:v>
                </c:pt>
                <c:pt idx="63">
                  <c:v>1.3466371027346635</c:v>
                </c:pt>
                <c:pt idx="64">
                  <c:v>1.3080561714708054</c:v>
                </c:pt>
                <c:pt idx="65">
                  <c:v>1.26770140428677</c:v>
                </c:pt>
                <c:pt idx="66">
                  <c:v>1.267110125646711</c:v>
                </c:pt>
                <c:pt idx="67">
                  <c:v>1.3240206947524018</c:v>
                </c:pt>
                <c:pt idx="68">
                  <c:v>1.3240206947524018</c:v>
                </c:pt>
                <c:pt idx="69">
                  <c:v>1.359940872135994</c:v>
                </c:pt>
                <c:pt idx="70">
                  <c:v>1.4233555062823355</c:v>
                </c:pt>
                <c:pt idx="71">
                  <c:v>1.3892091648189209</c:v>
                </c:pt>
                <c:pt idx="72">
                  <c:v>1.369549150036955</c:v>
                </c:pt>
                <c:pt idx="73">
                  <c:v>1.3849223946784921</c:v>
                </c:pt>
                <c:pt idx="74">
                  <c:v>1.4443458980044344</c:v>
                </c:pt>
                <c:pt idx="75">
                  <c:v>1.4447893569844787</c:v>
                </c:pt>
                <c:pt idx="76">
                  <c:v>1.4168514412416851</c:v>
                </c:pt>
                <c:pt idx="77">
                  <c:v>1.3538802660753879</c:v>
                </c:pt>
                <c:pt idx="78">
                  <c:v>1.350332594235033</c:v>
                </c:pt>
                <c:pt idx="79">
                  <c:v>1.3275683665927567</c:v>
                </c:pt>
                <c:pt idx="80">
                  <c:v>1.3225424981522542</c:v>
                </c:pt>
                <c:pt idx="81">
                  <c:v>1.3328898743532889</c:v>
                </c:pt>
                <c:pt idx="82">
                  <c:v>1.3328898743532889</c:v>
                </c:pt>
                <c:pt idx="83">
                  <c:v>1.3118994826311898</c:v>
                </c:pt>
                <c:pt idx="84">
                  <c:v>1.3247597930524759</c:v>
                </c:pt>
                <c:pt idx="85">
                  <c:v>1.3123429416112342</c:v>
                </c:pt>
                <c:pt idx="86">
                  <c:v>1.3164818920916481</c:v>
                </c:pt>
                <c:pt idx="87">
                  <c:v>1.3164818920916481</c:v>
                </c:pt>
                <c:pt idx="88">
                  <c:v>1.3733924611973392</c:v>
                </c:pt>
                <c:pt idx="89">
                  <c:v>1.3733924611973392</c:v>
                </c:pt>
                <c:pt idx="90">
                  <c:v>1.3733924611973392</c:v>
                </c:pt>
                <c:pt idx="91">
                  <c:v>1.3538802660753879</c:v>
                </c:pt>
                <c:pt idx="92">
                  <c:v>1.3392461197339245</c:v>
                </c:pt>
                <c:pt idx="93">
                  <c:v>1.3099778270509976</c:v>
                </c:pt>
                <c:pt idx="94">
                  <c:v>1.2839615668883961</c:v>
                </c:pt>
                <c:pt idx="95">
                  <c:v>1.1895048041389504</c:v>
                </c:pt>
                <c:pt idx="96">
                  <c:v>1.1662971175166297</c:v>
                </c:pt>
                <c:pt idx="97">
                  <c:v>1.1167775314116777</c:v>
                </c:pt>
                <c:pt idx="98">
                  <c:v>1.1337767923133777</c:v>
                </c:pt>
                <c:pt idx="99">
                  <c:v>1.2162601626016258</c:v>
                </c:pt>
                <c:pt idx="100">
                  <c:v>1.2206947524020693</c:v>
                </c:pt>
                <c:pt idx="101">
                  <c:v>1.1982261640798226</c:v>
                </c:pt>
                <c:pt idx="102">
                  <c:v>1.2118255728011824</c:v>
                </c:pt>
                <c:pt idx="103">
                  <c:v>1.2523281596452327</c:v>
                </c:pt>
                <c:pt idx="104">
                  <c:v>1.2606060606060605</c:v>
                </c:pt>
                <c:pt idx="105">
                  <c:v>1.3025868440502586</c:v>
                </c:pt>
                <c:pt idx="106">
                  <c:v>1.3025868440502586</c:v>
                </c:pt>
                <c:pt idx="107">
                  <c:v>1.2839615668883961</c:v>
                </c:pt>
                <c:pt idx="108">
                  <c:v>1.3283074648928306</c:v>
                </c:pt>
                <c:pt idx="109">
                  <c:v>1.2867701404286769</c:v>
                </c:pt>
                <c:pt idx="110">
                  <c:v>1.286031042128603</c:v>
                </c:pt>
                <c:pt idx="111">
                  <c:v>1.2987435328898742</c:v>
                </c:pt>
                <c:pt idx="112">
                  <c:v>1.2907612712490759</c:v>
                </c:pt>
                <c:pt idx="113">
                  <c:v>1.2784922394678491</c:v>
                </c:pt>
                <c:pt idx="114">
                  <c:v>1.267110125646711</c:v>
                </c:pt>
                <c:pt idx="115">
                  <c:v>1.2576496674057649</c:v>
                </c:pt>
                <c:pt idx="116">
                  <c:v>1.2557280118255727</c:v>
                </c:pt>
                <c:pt idx="117">
                  <c:v>1.2557280118255727</c:v>
                </c:pt>
                <c:pt idx="118">
                  <c:v>1.2110864745011087</c:v>
                </c:pt>
                <c:pt idx="119">
                  <c:v>1.1736881005173687</c:v>
                </c:pt>
                <c:pt idx="120">
                  <c:v>1.1736881005173687</c:v>
                </c:pt>
                <c:pt idx="121">
                  <c:v>1.1744271988174426</c:v>
                </c:pt>
                <c:pt idx="122">
                  <c:v>1.2195121951219512</c:v>
                </c:pt>
                <c:pt idx="123">
                  <c:v>1.2359201773835919</c:v>
                </c:pt>
                <c:pt idx="124">
                  <c:v>1.2254249815225424</c:v>
                </c:pt>
                <c:pt idx="125">
                  <c:v>1.2338507021433849</c:v>
                </c:pt>
                <c:pt idx="126">
                  <c:v>1.2022172949002217</c:v>
                </c:pt>
                <c:pt idx="127">
                  <c:v>1.2490761271249076</c:v>
                </c:pt>
                <c:pt idx="128">
                  <c:v>1.2078344419807832</c:v>
                </c:pt>
                <c:pt idx="129">
                  <c:v>1.2203991130820397</c:v>
                </c:pt>
                <c:pt idx="130">
                  <c:v>1.2375461936437544</c:v>
                </c:pt>
                <c:pt idx="131">
                  <c:v>1.3197339246119733</c:v>
                </c:pt>
                <c:pt idx="132">
                  <c:v>1.282631189948263</c:v>
                </c:pt>
                <c:pt idx="133">
                  <c:v>1.3340724316334072</c:v>
                </c:pt>
                <c:pt idx="134">
                  <c:v>1.3340724316334072</c:v>
                </c:pt>
                <c:pt idx="135">
                  <c:v>1.3043606799704359</c:v>
                </c:pt>
                <c:pt idx="136">
                  <c:v>1.2659275683665927</c:v>
                </c:pt>
                <c:pt idx="137">
                  <c:v>1.2728750923872874</c:v>
                </c:pt>
                <c:pt idx="138">
                  <c:v>1.2131559497413154</c:v>
                </c:pt>
                <c:pt idx="139">
                  <c:v>1.2131559497413154</c:v>
                </c:pt>
                <c:pt idx="140">
                  <c:v>1.2251293422025127</c:v>
                </c:pt>
                <c:pt idx="141">
                  <c:v>1.2251293422025127</c:v>
                </c:pt>
                <c:pt idx="142">
                  <c:v>1.2251293422025127</c:v>
                </c:pt>
                <c:pt idx="143">
                  <c:v>1.2444937176644493</c:v>
                </c:pt>
                <c:pt idx="144">
                  <c:v>1.2518847006651883</c:v>
                </c:pt>
                <c:pt idx="145">
                  <c:v>1.2193643754619363</c:v>
                </c:pt>
                <c:pt idx="146">
                  <c:v>1.2070953436807095</c:v>
                </c:pt>
                <c:pt idx="147">
                  <c:v>1.1560975609756097</c:v>
                </c:pt>
                <c:pt idx="148">
                  <c:v>1.132742054693274</c:v>
                </c:pt>
                <c:pt idx="149">
                  <c:v>1.1127864005912786</c:v>
                </c:pt>
                <c:pt idx="150">
                  <c:v>1.0628233555062823</c:v>
                </c:pt>
                <c:pt idx="151">
                  <c:v>1.0403547671840354</c:v>
                </c:pt>
                <c:pt idx="152">
                  <c:v>1.0638580931263857</c:v>
                </c:pt>
                <c:pt idx="153">
                  <c:v>1.0382852919438283</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ndx Index</c:v>
                </c:pt>
              </c:strCache>
            </c:strRef>
          </c:tx>
          <c:spPr>
            <a:ln w="28575"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Data'!$V$5:$V$159</c:f>
              <c:numCache>
                <c:formatCode>General</c:formatCode>
                <c:ptCount val="155"/>
                <c:pt idx="0">
                  <c:v>2.119135142627893</c:v>
                </c:pt>
                <c:pt idx="1">
                  <c:v>2.0815159972667763</c:v>
                </c:pt>
                <c:pt idx="2">
                  <c:v>2.0815159972667763</c:v>
                </c:pt>
                <c:pt idx="3">
                  <c:v>2.1071199766129882</c:v>
                </c:pt>
                <c:pt idx="4">
                  <c:v>2.0904922734894185</c:v>
                </c:pt>
                <c:pt idx="5">
                  <c:v>2.0604570241449567</c:v>
                </c:pt>
                <c:pt idx="6">
                  <c:v>2.0753546926411772</c:v>
                </c:pt>
                <c:pt idx="7">
                  <c:v>2.0596973016968914</c:v>
                </c:pt>
                <c:pt idx="8">
                  <c:v>2.0308696111909339</c:v>
                </c:pt>
                <c:pt idx="9">
                  <c:v>2.015758687270695</c:v>
                </c:pt>
                <c:pt idx="10">
                  <c:v>2.0151757891117108</c:v>
                </c:pt>
                <c:pt idx="11">
                  <c:v>1.942075384015262</c:v>
                </c:pt>
                <c:pt idx="12">
                  <c:v>1.9492940801182856</c:v>
                </c:pt>
                <c:pt idx="13">
                  <c:v>1.9368808373118795</c:v>
                </c:pt>
                <c:pt idx="14">
                  <c:v>1.9096801079783297</c:v>
                </c:pt>
                <c:pt idx="15">
                  <c:v>1.9057082257059863</c:v>
                </c:pt>
                <c:pt idx="16">
                  <c:v>1.9057082257059863</c:v>
                </c:pt>
                <c:pt idx="17">
                  <c:v>1.8542692403042089</c:v>
                </c:pt>
                <c:pt idx="18">
                  <c:v>1.7742797964476975</c:v>
                </c:pt>
                <c:pt idx="19">
                  <c:v>1.7262395693662138</c:v>
                </c:pt>
                <c:pt idx="20">
                  <c:v>1.5823819031447177</c:v>
                </c:pt>
                <c:pt idx="21">
                  <c:v>1.6701471728995008</c:v>
                </c:pt>
                <c:pt idx="22">
                  <c:v>1.5488279393039519</c:v>
                </c:pt>
                <c:pt idx="23">
                  <c:v>1.7130141788200044</c:v>
                </c:pt>
                <c:pt idx="24">
                  <c:v>1.7931626756802626</c:v>
                </c:pt>
                <c:pt idx="25">
                  <c:v>1.7604448508145025</c:v>
                </c:pt>
                <c:pt idx="26">
                  <c:v>1.7265647838878417</c:v>
                </c:pt>
                <c:pt idx="27">
                  <c:v>1.8149440515509445</c:v>
                </c:pt>
                <c:pt idx="28">
                  <c:v>1.8972695308647241</c:v>
                </c:pt>
                <c:pt idx="29">
                  <c:v>1.9332252839184971</c:v>
                </c:pt>
                <c:pt idx="30">
                  <c:v>1.9332252839184971</c:v>
                </c:pt>
                <c:pt idx="31">
                  <c:v>1.8924268556109725</c:v>
                </c:pt>
                <c:pt idx="32">
                  <c:v>1.8772946061483313</c:v>
                </c:pt>
                <c:pt idx="33">
                  <c:v>1.8468559486267684</c:v>
                </c:pt>
                <c:pt idx="34">
                  <c:v>1.8468559486267684</c:v>
                </c:pt>
                <c:pt idx="35">
                  <c:v>1.9157001308855164</c:v>
                </c:pt>
                <c:pt idx="36">
                  <c:v>1.8834976732944675</c:v>
                </c:pt>
                <c:pt idx="37">
                  <c:v>1.9106948483709505</c:v>
                </c:pt>
                <c:pt idx="38">
                  <c:v>1.963430249037907</c:v>
                </c:pt>
                <c:pt idx="39">
                  <c:v>1.9051546501678052</c:v>
                </c:pt>
                <c:pt idx="40">
                  <c:v>1.8806107279918178</c:v>
                </c:pt>
                <c:pt idx="41">
                  <c:v>1.8486481827527896</c:v>
                </c:pt>
                <c:pt idx="42">
                  <c:v>1.8250390301854165</c:v>
                </c:pt>
                <c:pt idx="43">
                  <c:v>1.8754561666804392</c:v>
                </c:pt>
                <c:pt idx="44">
                  <c:v>1.773894159555931</c:v>
                </c:pt>
                <c:pt idx="45">
                  <c:v>1.808323359199439</c:v>
                </c:pt>
                <c:pt idx="46">
                  <c:v>1.8092474660368523</c:v>
                </c:pt>
                <c:pt idx="47">
                  <c:v>1.8161409476182477</c:v>
                </c:pt>
                <c:pt idx="48">
                  <c:v>1.7594230019077475</c:v>
                </c:pt>
                <c:pt idx="49">
                  <c:v>1.782521230021743</c:v>
                </c:pt>
                <c:pt idx="50">
                  <c:v>1.7639955536244092</c:v>
                </c:pt>
                <c:pt idx="51">
                  <c:v>1.7258637066813813</c:v>
                </c:pt>
                <c:pt idx="52">
                  <c:v>1.6581302297560623</c:v>
                </c:pt>
                <c:pt idx="53">
                  <c:v>1.7341611198042313</c:v>
                </c:pt>
                <c:pt idx="54">
                  <c:v>1.7341611198042313</c:v>
                </c:pt>
                <c:pt idx="55">
                  <c:v>1.7563796692941513</c:v>
                </c:pt>
                <c:pt idx="56">
                  <c:v>1.6475785290884839</c:v>
                </c:pt>
                <c:pt idx="57">
                  <c:v>1.5900990838013846</c:v>
                </c:pt>
                <c:pt idx="58">
                  <c:v>1.6935581756353901</c:v>
                </c:pt>
                <c:pt idx="59">
                  <c:v>1.7613893946300505</c:v>
                </c:pt>
                <c:pt idx="60">
                  <c:v>1.8115053078386474</c:v>
                </c:pt>
                <c:pt idx="61">
                  <c:v>1.8161844872673183</c:v>
                </c:pt>
                <c:pt idx="62">
                  <c:v>1.7604430736859689</c:v>
                </c:pt>
                <c:pt idx="63">
                  <c:v>1.7304451440407103</c:v>
                </c:pt>
                <c:pt idx="64">
                  <c:v>1.7684872459927972</c:v>
                </c:pt>
                <c:pt idx="65">
                  <c:v>1.6949070161923063</c:v>
                </c:pt>
                <c:pt idx="66">
                  <c:v>1.6528157268766699</c:v>
                </c:pt>
                <c:pt idx="67">
                  <c:v>1.6593217944377652</c:v>
                </c:pt>
                <c:pt idx="68">
                  <c:v>1.6593217944377652</c:v>
                </c:pt>
                <c:pt idx="69">
                  <c:v>1.6170634550399809</c:v>
                </c:pt>
                <c:pt idx="70">
                  <c:v>1.6077299759821078</c:v>
                </c:pt>
                <c:pt idx="71">
                  <c:v>1.580108955750388</c:v>
                </c:pt>
                <c:pt idx="72">
                  <c:v>1.5292981852851979</c:v>
                </c:pt>
                <c:pt idx="73">
                  <c:v>1.5733656415300723</c:v>
                </c:pt>
                <c:pt idx="74">
                  <c:v>1.6083182055266918</c:v>
                </c:pt>
                <c:pt idx="75">
                  <c:v>1.6254683844391071</c:v>
                </c:pt>
                <c:pt idx="76">
                  <c:v>1.6240342417125833</c:v>
                </c:pt>
                <c:pt idx="77">
                  <c:v>1.598083722302341</c:v>
                </c:pt>
                <c:pt idx="78">
                  <c:v>1.5951230261655518</c:v>
                </c:pt>
                <c:pt idx="79">
                  <c:v>1.6195398836513948</c:v>
                </c:pt>
                <c:pt idx="80">
                  <c:v>1.5934916221718112</c:v>
                </c:pt>
                <c:pt idx="81">
                  <c:v>1.5889892670322219</c:v>
                </c:pt>
                <c:pt idx="82">
                  <c:v>1.5889892670322219</c:v>
                </c:pt>
                <c:pt idx="83">
                  <c:v>1.5650317972722854</c:v>
                </c:pt>
                <c:pt idx="84">
                  <c:v>1.5635416749969566</c:v>
                </c:pt>
                <c:pt idx="85">
                  <c:v>1.5399156397085154</c:v>
                </c:pt>
                <c:pt idx="86">
                  <c:v>1.4794488413566245</c:v>
                </c:pt>
                <c:pt idx="87">
                  <c:v>1.4794488413566245</c:v>
                </c:pt>
                <c:pt idx="88">
                  <c:v>1.4865502469764378</c:v>
                </c:pt>
                <c:pt idx="89">
                  <c:v>1.4865502469764378</c:v>
                </c:pt>
                <c:pt idx="90">
                  <c:v>1.4865502469764378</c:v>
                </c:pt>
                <c:pt idx="91">
                  <c:v>1.4414049622760039</c:v>
                </c:pt>
                <c:pt idx="92">
                  <c:v>1.4074564759008041</c:v>
                </c:pt>
                <c:pt idx="93">
                  <c:v>1.4183245054473432</c:v>
                </c:pt>
                <c:pt idx="94">
                  <c:v>1.4241072816953093</c:v>
                </c:pt>
                <c:pt idx="95">
                  <c:v>1.3757453943492643</c:v>
                </c:pt>
                <c:pt idx="96">
                  <c:v>1.3466129262998139</c:v>
                </c:pt>
                <c:pt idx="97">
                  <c:v>1.2738021931543231</c:v>
                </c:pt>
                <c:pt idx="98">
                  <c:v>1.297734783114791</c:v>
                </c:pt>
                <c:pt idx="99">
                  <c:v>1.3481945706946172</c:v>
                </c:pt>
                <c:pt idx="100">
                  <c:v>1.3370359806328531</c:v>
                </c:pt>
                <c:pt idx="101">
                  <c:v>1.3184134507304441</c:v>
                </c:pt>
                <c:pt idx="102">
                  <c:v>1.3123116799107171</c:v>
                </c:pt>
                <c:pt idx="103">
                  <c:v>1.3528719729947547</c:v>
                </c:pt>
                <c:pt idx="104">
                  <c:v>1.3738865179032371</c:v>
                </c:pt>
                <c:pt idx="105">
                  <c:v>1.3375078082584939</c:v>
                </c:pt>
                <c:pt idx="106">
                  <c:v>1.3375078082584939</c:v>
                </c:pt>
                <c:pt idx="107">
                  <c:v>1.3272208997424051</c:v>
                </c:pt>
                <c:pt idx="108">
                  <c:v>1.3511143928751361</c:v>
                </c:pt>
                <c:pt idx="109">
                  <c:v>1.369086493734289</c:v>
                </c:pt>
                <c:pt idx="110">
                  <c:v>1.4001107151076362</c:v>
                </c:pt>
                <c:pt idx="111">
                  <c:v>1.3726558563937974</c:v>
                </c:pt>
                <c:pt idx="112">
                  <c:v>1.3962259121334339</c:v>
                </c:pt>
                <c:pt idx="113">
                  <c:v>1.3369018074285748</c:v>
                </c:pt>
                <c:pt idx="114">
                  <c:v>1.3513898477978268</c:v>
                </c:pt>
                <c:pt idx="115">
                  <c:v>1.3052138285479704</c:v>
                </c:pt>
                <c:pt idx="116">
                  <c:v>1.3136800688815018</c:v>
                </c:pt>
                <c:pt idx="117">
                  <c:v>1.3136800688815018</c:v>
                </c:pt>
                <c:pt idx="118">
                  <c:v>1.2934385748850863</c:v>
                </c:pt>
                <c:pt idx="119">
                  <c:v>1.230638406768727</c:v>
                </c:pt>
                <c:pt idx="120">
                  <c:v>1.230638406768727</c:v>
                </c:pt>
                <c:pt idx="121">
                  <c:v>1.191876567760578</c:v>
                </c:pt>
                <c:pt idx="122">
                  <c:v>1.1810476350417758</c:v>
                </c:pt>
                <c:pt idx="123">
                  <c:v>1.1757011438487805</c:v>
                </c:pt>
                <c:pt idx="124">
                  <c:v>1.1524465284238381</c:v>
                </c:pt>
                <c:pt idx="125">
                  <c:v>1.1629271439500768</c:v>
                </c:pt>
                <c:pt idx="126">
                  <c:v>1.1596856615049966</c:v>
                </c:pt>
                <c:pt idx="127">
                  <c:v>1.1683153976636091</c:v>
                </c:pt>
                <c:pt idx="128">
                  <c:v>1.1260837151938268</c:v>
                </c:pt>
                <c:pt idx="129">
                  <c:v>1.116268634303379</c:v>
                </c:pt>
                <c:pt idx="130">
                  <c:v>1.0594502808307364</c:v>
                </c:pt>
                <c:pt idx="131">
                  <c:v>1.0931544120325818</c:v>
                </c:pt>
                <c:pt idx="132">
                  <c:v>1.0714121329896367</c:v>
                </c:pt>
                <c:pt idx="133">
                  <c:v>1.1109105917749158</c:v>
                </c:pt>
                <c:pt idx="134">
                  <c:v>1.1109105917749158</c:v>
                </c:pt>
                <c:pt idx="135">
                  <c:v>1.1075518188466258</c:v>
                </c:pt>
                <c:pt idx="136">
                  <c:v>1.0584924085511869</c:v>
                </c:pt>
                <c:pt idx="137">
                  <c:v>1.0549514799482145</c:v>
                </c:pt>
                <c:pt idx="138">
                  <c:v>0.98705717289061512</c:v>
                </c:pt>
                <c:pt idx="139">
                  <c:v>0.98705717289061512</c:v>
                </c:pt>
                <c:pt idx="140">
                  <c:v>0.98493705855016522</c:v>
                </c:pt>
                <c:pt idx="141">
                  <c:v>0.98493705855016522</c:v>
                </c:pt>
                <c:pt idx="142">
                  <c:v>0.98493705855016522</c:v>
                </c:pt>
                <c:pt idx="143">
                  <c:v>1.040192427477606</c:v>
                </c:pt>
                <c:pt idx="144">
                  <c:v>1.0473329299251561</c:v>
                </c:pt>
                <c:pt idx="145">
                  <c:v>1.0296460581956279</c:v>
                </c:pt>
                <c:pt idx="146">
                  <c:v>1.0265982827606981</c:v>
                </c:pt>
                <c:pt idx="147">
                  <c:v>1.0397037171308972</c:v>
                </c:pt>
                <c:pt idx="148">
                  <c:v>0.97537699560427249</c:v>
                </c:pt>
                <c:pt idx="149">
                  <c:v>1.0134581943840961</c:v>
                </c:pt>
                <c:pt idx="150">
                  <c:v>1.0156520595586855</c:v>
                </c:pt>
                <c:pt idx="151">
                  <c:v>0.98297688577772924</c:v>
                </c:pt>
                <c:pt idx="152">
                  <c:v>0.97093150857775501</c:v>
                </c:pt>
                <c:pt idx="153">
                  <c:v>0.99783368031767938</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Sox index</c:v>
                </c:pt>
              </c:strCache>
            </c:strRef>
          </c:tx>
          <c:spPr>
            <a:ln w="28575" cap="rnd">
              <a:solidFill>
                <a:schemeClr val="accent5"/>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Data'!$W$5:$W$159</c:f>
              <c:numCache>
                <c:formatCode>General</c:formatCode>
                <c:ptCount val="155"/>
                <c:pt idx="0">
                  <c:v>2.4572511255691047</c:v>
                </c:pt>
                <c:pt idx="1">
                  <c:v>2.4252721547306768</c:v>
                </c:pt>
                <c:pt idx="2">
                  <c:v>2.4252721547306768</c:v>
                </c:pt>
                <c:pt idx="3">
                  <c:v>2.4337037058883508</c:v>
                </c:pt>
                <c:pt idx="4">
                  <c:v>2.3890677178438624</c:v>
                </c:pt>
                <c:pt idx="5">
                  <c:v>2.3697032104104294</c:v>
                </c:pt>
                <c:pt idx="6">
                  <c:v>2.4171835619301056</c:v>
                </c:pt>
                <c:pt idx="7">
                  <c:v>2.4181614567050889</c:v>
                </c:pt>
                <c:pt idx="8">
                  <c:v>2.379102123224011</c:v>
                </c:pt>
                <c:pt idx="9">
                  <c:v>2.3346451982038086</c:v>
                </c:pt>
                <c:pt idx="10">
                  <c:v>2.3368963364126558</c:v>
                </c:pt>
                <c:pt idx="11">
                  <c:v>2.2095542973861853</c:v>
                </c:pt>
                <c:pt idx="12">
                  <c:v>2.2192426603119655</c:v>
                </c:pt>
                <c:pt idx="13">
                  <c:v>2.1642024785693161</c:v>
                </c:pt>
                <c:pt idx="14">
                  <c:v>2.0361719948800614</c:v>
                </c:pt>
                <c:pt idx="15">
                  <c:v>2.0635269264442804</c:v>
                </c:pt>
                <c:pt idx="16">
                  <c:v>2.0635269264442804</c:v>
                </c:pt>
                <c:pt idx="17">
                  <c:v>2.0143246206181171</c:v>
                </c:pt>
                <c:pt idx="18">
                  <c:v>1.8353648208990567</c:v>
                </c:pt>
                <c:pt idx="19">
                  <c:v>1.7845699074686556</c:v>
                </c:pt>
                <c:pt idx="20">
                  <c:v>1.580774276943508</c:v>
                </c:pt>
                <c:pt idx="21">
                  <c:v>1.6866569818147807</c:v>
                </c:pt>
                <c:pt idx="22">
                  <c:v>1.5567722478434491</c:v>
                </c:pt>
                <c:pt idx="23">
                  <c:v>1.7992358011448237</c:v>
                </c:pt>
                <c:pt idx="24">
                  <c:v>1.9777919717409054</c:v>
                </c:pt>
                <c:pt idx="25">
                  <c:v>1.9650464763346094</c:v>
                </c:pt>
                <c:pt idx="26">
                  <c:v>1.8559735003577049</c:v>
                </c:pt>
                <c:pt idx="27">
                  <c:v>1.927717523655279</c:v>
                </c:pt>
                <c:pt idx="28">
                  <c:v>2.1081153047905468</c:v>
                </c:pt>
                <c:pt idx="29">
                  <c:v>2.1414534693144964</c:v>
                </c:pt>
                <c:pt idx="30">
                  <c:v>2.1414534693144964</c:v>
                </c:pt>
                <c:pt idx="31">
                  <c:v>2.0749435635479929</c:v>
                </c:pt>
                <c:pt idx="32">
                  <c:v>2.0447918782068082</c:v>
                </c:pt>
                <c:pt idx="33">
                  <c:v>2.1150680060300004</c:v>
                </c:pt>
                <c:pt idx="34">
                  <c:v>2.1150680060300004</c:v>
                </c:pt>
                <c:pt idx="35">
                  <c:v>2.2372947411085731</c:v>
                </c:pt>
                <c:pt idx="36">
                  <c:v>2.1177914492981995</c:v>
                </c:pt>
                <c:pt idx="37">
                  <c:v>2.1566548667644705</c:v>
                </c:pt>
                <c:pt idx="38">
                  <c:v>2.2145086552746069</c:v>
                </c:pt>
                <c:pt idx="39">
                  <c:v>2.1145615736648429</c:v>
                </c:pt>
                <c:pt idx="40">
                  <c:v>2.1299306583705016</c:v>
                </c:pt>
                <c:pt idx="41">
                  <c:v>2.1015350546416083</c:v>
                </c:pt>
                <c:pt idx="42">
                  <c:v>2.059760283062829</c:v>
                </c:pt>
                <c:pt idx="43">
                  <c:v>2.1725156374685799</c:v>
                </c:pt>
                <c:pt idx="44">
                  <c:v>2.0956672646669472</c:v>
                </c:pt>
                <c:pt idx="45">
                  <c:v>2.1958039424200728</c:v>
                </c:pt>
                <c:pt idx="46">
                  <c:v>2.1972988026792883</c:v>
                </c:pt>
                <c:pt idx="47">
                  <c:v>2.2887262762559062</c:v>
                </c:pt>
                <c:pt idx="48">
                  <c:v>2.1895413711424556</c:v>
                </c:pt>
                <c:pt idx="49">
                  <c:v>2.1795365933196429</c:v>
                </c:pt>
                <c:pt idx="50">
                  <c:v>2.1174986285878963</c:v>
                </c:pt>
                <c:pt idx="51">
                  <c:v>2.0688912333271259</c:v>
                </c:pt>
                <c:pt idx="52">
                  <c:v>1.9489556623098878</c:v>
                </c:pt>
                <c:pt idx="53">
                  <c:v>2.1476385168357162</c:v>
                </c:pt>
                <c:pt idx="54">
                  <c:v>2.1476385168357162</c:v>
                </c:pt>
                <c:pt idx="55">
                  <c:v>2.2189350932349567</c:v>
                </c:pt>
                <c:pt idx="56">
                  <c:v>1.9986905226365155</c:v>
                </c:pt>
                <c:pt idx="57">
                  <c:v>1.9041562002573451</c:v>
                </c:pt>
                <c:pt idx="58">
                  <c:v>2.1435411335152899</c:v>
                </c:pt>
                <c:pt idx="59">
                  <c:v>2.307945426646095</c:v>
                </c:pt>
                <c:pt idx="60">
                  <c:v>2.4342910326080092</c:v>
                </c:pt>
                <c:pt idx="61">
                  <c:v>2.4290236304206592</c:v>
                </c:pt>
                <c:pt idx="62">
                  <c:v>2.3076572405081852</c:v>
                </c:pt>
                <c:pt idx="63">
                  <c:v>2.2631531271145238</c:v>
                </c:pt>
                <c:pt idx="64">
                  <c:v>2.3965365419180222</c:v>
                </c:pt>
                <c:pt idx="65">
                  <c:v>2.2593119092500165</c:v>
                </c:pt>
                <c:pt idx="66">
                  <c:v>2.1708813187128024</c:v>
                </c:pt>
                <c:pt idx="67">
                  <c:v>2.1446913501183502</c:v>
                </c:pt>
                <c:pt idx="68">
                  <c:v>2.1446913501183502</c:v>
                </c:pt>
                <c:pt idx="69">
                  <c:v>2.0320864086529995</c:v>
                </c:pt>
                <c:pt idx="70">
                  <c:v>2.0309736899538482</c:v>
                </c:pt>
                <c:pt idx="71">
                  <c:v>2.0079470276801943</c:v>
                </c:pt>
                <c:pt idx="72">
                  <c:v>1.8462101416241061</c:v>
                </c:pt>
                <c:pt idx="73">
                  <c:v>1.971419434700139</c:v>
                </c:pt>
                <c:pt idx="74">
                  <c:v>2.0330558769327221</c:v>
                </c:pt>
                <c:pt idx="75">
                  <c:v>2.0906564492602802</c:v>
                </c:pt>
                <c:pt idx="76">
                  <c:v>2.0609067077430225</c:v>
                </c:pt>
                <c:pt idx="77">
                  <c:v>2.0044959565462492</c:v>
                </c:pt>
                <c:pt idx="78">
                  <c:v>2.0603640414482447</c:v>
                </c:pt>
                <c:pt idx="79">
                  <c:v>2.0990256443530266</c:v>
                </c:pt>
                <c:pt idx="80">
                  <c:v>1.9648341286540443</c:v>
                </c:pt>
                <c:pt idx="81">
                  <c:v>1.9212573510638029</c:v>
                </c:pt>
                <c:pt idx="82">
                  <c:v>1.9212573510638029</c:v>
                </c:pt>
                <c:pt idx="83">
                  <c:v>1.8488135073348426</c:v>
                </c:pt>
                <c:pt idx="84">
                  <c:v>1.8488889244674243</c:v>
                </c:pt>
                <c:pt idx="85">
                  <c:v>1.8481844694636453</c:v>
                </c:pt>
                <c:pt idx="86">
                  <c:v>1.7116225806478795</c:v>
                </c:pt>
                <c:pt idx="87">
                  <c:v>1.7116225806478795</c:v>
                </c:pt>
                <c:pt idx="88">
                  <c:v>1.7290275066084788</c:v>
                </c:pt>
                <c:pt idx="89">
                  <c:v>1.7290275066084788</c:v>
                </c:pt>
                <c:pt idx="90">
                  <c:v>1.7290275066084788</c:v>
                </c:pt>
                <c:pt idx="91">
                  <c:v>1.6441714353607764</c:v>
                </c:pt>
                <c:pt idx="92">
                  <c:v>1.5561394180493844</c:v>
                </c:pt>
                <c:pt idx="93">
                  <c:v>1.5754643209550927</c:v>
                </c:pt>
                <c:pt idx="94">
                  <c:v>1.603479889747736</c:v>
                </c:pt>
                <c:pt idx="95">
                  <c:v>1.4985447442685087</c:v>
                </c:pt>
                <c:pt idx="96">
                  <c:v>1.4514187268745371</c:v>
                </c:pt>
                <c:pt idx="97">
                  <c:v>1.3419956300195579</c:v>
                </c:pt>
                <c:pt idx="98">
                  <c:v>1.3897574264809356</c:v>
                </c:pt>
                <c:pt idx="99">
                  <c:v>1.4756950383953258</c:v>
                </c:pt>
                <c:pt idx="100">
                  <c:v>1.4608812597273355</c:v>
                </c:pt>
                <c:pt idx="101">
                  <c:v>1.4530871729361197</c:v>
                </c:pt>
                <c:pt idx="102">
                  <c:v>1.4280646952600122</c:v>
                </c:pt>
                <c:pt idx="103">
                  <c:v>1.4714632524754936</c:v>
                </c:pt>
                <c:pt idx="104">
                  <c:v>1.5038049839348868</c:v>
                </c:pt>
                <c:pt idx="105">
                  <c:v>1.490591818041632</c:v>
                </c:pt>
                <c:pt idx="106">
                  <c:v>1.490591818041632</c:v>
                </c:pt>
                <c:pt idx="107">
                  <c:v>1.5002292006710862</c:v>
                </c:pt>
                <c:pt idx="108">
                  <c:v>1.5232786144819432</c:v>
                </c:pt>
                <c:pt idx="109">
                  <c:v>1.5755051894571062</c:v>
                </c:pt>
                <c:pt idx="110">
                  <c:v>1.6270007659684191</c:v>
                </c:pt>
                <c:pt idx="111">
                  <c:v>1.5556662703405062</c:v>
                </c:pt>
                <c:pt idx="112">
                  <c:v>1.6167549903811558</c:v>
                </c:pt>
                <c:pt idx="113">
                  <c:v>1.5385095046653292</c:v>
                </c:pt>
                <c:pt idx="114">
                  <c:v>1.5604255548636468</c:v>
                </c:pt>
                <c:pt idx="115">
                  <c:v>1.4812818047530489</c:v>
                </c:pt>
                <c:pt idx="116">
                  <c:v>1.5343232218199041</c:v>
                </c:pt>
                <c:pt idx="117">
                  <c:v>1.5343232218199041</c:v>
                </c:pt>
                <c:pt idx="118">
                  <c:v>1.4510913575336659</c:v>
                </c:pt>
                <c:pt idx="119">
                  <c:v>1.3545742808196959</c:v>
                </c:pt>
                <c:pt idx="120">
                  <c:v>1.3545742808196959</c:v>
                </c:pt>
                <c:pt idx="121">
                  <c:v>1.2861545099023959</c:v>
                </c:pt>
                <c:pt idx="122">
                  <c:v>1.2742584052183601</c:v>
                </c:pt>
                <c:pt idx="123">
                  <c:v>1.2720173788038254</c:v>
                </c:pt>
                <c:pt idx="124">
                  <c:v>1.2671392806975117</c:v>
                </c:pt>
                <c:pt idx="125">
                  <c:v>1.2920678029514643</c:v>
                </c:pt>
                <c:pt idx="126">
                  <c:v>1.317470315563821</c:v>
                </c:pt>
                <c:pt idx="127">
                  <c:v>1.3484191473566507</c:v>
                </c:pt>
                <c:pt idx="128">
                  <c:v>1.2991865061475496</c:v>
                </c:pt>
                <c:pt idx="129">
                  <c:v>1.3123057166186498</c:v>
                </c:pt>
                <c:pt idx="130">
                  <c:v>1.2309866667565492</c:v>
                </c:pt>
                <c:pt idx="131">
                  <c:v>1.2616957647592173</c:v>
                </c:pt>
                <c:pt idx="132">
                  <c:v>1.2434165899153391</c:v>
                </c:pt>
                <c:pt idx="133">
                  <c:v>1.2881242031695419</c:v>
                </c:pt>
                <c:pt idx="134">
                  <c:v>1.2881242031695419</c:v>
                </c:pt>
                <c:pt idx="135">
                  <c:v>1.2765053301795772</c:v>
                </c:pt>
                <c:pt idx="136">
                  <c:v>1.2078062209443909</c:v>
                </c:pt>
                <c:pt idx="137">
                  <c:v>1.2365169755960272</c:v>
                </c:pt>
                <c:pt idx="138">
                  <c:v>1.1319951497093281</c:v>
                </c:pt>
                <c:pt idx="139">
                  <c:v>1.1319951497093281</c:v>
                </c:pt>
                <c:pt idx="140">
                  <c:v>1.0953849770757196</c:v>
                </c:pt>
                <c:pt idx="141">
                  <c:v>1.0953849770757196</c:v>
                </c:pt>
                <c:pt idx="142">
                  <c:v>1.0953849770757196</c:v>
                </c:pt>
                <c:pt idx="143">
                  <c:v>1.1709483093501236</c:v>
                </c:pt>
                <c:pt idx="144">
                  <c:v>1.1536070034287409</c:v>
                </c:pt>
                <c:pt idx="145">
                  <c:v>1.1286350847241966</c:v>
                </c:pt>
                <c:pt idx="146">
                  <c:v>1.1273934406475594</c:v>
                </c:pt>
                <c:pt idx="147">
                  <c:v>1.1493962837470602</c:v>
                </c:pt>
                <c:pt idx="148">
                  <c:v>1.0325073120912625</c:v>
                </c:pt>
                <c:pt idx="149">
                  <c:v>1.0046295164961285</c:v>
                </c:pt>
                <c:pt idx="150">
                  <c:v>0.99076498251923562</c:v>
                </c:pt>
                <c:pt idx="151">
                  <c:v>0.93182628274430723</c:v>
                </c:pt>
                <c:pt idx="152">
                  <c:v>0.958658771602374</c:v>
                </c:pt>
                <c:pt idx="153">
                  <c:v>1.0083637178708269</c:v>
                </c:pt>
                <c:pt idx="154">
                  <c:v>1</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Data'!$AF$5:$AF$159</c:f>
              <c:numCache>
                <c:formatCode>General</c:formatCode>
                <c:ptCount val="155"/>
                <c:pt idx="0">
                  <c:v>1.8710273466371026</c:v>
                </c:pt>
                <c:pt idx="1">
                  <c:v>1.8201034737620101</c:v>
                </c:pt>
                <c:pt idx="2">
                  <c:v>1.8201034737620101</c:v>
                </c:pt>
                <c:pt idx="3">
                  <c:v>1.7779748706577974</c:v>
                </c:pt>
                <c:pt idx="4">
                  <c:v>1.76260162601626</c:v>
                </c:pt>
                <c:pt idx="5">
                  <c:v>1.6546932742054692</c:v>
                </c:pt>
                <c:pt idx="6">
                  <c:v>1.6827790096082778</c:v>
                </c:pt>
                <c:pt idx="7">
                  <c:v>1.6579453067257943</c:v>
                </c:pt>
                <c:pt idx="8">
                  <c:v>1.6932742054693273</c:v>
                </c:pt>
                <c:pt idx="9">
                  <c:v>1.7062823355506282</c:v>
                </c:pt>
                <c:pt idx="10">
                  <c:v>1.6682926829268292</c:v>
                </c:pt>
                <c:pt idx="11">
                  <c:v>1.648780487804878</c:v>
                </c:pt>
                <c:pt idx="12">
                  <c:v>1.6712490761271248</c:v>
                </c:pt>
                <c:pt idx="13">
                  <c:v>1.6397634885439762</c:v>
                </c:pt>
                <c:pt idx="14">
                  <c:v>1.6125646711012565</c:v>
                </c:pt>
                <c:pt idx="15">
                  <c:v>1.6101995565410199</c:v>
                </c:pt>
                <c:pt idx="16">
                  <c:v>1.6101995565410199</c:v>
                </c:pt>
                <c:pt idx="17">
                  <c:v>1.5717664449371764</c:v>
                </c:pt>
                <c:pt idx="18">
                  <c:v>1.5104212860310422</c:v>
                </c:pt>
                <c:pt idx="19">
                  <c:v>1.4403547671840353</c:v>
                </c:pt>
                <c:pt idx="20">
                  <c:v>1.3636363636363635</c:v>
                </c:pt>
                <c:pt idx="21">
                  <c:v>1.3940872135994087</c:v>
                </c:pt>
                <c:pt idx="22">
                  <c:v>1.2910569105691057</c:v>
                </c:pt>
                <c:pt idx="23">
                  <c:v>1.3707317073170731</c:v>
                </c:pt>
                <c:pt idx="24">
                  <c:v>1.4164079822616407</c:v>
                </c:pt>
                <c:pt idx="25">
                  <c:v>1.4130081300813007</c:v>
                </c:pt>
                <c:pt idx="26">
                  <c:v>1.4192165558019216</c:v>
                </c:pt>
                <c:pt idx="27">
                  <c:v>1.4363636363636363</c:v>
                </c:pt>
                <c:pt idx="28">
                  <c:v>1.4144863266814485</c:v>
                </c:pt>
                <c:pt idx="29">
                  <c:v>1.5963045084996303</c:v>
                </c:pt>
                <c:pt idx="30">
                  <c:v>1.5963045084996303</c:v>
                </c:pt>
                <c:pt idx="31">
                  <c:v>1.5351071692535105</c:v>
                </c:pt>
                <c:pt idx="32">
                  <c:v>1.5770879526977086</c:v>
                </c:pt>
                <c:pt idx="33">
                  <c:v>1.6033998521803399</c:v>
                </c:pt>
                <c:pt idx="34">
                  <c:v>1.6033998521803399</c:v>
                </c:pt>
                <c:pt idx="35">
                  <c:v>1.5852180339985216</c:v>
                </c:pt>
                <c:pt idx="36">
                  <c:v>1.5824094604582408</c:v>
                </c:pt>
                <c:pt idx="37">
                  <c:v>1.5952697708795269</c:v>
                </c:pt>
                <c:pt idx="38">
                  <c:v>1.6362158167036214</c:v>
                </c:pt>
                <c:pt idx="39">
                  <c:v>1.6631189948263119</c:v>
                </c:pt>
                <c:pt idx="40">
                  <c:v>1.7138211382113819</c:v>
                </c:pt>
                <c:pt idx="41">
                  <c:v>1.7278640059127863</c:v>
                </c:pt>
                <c:pt idx="42">
                  <c:v>1.6131559497413155</c:v>
                </c:pt>
                <c:pt idx="43">
                  <c:v>1.649371766444937</c:v>
                </c:pt>
                <c:pt idx="44">
                  <c:v>1.5970436067997043</c:v>
                </c:pt>
                <c:pt idx="45">
                  <c:v>1.5658536585365854</c:v>
                </c:pt>
                <c:pt idx="46">
                  <c:v>1.5889135254988911</c:v>
                </c:pt>
                <c:pt idx="47">
                  <c:v>1.5722099039172208</c:v>
                </c:pt>
                <c:pt idx="48">
                  <c:v>1.5550628233555062</c:v>
                </c:pt>
                <c:pt idx="49">
                  <c:v>1.5265336289726532</c:v>
                </c:pt>
                <c:pt idx="50">
                  <c:v>1.5073170731707315</c:v>
                </c:pt>
                <c:pt idx="51">
                  <c:v>1.4546932742054692</c:v>
                </c:pt>
                <c:pt idx="52">
                  <c:v>1.3960088691796007</c:v>
                </c:pt>
                <c:pt idx="53">
                  <c:v>1.4719881744271988</c:v>
                </c:pt>
                <c:pt idx="54">
                  <c:v>1.4719881744271988</c:v>
                </c:pt>
                <c:pt idx="55">
                  <c:v>1.4430155210643014</c:v>
                </c:pt>
                <c:pt idx="56">
                  <c:v>1.4035476718403548</c:v>
                </c:pt>
                <c:pt idx="57">
                  <c:v>1.2807095343680708</c:v>
                </c:pt>
                <c:pt idx="58">
                  <c:v>1.3302291204730228</c:v>
                </c:pt>
                <c:pt idx="59">
                  <c:v>1.3334811529933479</c:v>
                </c:pt>
                <c:pt idx="60">
                  <c:v>1.2898743532889874</c:v>
                </c:pt>
                <c:pt idx="61">
                  <c:v>1.233111603843311</c:v>
                </c:pt>
                <c:pt idx="62">
                  <c:v>1.266518847006652</c:v>
                </c:pt>
                <c:pt idx="63">
                  <c:v>1.3466371027346635</c:v>
                </c:pt>
                <c:pt idx="64">
                  <c:v>1.3080561714708054</c:v>
                </c:pt>
                <c:pt idx="65">
                  <c:v>1.26770140428677</c:v>
                </c:pt>
                <c:pt idx="66">
                  <c:v>1.267110125646711</c:v>
                </c:pt>
                <c:pt idx="67">
                  <c:v>1.3240206947524018</c:v>
                </c:pt>
                <c:pt idx="68">
                  <c:v>1.3240206947524018</c:v>
                </c:pt>
                <c:pt idx="69">
                  <c:v>1.359940872135994</c:v>
                </c:pt>
                <c:pt idx="70">
                  <c:v>1.4233555062823355</c:v>
                </c:pt>
                <c:pt idx="71">
                  <c:v>1.3892091648189209</c:v>
                </c:pt>
                <c:pt idx="72">
                  <c:v>1.369549150036955</c:v>
                </c:pt>
                <c:pt idx="73">
                  <c:v>1.3849223946784921</c:v>
                </c:pt>
                <c:pt idx="74">
                  <c:v>1.4443458980044344</c:v>
                </c:pt>
                <c:pt idx="75">
                  <c:v>1.4447893569844787</c:v>
                </c:pt>
                <c:pt idx="76">
                  <c:v>1.4168514412416851</c:v>
                </c:pt>
                <c:pt idx="77">
                  <c:v>1.3538802660753879</c:v>
                </c:pt>
                <c:pt idx="78">
                  <c:v>1.350332594235033</c:v>
                </c:pt>
                <c:pt idx="79">
                  <c:v>1.3275683665927567</c:v>
                </c:pt>
                <c:pt idx="80">
                  <c:v>1.3225424981522542</c:v>
                </c:pt>
                <c:pt idx="81">
                  <c:v>1.3328898743532889</c:v>
                </c:pt>
                <c:pt idx="82">
                  <c:v>1.3328898743532889</c:v>
                </c:pt>
                <c:pt idx="83">
                  <c:v>1.3118994826311898</c:v>
                </c:pt>
                <c:pt idx="84">
                  <c:v>1.3247597930524759</c:v>
                </c:pt>
                <c:pt idx="85">
                  <c:v>1.3123429416112342</c:v>
                </c:pt>
                <c:pt idx="86">
                  <c:v>1.3164818920916481</c:v>
                </c:pt>
                <c:pt idx="87">
                  <c:v>1.3164818920916481</c:v>
                </c:pt>
                <c:pt idx="88">
                  <c:v>1.3733924611973392</c:v>
                </c:pt>
                <c:pt idx="89">
                  <c:v>1.3733924611973392</c:v>
                </c:pt>
                <c:pt idx="90">
                  <c:v>1.3733924611973392</c:v>
                </c:pt>
                <c:pt idx="91">
                  <c:v>1.3538802660753879</c:v>
                </c:pt>
                <c:pt idx="92">
                  <c:v>1.3392461197339245</c:v>
                </c:pt>
                <c:pt idx="93">
                  <c:v>1.3099778270509976</c:v>
                </c:pt>
                <c:pt idx="94">
                  <c:v>1.2839615668883961</c:v>
                </c:pt>
                <c:pt idx="95">
                  <c:v>1.1895048041389504</c:v>
                </c:pt>
                <c:pt idx="96">
                  <c:v>1.1662971175166297</c:v>
                </c:pt>
                <c:pt idx="97">
                  <c:v>1.1167775314116777</c:v>
                </c:pt>
                <c:pt idx="98">
                  <c:v>1.1337767923133777</c:v>
                </c:pt>
                <c:pt idx="99">
                  <c:v>1.2162601626016258</c:v>
                </c:pt>
                <c:pt idx="100">
                  <c:v>1.2206947524020693</c:v>
                </c:pt>
                <c:pt idx="101">
                  <c:v>1.1982261640798226</c:v>
                </c:pt>
                <c:pt idx="102">
                  <c:v>1.2118255728011824</c:v>
                </c:pt>
                <c:pt idx="103">
                  <c:v>1.2523281596452327</c:v>
                </c:pt>
                <c:pt idx="104">
                  <c:v>1.2606060606060605</c:v>
                </c:pt>
                <c:pt idx="105">
                  <c:v>1.3025868440502586</c:v>
                </c:pt>
                <c:pt idx="106">
                  <c:v>1.3025868440502586</c:v>
                </c:pt>
                <c:pt idx="107">
                  <c:v>1.2839615668883961</c:v>
                </c:pt>
                <c:pt idx="108">
                  <c:v>1.3283074648928306</c:v>
                </c:pt>
                <c:pt idx="109">
                  <c:v>1.2867701404286769</c:v>
                </c:pt>
                <c:pt idx="110">
                  <c:v>1.286031042128603</c:v>
                </c:pt>
                <c:pt idx="111">
                  <c:v>1.2987435328898742</c:v>
                </c:pt>
                <c:pt idx="112">
                  <c:v>1.2907612712490759</c:v>
                </c:pt>
                <c:pt idx="113">
                  <c:v>1.2784922394678491</c:v>
                </c:pt>
                <c:pt idx="114">
                  <c:v>1.267110125646711</c:v>
                </c:pt>
                <c:pt idx="115">
                  <c:v>1.2576496674057649</c:v>
                </c:pt>
                <c:pt idx="116">
                  <c:v>1.2557280118255727</c:v>
                </c:pt>
                <c:pt idx="117">
                  <c:v>1.2557280118255727</c:v>
                </c:pt>
                <c:pt idx="118">
                  <c:v>1.2110864745011087</c:v>
                </c:pt>
                <c:pt idx="119">
                  <c:v>1.1736881005173687</c:v>
                </c:pt>
                <c:pt idx="120">
                  <c:v>1.1736881005173687</c:v>
                </c:pt>
                <c:pt idx="121">
                  <c:v>1.1744271988174426</c:v>
                </c:pt>
                <c:pt idx="122">
                  <c:v>1.2195121951219512</c:v>
                </c:pt>
                <c:pt idx="123">
                  <c:v>1.2359201773835919</c:v>
                </c:pt>
                <c:pt idx="124">
                  <c:v>1.2254249815225424</c:v>
                </c:pt>
                <c:pt idx="125">
                  <c:v>1.2338507021433849</c:v>
                </c:pt>
                <c:pt idx="126">
                  <c:v>1.2022172949002217</c:v>
                </c:pt>
                <c:pt idx="127">
                  <c:v>1.2490761271249076</c:v>
                </c:pt>
                <c:pt idx="128">
                  <c:v>1.2078344419807832</c:v>
                </c:pt>
                <c:pt idx="129">
                  <c:v>1.2203991130820397</c:v>
                </c:pt>
                <c:pt idx="130">
                  <c:v>1.2375461936437544</c:v>
                </c:pt>
                <c:pt idx="131">
                  <c:v>1.3197339246119733</c:v>
                </c:pt>
                <c:pt idx="132">
                  <c:v>1.282631189948263</c:v>
                </c:pt>
                <c:pt idx="133">
                  <c:v>1.3340724316334072</c:v>
                </c:pt>
                <c:pt idx="134">
                  <c:v>1.3340724316334072</c:v>
                </c:pt>
                <c:pt idx="135">
                  <c:v>1.3043606799704359</c:v>
                </c:pt>
                <c:pt idx="136">
                  <c:v>1.2659275683665927</c:v>
                </c:pt>
                <c:pt idx="137">
                  <c:v>1.2728750923872874</c:v>
                </c:pt>
                <c:pt idx="138">
                  <c:v>1.2131559497413154</c:v>
                </c:pt>
                <c:pt idx="139">
                  <c:v>1.2131559497413154</c:v>
                </c:pt>
                <c:pt idx="140">
                  <c:v>1.2251293422025127</c:v>
                </c:pt>
                <c:pt idx="141">
                  <c:v>1.2251293422025127</c:v>
                </c:pt>
                <c:pt idx="142">
                  <c:v>1.2251293422025127</c:v>
                </c:pt>
                <c:pt idx="143">
                  <c:v>1.2444937176644493</c:v>
                </c:pt>
                <c:pt idx="144">
                  <c:v>1.2518847006651883</c:v>
                </c:pt>
                <c:pt idx="145">
                  <c:v>1.2193643754619363</c:v>
                </c:pt>
                <c:pt idx="146">
                  <c:v>1.2070953436807095</c:v>
                </c:pt>
                <c:pt idx="147">
                  <c:v>1.1560975609756097</c:v>
                </c:pt>
                <c:pt idx="148">
                  <c:v>1.132742054693274</c:v>
                </c:pt>
                <c:pt idx="149">
                  <c:v>1.1127864005912786</c:v>
                </c:pt>
                <c:pt idx="150">
                  <c:v>1.0628233555062823</c:v>
                </c:pt>
                <c:pt idx="151">
                  <c:v>1.0403547671840354</c:v>
                </c:pt>
                <c:pt idx="152">
                  <c:v>1.0638580931263857</c:v>
                </c:pt>
                <c:pt idx="153">
                  <c:v>1.0382852919438283</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#NAME?</c:v>
                </c:pt>
              </c:strCache>
            </c:strRef>
          </c:tx>
          <c:spPr>
            <a:ln w="28575"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Data'!$AG$5:$AG$159</c:f>
              <c:numCache>
                <c:formatCode>General</c:formatCode>
                <c:ptCount val="155"/>
                <c:pt idx="0">
                  <c:v>2.1276990944973297</c:v>
                </c:pt>
                <c:pt idx="1">
                  <c:v>2.3769058122436344</c:v>
                </c:pt>
                <c:pt idx="2">
                  <c:v>2.3769058122436344</c:v>
                </c:pt>
                <c:pt idx="3">
                  <c:v>2.3769058122436344</c:v>
                </c:pt>
                <c:pt idx="4">
                  <c:v>2.009080824497588</c:v>
                </c:pt>
                <c:pt idx="5">
                  <c:v>1.8997497613703789</c:v>
                </c:pt>
                <c:pt idx="6">
                  <c:v>1.9267342568944612</c:v>
                </c:pt>
                <c:pt idx="7">
                  <c:v>1.9270954260506152</c:v>
                </c:pt>
                <c:pt idx="8">
                  <c:v>1.8083739648634007</c:v>
                </c:pt>
                <c:pt idx="9">
                  <c:v>1.7094136160771871</c:v>
                </c:pt>
                <c:pt idx="10">
                  <c:v>1.7108066971080669</c:v>
                </c:pt>
                <c:pt idx="11">
                  <c:v>1.8017181332714185</c:v>
                </c:pt>
                <c:pt idx="12">
                  <c:v>1.7103939323581767</c:v>
                </c:pt>
                <c:pt idx="13">
                  <c:v>1.6554962206227588</c:v>
                </c:pt>
                <c:pt idx="14">
                  <c:v>1.7085880865774061</c:v>
                </c:pt>
                <c:pt idx="15">
                  <c:v>1.6706292082656142</c:v>
                </c:pt>
                <c:pt idx="16">
                  <c:v>1.6876712328767123</c:v>
                </c:pt>
                <c:pt idx="17">
                  <c:v>1.5898305084745763</c:v>
                </c:pt>
                <c:pt idx="18">
                  <c:v>1.5927766168769188</c:v>
                </c:pt>
                <c:pt idx="19">
                  <c:v>1.6255656166963344</c:v>
                </c:pt>
                <c:pt idx="20">
                  <c:v>1.5950313443231949</c:v>
                </c:pt>
                <c:pt idx="21">
                  <c:v>1.6319479916415138</c:v>
                </c:pt>
                <c:pt idx="22">
                  <c:v>1.6699378273095478</c:v>
                </c:pt>
                <c:pt idx="23">
                  <c:v>1.7133555194386401</c:v>
                </c:pt>
                <c:pt idx="24">
                  <c:v>1.7235198514046899</c:v>
                </c:pt>
                <c:pt idx="25">
                  <c:v>1.7419807548435364</c:v>
                </c:pt>
                <c:pt idx="26">
                  <c:v>1.7886076929030261</c:v>
                </c:pt>
                <c:pt idx="27">
                  <c:v>1.7580734205298867</c:v>
                </c:pt>
                <c:pt idx="28">
                  <c:v>1.6403580734205299</c:v>
                </c:pt>
                <c:pt idx="29">
                  <c:v>1.6343936227846141</c:v>
                </c:pt>
                <c:pt idx="30">
                  <c:v>1.6624100301834224</c:v>
                </c:pt>
                <c:pt idx="31">
                  <c:v>1.6923354745504735</c:v>
                </c:pt>
                <c:pt idx="32">
                  <c:v>1.6525088357454274</c:v>
                </c:pt>
                <c:pt idx="33">
                  <c:v>1.7741248097412481</c:v>
                </c:pt>
                <c:pt idx="34">
                  <c:v>1.7466088796016821</c:v>
                </c:pt>
                <c:pt idx="35">
                  <c:v>1.5847896189665402</c:v>
                </c:pt>
                <c:pt idx="36">
                  <c:v>1.4447901349224777</c:v>
                </c:pt>
                <c:pt idx="37">
                  <c:v>1.4710884090498673</c:v>
                </c:pt>
                <c:pt idx="38">
                  <c:v>1.4710884090498673</c:v>
                </c:pt>
                <c:pt idx="39">
                  <c:v>1.4611098212212676</c:v>
                </c:pt>
                <c:pt idx="40">
                  <c:v>1.4762840853391119</c:v>
                </c:pt>
                <c:pt idx="41">
                  <c:v>1.5524546603720042</c:v>
                </c:pt>
                <c:pt idx="42">
                  <c:v>1.5524546603720042</c:v>
                </c:pt>
                <c:pt idx="43">
                  <c:v>1.5117508964734412</c:v>
                </c:pt>
                <c:pt idx="44">
                  <c:v>1.4938265872094525</c:v>
                </c:pt>
                <c:pt idx="45">
                  <c:v>1.53850321182571</c:v>
                </c:pt>
                <c:pt idx="46">
                  <c:v>1.5895622113871477</c:v>
                </c:pt>
                <c:pt idx="47">
                  <c:v>1.6583184996001341</c:v>
                </c:pt>
                <c:pt idx="48">
                  <c:v>1.788648969378015</c:v>
                </c:pt>
                <c:pt idx="49">
                  <c:v>1.5475221216108144</c:v>
                </c:pt>
                <c:pt idx="50">
                  <c:v>1.491226169285143</c:v>
                </c:pt>
                <c:pt idx="51">
                  <c:v>1.5054459149188661</c:v>
                </c:pt>
                <c:pt idx="52">
                  <c:v>1.3881123752031574</c:v>
                </c:pt>
                <c:pt idx="53">
                  <c:v>1.5478678120888476</c:v>
                </c:pt>
                <c:pt idx="54">
                  <c:v>1.1263111730258235</c:v>
                </c:pt>
                <c:pt idx="55">
                  <c:v>1.1263111730258235</c:v>
                </c:pt>
                <c:pt idx="56">
                  <c:v>1.1262337796352191</c:v>
                </c:pt>
                <c:pt idx="57">
                  <c:v>1.1483270128731007</c:v>
                </c:pt>
                <c:pt idx="58">
                  <c:v>1.1717565719887522</c:v>
                </c:pt>
                <c:pt idx="59">
                  <c:v>1.1614374532414933</c:v>
                </c:pt>
                <c:pt idx="60">
                  <c:v>1.1960993731135361</c:v>
                </c:pt>
                <c:pt idx="61">
                  <c:v>1.2056187601578825</c:v>
                </c:pt>
                <c:pt idx="62">
                  <c:v>1.2193741454479787</c:v>
                </c:pt>
                <c:pt idx="63">
                  <c:v>1.3093826587209452</c:v>
                </c:pt>
                <c:pt idx="64">
                  <c:v>1.2707427185718339</c:v>
                </c:pt>
                <c:pt idx="65">
                  <c:v>1.3284885070814951</c:v>
                </c:pt>
                <c:pt idx="66">
                  <c:v>1.2214018522818151</c:v>
                </c:pt>
                <c:pt idx="67">
                  <c:v>1.2205608441039135</c:v>
                </c:pt>
                <c:pt idx="68">
                  <c:v>1.2212883419755953</c:v>
                </c:pt>
                <c:pt idx="69">
                  <c:v>1.2568325465005288</c:v>
                </c:pt>
                <c:pt idx="70">
                  <c:v>1.2422671103887728</c:v>
                </c:pt>
                <c:pt idx="71">
                  <c:v>1.2038232334958594</c:v>
                </c:pt>
                <c:pt idx="72">
                  <c:v>1.1415989474498878</c:v>
                </c:pt>
                <c:pt idx="73">
                  <c:v>1.1204292753398861</c:v>
                </c:pt>
                <c:pt idx="74">
                  <c:v>1.1085416505430437</c:v>
                </c:pt>
                <c:pt idx="75">
                  <c:v>1.1955266620230633</c:v>
                </c:pt>
                <c:pt idx="76">
                  <c:v>1.1656786110466166</c:v>
                </c:pt>
                <c:pt idx="77">
                  <c:v>1.1656786110466166</c:v>
                </c:pt>
                <c:pt idx="78">
                  <c:v>1.1876531744189047</c:v>
                </c:pt>
                <c:pt idx="79">
                  <c:v>1.1132420091324202</c:v>
                </c:pt>
                <c:pt idx="80">
                  <c:v>1.1377034801227974</c:v>
                </c:pt>
                <c:pt idx="81">
                  <c:v>1.1792482521992622</c:v>
                </c:pt>
                <c:pt idx="82">
                  <c:v>1.132043443489926</c:v>
                </c:pt>
                <c:pt idx="83">
                  <c:v>1.1179062508061812</c:v>
                </c:pt>
                <c:pt idx="84">
                  <c:v>1.1121739803420789</c:v>
                </c:pt>
                <c:pt idx="85">
                  <c:v>0.99915899182209833</c:v>
                </c:pt>
                <c:pt idx="86">
                  <c:v>0.9956040554136677</c:v>
                </c:pt>
                <c:pt idx="87">
                  <c:v>0.95207285297835575</c:v>
                </c:pt>
                <c:pt idx="88">
                  <c:v>0.95207285297835575</c:v>
                </c:pt>
                <c:pt idx="89">
                  <c:v>0.87047442148440535</c:v>
                </c:pt>
                <c:pt idx="90">
                  <c:v>0.96357867038154943</c:v>
                </c:pt>
                <c:pt idx="91">
                  <c:v>0.92604287593839485</c:v>
                </c:pt>
                <c:pt idx="92">
                  <c:v>0.86680597476975463</c:v>
                </c:pt>
                <c:pt idx="93">
                  <c:v>0.91908778990274231</c:v>
                </c:pt>
                <c:pt idx="94">
                  <c:v>0.91190568325465016</c:v>
                </c:pt>
                <c:pt idx="95">
                  <c:v>0.87636147872971648</c:v>
                </c:pt>
                <c:pt idx="96">
                  <c:v>0.86646028429172151</c:v>
                </c:pt>
                <c:pt idx="97">
                  <c:v>0.85228181513298762</c:v>
                </c:pt>
                <c:pt idx="98">
                  <c:v>0.90204576529164415</c:v>
                </c:pt>
                <c:pt idx="99">
                  <c:v>0.90044114232644534</c:v>
                </c:pt>
                <c:pt idx="100">
                  <c:v>0.96999716224234456</c:v>
                </c:pt>
                <c:pt idx="101">
                  <c:v>0.99357634857983124</c:v>
                </c:pt>
                <c:pt idx="102">
                  <c:v>0.96483760286871501</c:v>
                </c:pt>
                <c:pt idx="103">
                  <c:v>0.94786781208884774</c:v>
                </c:pt>
                <c:pt idx="104">
                  <c:v>0.93342104584268504</c:v>
                </c:pt>
                <c:pt idx="105">
                  <c:v>0.93365322601449829</c:v>
                </c:pt>
                <c:pt idx="106">
                  <c:v>0.89031292727601075</c:v>
                </c:pt>
                <c:pt idx="107">
                  <c:v>0.89031292727601075</c:v>
                </c:pt>
                <c:pt idx="108">
                  <c:v>0.89424967107808984</c:v>
                </c:pt>
                <c:pt idx="109">
                  <c:v>0.99235353300828111</c:v>
                </c:pt>
                <c:pt idx="110">
                  <c:v>1.0716611201403401</c:v>
                </c:pt>
                <c:pt idx="111">
                  <c:v>1.024843278384026</c:v>
                </c:pt>
                <c:pt idx="112">
                  <c:v>0.95975543688568987</c:v>
                </c:pt>
                <c:pt idx="113">
                  <c:v>0.99961819260635154</c:v>
                </c:pt>
                <c:pt idx="114">
                  <c:v>1.0721203209245931</c:v>
                </c:pt>
                <c:pt idx="115">
                  <c:v>1.082702577199907</c:v>
                </c:pt>
                <c:pt idx="116">
                  <c:v>1.0615690220055207</c:v>
                </c:pt>
                <c:pt idx="117">
                  <c:v>1.057250470809793</c:v>
                </c:pt>
                <c:pt idx="118">
                  <c:v>1.0883213373577896</c:v>
                </c:pt>
                <c:pt idx="119">
                  <c:v>1.127461754766143</c:v>
                </c:pt>
                <c:pt idx="120">
                  <c:v>1.2001909036968244</c:v>
                </c:pt>
                <c:pt idx="121">
                  <c:v>1.1270747878131206</c:v>
                </c:pt>
                <c:pt idx="122">
                  <c:v>1.2100147047442149</c:v>
                </c:pt>
                <c:pt idx="123">
                  <c:v>1.1771431519748214</c:v>
                </c:pt>
                <c:pt idx="124">
                  <c:v>1.1597554368856899</c:v>
                </c:pt>
                <c:pt idx="125">
                  <c:v>1.13705337564172</c:v>
                </c:pt>
                <c:pt idx="126">
                  <c:v>1.1494724350540464</c:v>
                </c:pt>
                <c:pt idx="127">
                  <c:v>1.1064365503186027</c:v>
                </c:pt>
                <c:pt idx="128">
                  <c:v>1.2802982225317958</c:v>
                </c:pt>
                <c:pt idx="129">
                  <c:v>1.2802982225317958</c:v>
                </c:pt>
                <c:pt idx="130">
                  <c:v>1.252054794520548</c:v>
                </c:pt>
                <c:pt idx="131">
                  <c:v>1.132043443489926</c:v>
                </c:pt>
                <c:pt idx="132">
                  <c:v>1.0390578644583752</c:v>
                </c:pt>
                <c:pt idx="133">
                  <c:v>1.0390578644583752</c:v>
                </c:pt>
                <c:pt idx="134">
                  <c:v>1.0224337641565411</c:v>
                </c:pt>
                <c:pt idx="135">
                  <c:v>1.0395531821582438</c:v>
                </c:pt>
                <c:pt idx="136">
                  <c:v>0.95157753527848732</c:v>
                </c:pt>
                <c:pt idx="137">
                  <c:v>0.89298557903155074</c:v>
                </c:pt>
                <c:pt idx="138">
                  <c:v>0.9207336893429301</c:v>
                </c:pt>
                <c:pt idx="139">
                  <c:v>0.97813894693393189</c:v>
                </c:pt>
                <c:pt idx="140">
                  <c:v>0.93621236746381864</c:v>
                </c:pt>
                <c:pt idx="141">
                  <c:v>0.91022366689884682</c:v>
                </c:pt>
                <c:pt idx="142">
                  <c:v>0.91419652761654158</c:v>
                </c:pt>
                <c:pt idx="143">
                  <c:v>0.91419652761654158</c:v>
                </c:pt>
                <c:pt idx="144">
                  <c:v>0.8748342491551222</c:v>
                </c:pt>
                <c:pt idx="145">
                  <c:v>0.86489693780151178</c:v>
                </c:pt>
                <c:pt idx="146">
                  <c:v>0.85916466733740937</c:v>
                </c:pt>
                <c:pt idx="147">
                  <c:v>0.87139282305291133</c:v>
                </c:pt>
                <c:pt idx="148">
                  <c:v>0.92604287593839485</c:v>
                </c:pt>
                <c:pt idx="149">
                  <c:v>0.91465572840079457</c:v>
                </c:pt>
                <c:pt idx="150">
                  <c:v>0.85186389082372371</c:v>
                </c:pt>
                <c:pt idx="151">
                  <c:v>0.86283311405205987</c:v>
                </c:pt>
                <c:pt idx="152">
                  <c:v>0.92539793101669121</c:v>
                </c:pt>
                <c:pt idx="153">
                  <c:v>0.95394577303098327</c:v>
                </c:pt>
                <c:pt idx="154">
                  <c:v>1</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#NAME?</c:v>
                </c:pt>
              </c:strCache>
            </c:strRef>
          </c:tx>
          <c:spPr>
            <a:ln w="28575" cap="rnd">
              <a:solidFill>
                <a:schemeClr val="accent5"/>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Data'!$AH$5:$AH$159</c:f>
              <c:numCache>
                <c:formatCode>General</c:formatCode>
                <c:ptCount val="155"/>
                <c:pt idx="0">
                  <c:v>3.6161256067961167</c:v>
                </c:pt>
                <c:pt idx="1">
                  <c:v>3.6038632686084142</c:v>
                </c:pt>
                <c:pt idx="2">
                  <c:v>3.6101840614886731</c:v>
                </c:pt>
                <c:pt idx="3">
                  <c:v>3.2443365695792878</c:v>
                </c:pt>
                <c:pt idx="4">
                  <c:v>3.0820186084142396</c:v>
                </c:pt>
                <c:pt idx="5">
                  <c:v>2.7144012944983817</c:v>
                </c:pt>
                <c:pt idx="6">
                  <c:v>2.4711771844660193</c:v>
                </c:pt>
                <c:pt idx="7">
                  <c:v>2.6211063915857604</c:v>
                </c:pt>
                <c:pt idx="8">
                  <c:v>2.5068264563106797</c:v>
                </c:pt>
                <c:pt idx="9">
                  <c:v>2.6987257281553396</c:v>
                </c:pt>
                <c:pt idx="10">
                  <c:v>2.4256674757281553</c:v>
                </c:pt>
                <c:pt idx="11">
                  <c:v>2.5053094660194177</c:v>
                </c:pt>
                <c:pt idx="12">
                  <c:v>2.4549959546925564</c:v>
                </c:pt>
                <c:pt idx="13">
                  <c:v>2.5376719255663431</c:v>
                </c:pt>
                <c:pt idx="14">
                  <c:v>2.5235133495145634</c:v>
                </c:pt>
                <c:pt idx="15">
                  <c:v>2.4987358414239482</c:v>
                </c:pt>
                <c:pt idx="16">
                  <c:v>2.4276901294498381</c:v>
                </c:pt>
                <c:pt idx="17">
                  <c:v>2.3321197411003234</c:v>
                </c:pt>
                <c:pt idx="18">
                  <c:v>2.2995044498381878</c:v>
                </c:pt>
                <c:pt idx="19">
                  <c:v>2.1432544498381878</c:v>
                </c:pt>
                <c:pt idx="20">
                  <c:v>2.1237864077669903</c:v>
                </c:pt>
                <c:pt idx="21">
                  <c:v>2.0931937702265375</c:v>
                </c:pt>
                <c:pt idx="22">
                  <c:v>2.1483110841423949</c:v>
                </c:pt>
                <c:pt idx="23">
                  <c:v>1.8977548543689322</c:v>
                </c:pt>
                <c:pt idx="24">
                  <c:v>1.8120449029126213</c:v>
                </c:pt>
                <c:pt idx="25">
                  <c:v>1.6871460355987056</c:v>
                </c:pt>
                <c:pt idx="26">
                  <c:v>1.6469457928802589</c:v>
                </c:pt>
                <c:pt idx="27">
                  <c:v>1.7978863268608414</c:v>
                </c:pt>
                <c:pt idx="28">
                  <c:v>1.8653923948220066</c:v>
                </c:pt>
                <c:pt idx="29">
                  <c:v>1.9250606796116505</c:v>
                </c:pt>
                <c:pt idx="30">
                  <c:v>1.9703175566343043</c:v>
                </c:pt>
                <c:pt idx="31">
                  <c:v>1.9364381067961167</c:v>
                </c:pt>
                <c:pt idx="32">
                  <c:v>1.998634708737864</c:v>
                </c:pt>
                <c:pt idx="33">
                  <c:v>2.0555218446601939</c:v>
                </c:pt>
                <c:pt idx="34">
                  <c:v>2.2163228155339807</c:v>
                </c:pt>
                <c:pt idx="35">
                  <c:v>2.0623483009708736</c:v>
                </c:pt>
                <c:pt idx="36">
                  <c:v>2.0717030744336569</c:v>
                </c:pt>
                <c:pt idx="37">
                  <c:v>1.9000303398058254</c:v>
                </c:pt>
                <c:pt idx="38">
                  <c:v>2.1048240291262137</c:v>
                </c:pt>
                <c:pt idx="39">
                  <c:v>1.9253135113268609</c:v>
                </c:pt>
                <c:pt idx="40">
                  <c:v>1.9478155339805827</c:v>
                </c:pt>
                <c:pt idx="41">
                  <c:v>1.9012944983818771</c:v>
                </c:pt>
                <c:pt idx="42">
                  <c:v>1.9012944983818771</c:v>
                </c:pt>
                <c:pt idx="43">
                  <c:v>1.9012944983818771</c:v>
                </c:pt>
                <c:pt idx="44">
                  <c:v>1.977902508090615</c:v>
                </c:pt>
                <c:pt idx="45">
                  <c:v>1.9786610032362462</c:v>
                </c:pt>
                <c:pt idx="46">
                  <c:v>1.8095165857605175</c:v>
                </c:pt>
                <c:pt idx="47">
                  <c:v>1.7710861650485437</c:v>
                </c:pt>
                <c:pt idx="48">
                  <c:v>1.8671622168284789</c:v>
                </c:pt>
                <c:pt idx="49">
                  <c:v>1.9412419093851132</c:v>
                </c:pt>
                <c:pt idx="50">
                  <c:v>1.9328984627831716</c:v>
                </c:pt>
                <c:pt idx="51">
                  <c:v>1.8421318770226538</c:v>
                </c:pt>
                <c:pt idx="52">
                  <c:v>1.8744943365695794</c:v>
                </c:pt>
                <c:pt idx="53">
                  <c:v>2.0949635922330097</c:v>
                </c:pt>
                <c:pt idx="54">
                  <c:v>2.0582777103559873</c:v>
                </c:pt>
                <c:pt idx="55">
                  <c:v>2.0321349110032361</c:v>
                </c:pt>
                <c:pt idx="56">
                  <c:v>1.911079085760518</c:v>
                </c:pt>
                <c:pt idx="57">
                  <c:v>1.938840008090615</c:v>
                </c:pt>
                <c:pt idx="58">
                  <c:v>1.9327467637540454</c:v>
                </c:pt>
                <c:pt idx="59">
                  <c:v>2.035573422330097</c:v>
                </c:pt>
                <c:pt idx="60">
                  <c:v>2.208055218446602</c:v>
                </c:pt>
                <c:pt idx="61">
                  <c:v>2.1372623381877025</c:v>
                </c:pt>
                <c:pt idx="62">
                  <c:v>1.8913076456310682</c:v>
                </c:pt>
                <c:pt idx="63">
                  <c:v>2.3291868932038833</c:v>
                </c:pt>
                <c:pt idx="64">
                  <c:v>2.300439927184466</c:v>
                </c:pt>
                <c:pt idx="65">
                  <c:v>2.4466019417475731</c:v>
                </c:pt>
                <c:pt idx="66">
                  <c:v>2.8501719255663431</c:v>
                </c:pt>
                <c:pt idx="67">
                  <c:v>2.7375101132686086</c:v>
                </c:pt>
                <c:pt idx="68">
                  <c:v>2.6692961165048543</c:v>
                </c:pt>
                <c:pt idx="69">
                  <c:v>2.6234577265372172</c:v>
                </c:pt>
                <c:pt idx="70">
                  <c:v>2.6234577265372172</c:v>
                </c:pt>
                <c:pt idx="71">
                  <c:v>2.4568163430420711</c:v>
                </c:pt>
                <c:pt idx="72">
                  <c:v>2.4100930420711975</c:v>
                </c:pt>
                <c:pt idx="73">
                  <c:v>2.4417728559870548</c:v>
                </c:pt>
                <c:pt idx="74">
                  <c:v>2.3962125809061492</c:v>
                </c:pt>
                <c:pt idx="75">
                  <c:v>2.3090614886731391</c:v>
                </c:pt>
                <c:pt idx="76">
                  <c:v>2.1948321197411005</c:v>
                </c:pt>
                <c:pt idx="77">
                  <c:v>2.2372825647249193</c:v>
                </c:pt>
                <c:pt idx="78">
                  <c:v>2.3064826051779934</c:v>
                </c:pt>
                <c:pt idx="79">
                  <c:v>2.4313309061488675</c:v>
                </c:pt>
                <c:pt idx="80">
                  <c:v>2.4736296521035599</c:v>
                </c:pt>
                <c:pt idx="81">
                  <c:v>2.4415200242718447</c:v>
                </c:pt>
                <c:pt idx="82">
                  <c:v>2.3995752427184467</c:v>
                </c:pt>
                <c:pt idx="83">
                  <c:v>2.3430167880258903</c:v>
                </c:pt>
                <c:pt idx="84">
                  <c:v>2.4824534789644015</c:v>
                </c:pt>
                <c:pt idx="85">
                  <c:v>2.3328023867313914</c:v>
                </c:pt>
                <c:pt idx="86">
                  <c:v>2.2803650889967639</c:v>
                </c:pt>
                <c:pt idx="87">
                  <c:v>2.3151800161812295</c:v>
                </c:pt>
                <c:pt idx="88">
                  <c:v>2.1453782362459548</c:v>
                </c:pt>
                <c:pt idx="89">
                  <c:v>2.0862914644012944</c:v>
                </c:pt>
                <c:pt idx="90">
                  <c:v>2.1444174757281553</c:v>
                </c:pt>
                <c:pt idx="91">
                  <c:v>1.9035699838187703</c:v>
                </c:pt>
                <c:pt idx="92">
                  <c:v>1.8954540857605178</c:v>
                </c:pt>
                <c:pt idx="93">
                  <c:v>1.8631927588996764</c:v>
                </c:pt>
                <c:pt idx="94">
                  <c:v>2.0098351537216828</c:v>
                </c:pt>
                <c:pt idx="95">
                  <c:v>1.9087024676375404</c:v>
                </c:pt>
                <c:pt idx="96">
                  <c:v>1.8574281957928804</c:v>
                </c:pt>
                <c:pt idx="97">
                  <c:v>1.7568517394822005</c:v>
                </c:pt>
                <c:pt idx="98">
                  <c:v>1.8051931634304208</c:v>
                </c:pt>
                <c:pt idx="99">
                  <c:v>1.8139664239482201</c:v>
                </c:pt>
                <c:pt idx="100">
                  <c:v>1.7645125404530746</c:v>
                </c:pt>
                <c:pt idx="101">
                  <c:v>1.6372876213592231</c:v>
                </c:pt>
                <c:pt idx="102">
                  <c:v>1.5338288834951455</c:v>
                </c:pt>
                <c:pt idx="103">
                  <c:v>1.4748685275080906</c:v>
                </c:pt>
                <c:pt idx="104">
                  <c:v>1.6237864077669903</c:v>
                </c:pt>
                <c:pt idx="105">
                  <c:v>1.6224969660194175</c:v>
                </c:pt>
                <c:pt idx="106">
                  <c:v>1.5988572006472492</c:v>
                </c:pt>
                <c:pt idx="107">
                  <c:v>1.5521844660194175</c:v>
                </c:pt>
                <c:pt idx="108">
                  <c:v>1.5646743527508091</c:v>
                </c:pt>
                <c:pt idx="109">
                  <c:v>1.6653013754045307</c:v>
                </c:pt>
                <c:pt idx="110">
                  <c:v>1.7603155339805825</c:v>
                </c:pt>
                <c:pt idx="111">
                  <c:v>1.7357655744336571</c:v>
                </c:pt>
                <c:pt idx="112">
                  <c:v>1.7144265776699028</c:v>
                </c:pt>
                <c:pt idx="113">
                  <c:v>1.6340260922330099</c:v>
                </c:pt>
                <c:pt idx="114">
                  <c:v>1.7345519822006474</c:v>
                </c:pt>
                <c:pt idx="115">
                  <c:v>1.7341221682847896</c:v>
                </c:pt>
                <c:pt idx="116">
                  <c:v>1.6241150889967637</c:v>
                </c:pt>
                <c:pt idx="117">
                  <c:v>1.6184010922330097</c:v>
                </c:pt>
                <c:pt idx="118">
                  <c:v>1.5741302588996764</c:v>
                </c:pt>
                <c:pt idx="119">
                  <c:v>1.5892495954692556</c:v>
                </c:pt>
                <c:pt idx="120">
                  <c:v>1.6236347087378642</c:v>
                </c:pt>
                <c:pt idx="121">
                  <c:v>1.5316545307443366</c:v>
                </c:pt>
                <c:pt idx="122">
                  <c:v>1.5929156553398058</c:v>
                </c:pt>
                <c:pt idx="123">
                  <c:v>1.5442455501618124</c:v>
                </c:pt>
                <c:pt idx="124">
                  <c:v>1.5592131877022655</c:v>
                </c:pt>
                <c:pt idx="125">
                  <c:v>1.4306988268608416</c:v>
                </c:pt>
                <c:pt idx="126">
                  <c:v>1.4515321601941749</c:v>
                </c:pt>
                <c:pt idx="127">
                  <c:v>1.3331816343042071</c:v>
                </c:pt>
                <c:pt idx="128">
                  <c:v>1.3009455906148868</c:v>
                </c:pt>
                <c:pt idx="129">
                  <c:v>1.2575849514563107</c:v>
                </c:pt>
                <c:pt idx="130">
                  <c:v>1.2414542880258899</c:v>
                </c:pt>
                <c:pt idx="131">
                  <c:v>1.2567506067961165</c:v>
                </c:pt>
                <c:pt idx="132">
                  <c:v>1.2476739482200647</c:v>
                </c:pt>
                <c:pt idx="133">
                  <c:v>1.3039795711974111</c:v>
                </c:pt>
                <c:pt idx="134">
                  <c:v>1.2800869741100325</c:v>
                </c:pt>
                <c:pt idx="135">
                  <c:v>1.2314168689320388</c:v>
                </c:pt>
                <c:pt idx="136">
                  <c:v>1.2474716828478964</c:v>
                </c:pt>
                <c:pt idx="137">
                  <c:v>1.2412014563106797</c:v>
                </c:pt>
                <c:pt idx="138">
                  <c:v>1.2066140776699028</c:v>
                </c:pt>
                <c:pt idx="139">
                  <c:v>1.3154581310679612</c:v>
                </c:pt>
                <c:pt idx="140">
                  <c:v>1.3094407362459546</c:v>
                </c:pt>
                <c:pt idx="141">
                  <c:v>1.3406654530744337</c:v>
                </c:pt>
                <c:pt idx="142">
                  <c:v>1.2348300970873787</c:v>
                </c:pt>
                <c:pt idx="143">
                  <c:v>1.180445995145631</c:v>
                </c:pt>
                <c:pt idx="144">
                  <c:v>1.1738976537216828</c:v>
                </c:pt>
                <c:pt idx="145">
                  <c:v>1.06811286407767</c:v>
                </c:pt>
                <c:pt idx="146">
                  <c:v>1.018406148867314</c:v>
                </c:pt>
                <c:pt idx="147">
                  <c:v>1.1323574029126213</c:v>
                </c:pt>
                <c:pt idx="148">
                  <c:v>1.1838592233009708</c:v>
                </c:pt>
                <c:pt idx="149">
                  <c:v>1.1232807443365695</c:v>
                </c:pt>
                <c:pt idx="150">
                  <c:v>1.1943264563106797</c:v>
                </c:pt>
                <c:pt idx="151">
                  <c:v>1.1665655339805825</c:v>
                </c:pt>
                <c:pt idx="152">
                  <c:v>1.151345064724919</c:v>
                </c:pt>
                <c:pt idx="153">
                  <c:v>1.0941039644012944</c:v>
                </c:pt>
                <c:pt idx="154">
                  <c:v>1</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#NAME?</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Data'!$AI$5:$AI$159</c:f>
              <c:numCache>
                <c:formatCode>General</c:formatCode>
                <c:ptCount val="155"/>
                <c:pt idx="0">
                  <c:v>2.2436268494292526</c:v>
                </c:pt>
                <c:pt idx="1">
                  <c:v>2.2579051764724043</c:v>
                </c:pt>
                <c:pt idx="2">
                  <c:v>1.9920195728850709</c:v>
                </c:pt>
                <c:pt idx="3">
                  <c:v>2.1035448841140103</c:v>
                </c:pt>
                <c:pt idx="4">
                  <c:v>1.8716185448455238</c:v>
                </c:pt>
                <c:pt idx="5">
                  <c:v>1.6323600916900136</c:v>
                </c:pt>
                <c:pt idx="6">
                  <c:v>1.5393580155440814</c:v>
                </c:pt>
                <c:pt idx="7">
                  <c:v>1.5694582725539681</c:v>
                </c:pt>
                <c:pt idx="8">
                  <c:v>1.6149945587996943</c:v>
                </c:pt>
                <c:pt idx="9">
                  <c:v>1.6740373706267799</c:v>
                </c:pt>
                <c:pt idx="10">
                  <c:v>1.6632321501616922</c:v>
                </c:pt>
                <c:pt idx="11">
                  <c:v>2.1043166855758022</c:v>
                </c:pt>
                <c:pt idx="12">
                  <c:v>2.1625876959410961</c:v>
                </c:pt>
                <c:pt idx="13">
                  <c:v>2.1525542769378005</c:v>
                </c:pt>
                <c:pt idx="14">
                  <c:v>2.0973704724196747</c:v>
                </c:pt>
                <c:pt idx="15">
                  <c:v>2.0518341861739486</c:v>
                </c:pt>
                <c:pt idx="16">
                  <c:v>1.9580603085662243</c:v>
                </c:pt>
                <c:pt idx="17">
                  <c:v>1.9090509157424342</c:v>
                </c:pt>
                <c:pt idx="18">
                  <c:v>1.9202420369384179</c:v>
                </c:pt>
                <c:pt idx="19">
                  <c:v>1.7365532890319293</c:v>
                </c:pt>
                <c:pt idx="20">
                  <c:v>1.7878780862410952</c:v>
                </c:pt>
                <c:pt idx="21">
                  <c:v>1.7940524979354311</c:v>
                </c:pt>
                <c:pt idx="22">
                  <c:v>1.8696890411910438</c:v>
                </c:pt>
                <c:pt idx="23">
                  <c:v>1.6906311020553071</c:v>
                </c:pt>
                <c:pt idx="24">
                  <c:v>1.6381486026534533</c:v>
                </c:pt>
                <c:pt idx="25">
                  <c:v>1.5165898724212183</c:v>
                </c:pt>
                <c:pt idx="26">
                  <c:v>1.5196770782683862</c:v>
                </c:pt>
                <c:pt idx="27">
                  <c:v>1.3444781464416093</c:v>
                </c:pt>
                <c:pt idx="28">
                  <c:v>1.5929982171386232</c:v>
                </c:pt>
                <c:pt idx="29">
                  <c:v>1.7496739138823929</c:v>
                </c:pt>
                <c:pt idx="30">
                  <c:v>1.7133992451781703</c:v>
                </c:pt>
                <c:pt idx="31">
                  <c:v>1.6466384187331651</c:v>
                </c:pt>
                <c:pt idx="32">
                  <c:v>1.7006645210586029</c:v>
                </c:pt>
                <c:pt idx="33">
                  <c:v>1.7708984540816719</c:v>
                </c:pt>
                <c:pt idx="34">
                  <c:v>2.0078415028518064</c:v>
                </c:pt>
                <c:pt idx="35">
                  <c:v>1.9796707494963994</c:v>
                </c:pt>
                <c:pt idx="36">
                  <c:v>2.0120864108916621</c:v>
                </c:pt>
                <c:pt idx="37">
                  <c:v>1.9213997391311057</c:v>
                </c:pt>
                <c:pt idx="38">
                  <c:v>2.1216822184661215</c:v>
                </c:pt>
                <c:pt idx="39">
                  <c:v>1.9800566502272954</c:v>
                </c:pt>
                <c:pt idx="40">
                  <c:v>2.1255412257750814</c:v>
                </c:pt>
                <c:pt idx="41">
                  <c:v>1.8291694644469656</c:v>
                </c:pt>
                <c:pt idx="42">
                  <c:v>1.8291694644469656</c:v>
                </c:pt>
                <c:pt idx="43">
                  <c:v>1.8357297768721972</c:v>
                </c:pt>
                <c:pt idx="44">
                  <c:v>1.889369978466739</c:v>
                </c:pt>
                <c:pt idx="45">
                  <c:v>1.9028765040480986</c:v>
                </c:pt>
                <c:pt idx="46">
                  <c:v>1.7164864510253381</c:v>
                </c:pt>
                <c:pt idx="47">
                  <c:v>1.6879297969390352</c:v>
                </c:pt>
                <c:pt idx="48">
                  <c:v>1.7600932336165844</c:v>
                </c:pt>
                <c:pt idx="49">
                  <c:v>1.8106462293639582</c:v>
                </c:pt>
                <c:pt idx="50">
                  <c:v>1.8530953097625167</c:v>
                </c:pt>
                <c:pt idx="51">
                  <c:v>1.7573919285003126</c:v>
                </c:pt>
                <c:pt idx="52">
                  <c:v>1.8762493536162757</c:v>
                </c:pt>
                <c:pt idx="53">
                  <c:v>1.9889323670379031</c:v>
                </c:pt>
                <c:pt idx="54">
                  <c:v>1.9356780661742572</c:v>
                </c:pt>
                <c:pt idx="55">
                  <c:v>1.8407464863738452</c:v>
                </c:pt>
                <c:pt idx="56">
                  <c:v>1.7338519839156574</c:v>
                </c:pt>
                <c:pt idx="57">
                  <c:v>1.7141710466399622</c:v>
                </c:pt>
                <c:pt idx="58">
                  <c:v>1.7747574613906318</c:v>
                </c:pt>
                <c:pt idx="59">
                  <c:v>2.0213480284331657</c:v>
                </c:pt>
                <c:pt idx="60">
                  <c:v>2.1610440930175119</c:v>
                </c:pt>
                <c:pt idx="61">
                  <c:v>2.1012294797286346</c:v>
                </c:pt>
                <c:pt idx="62">
                  <c:v>1.9788989480346075</c:v>
                </c:pt>
                <c:pt idx="63">
                  <c:v>2.3941281344786867</c:v>
                </c:pt>
                <c:pt idx="64">
                  <c:v>2.3524508555419201</c:v>
                </c:pt>
                <c:pt idx="65">
                  <c:v>2.5770450809233831</c:v>
                </c:pt>
                <c:pt idx="66">
                  <c:v>2.918953128497225</c:v>
                </c:pt>
                <c:pt idx="67">
                  <c:v>2.7753980566039189</c:v>
                </c:pt>
                <c:pt idx="68">
                  <c:v>2.7514722112883678</c:v>
                </c:pt>
                <c:pt idx="69">
                  <c:v>2.6804664768035069</c:v>
                </c:pt>
                <c:pt idx="70">
                  <c:v>2.7398951893614885</c:v>
                </c:pt>
                <c:pt idx="71">
                  <c:v>2.5886221028502625</c:v>
                </c:pt>
                <c:pt idx="72">
                  <c:v>2.7306335718199848</c:v>
                </c:pt>
                <c:pt idx="73">
                  <c:v>2.7923776887633425</c:v>
                </c:pt>
                <c:pt idx="74">
                  <c:v>2.7190565498931054</c:v>
                </c:pt>
                <c:pt idx="75">
                  <c:v>2.8000957033812619</c:v>
                </c:pt>
                <c:pt idx="76">
                  <c:v>2.6966743075011381</c:v>
                </c:pt>
                <c:pt idx="77">
                  <c:v>2.6866408884978425</c:v>
                </c:pt>
                <c:pt idx="78">
                  <c:v>2.8780476510222508</c:v>
                </c:pt>
                <c:pt idx="79">
                  <c:v>3.0324079433806448</c:v>
                </c:pt>
                <c:pt idx="80">
                  <c:v>3.0578773916197797</c:v>
                </c:pt>
                <c:pt idx="81">
                  <c:v>3.0493875755400679</c:v>
                </c:pt>
                <c:pt idx="82">
                  <c:v>2.8857656656401707</c:v>
                </c:pt>
                <c:pt idx="83">
                  <c:v>2.8857656656401707</c:v>
                </c:pt>
                <c:pt idx="84">
                  <c:v>3.0563337886961954</c:v>
                </c:pt>
                <c:pt idx="85">
                  <c:v>2.8163035340788936</c:v>
                </c:pt>
                <c:pt idx="86">
                  <c:v>2.6642586461058757</c:v>
                </c:pt>
                <c:pt idx="87">
                  <c:v>2.5878503013884706</c:v>
                </c:pt>
                <c:pt idx="88">
                  <c:v>2.1980905631835266</c:v>
                </c:pt>
                <c:pt idx="89">
                  <c:v>2.1506247732833206</c:v>
                </c:pt>
                <c:pt idx="90">
                  <c:v>2.189986647834711</c:v>
                </c:pt>
                <c:pt idx="91">
                  <c:v>2.0367840576690051</c:v>
                </c:pt>
                <c:pt idx="92">
                  <c:v>1.9592180107589123</c:v>
                </c:pt>
                <c:pt idx="93">
                  <c:v>1.9773553451110235</c:v>
                </c:pt>
                <c:pt idx="94">
                  <c:v>1.9773553451110235</c:v>
                </c:pt>
                <c:pt idx="95">
                  <c:v>1.9491845917556168</c:v>
                </c:pt>
                <c:pt idx="96">
                  <c:v>1.8866686733504672</c:v>
                </c:pt>
                <c:pt idx="97">
                  <c:v>1.7959820015899108</c:v>
                </c:pt>
                <c:pt idx="98">
                  <c:v>1.8488504017226608</c:v>
                </c:pt>
                <c:pt idx="99">
                  <c:v>1.8480786002608689</c:v>
                </c:pt>
                <c:pt idx="100">
                  <c:v>1.8611992251113323</c:v>
                </c:pt>
                <c:pt idx="101">
                  <c:v>1.6408499077697252</c:v>
                </c:pt>
                <c:pt idx="102">
                  <c:v>1.573703180593824</c:v>
                </c:pt>
                <c:pt idx="103">
                  <c:v>1.571773676939344</c:v>
                </c:pt>
                <c:pt idx="104">
                  <c:v>1.6342895953444936</c:v>
                </c:pt>
                <c:pt idx="105">
                  <c:v>1.5868238054442874</c:v>
                </c:pt>
                <c:pt idx="106">
                  <c:v>1.4942076300292513</c:v>
                </c:pt>
                <c:pt idx="107">
                  <c:v>1.5667569674376962</c:v>
                </c:pt>
                <c:pt idx="108">
                  <c:v>1.5995585295638548</c:v>
                </c:pt>
                <c:pt idx="109">
                  <c:v>1.5906828127532473</c:v>
                </c:pt>
                <c:pt idx="110">
                  <c:v>1.7068389327529385</c:v>
                </c:pt>
                <c:pt idx="111">
                  <c:v>1.6447089150786851</c:v>
                </c:pt>
                <c:pt idx="112">
                  <c:v>1.6257997792647818</c:v>
                </c:pt>
                <c:pt idx="113">
                  <c:v>1.5725454784011359</c:v>
                </c:pt>
                <c:pt idx="114">
                  <c:v>1.6022598346801269</c:v>
                </c:pt>
                <c:pt idx="115">
                  <c:v>1.6319741909591177</c:v>
                </c:pt>
                <c:pt idx="116">
                  <c:v>1.5327977031188496</c:v>
                </c:pt>
                <c:pt idx="117">
                  <c:v>1.5995585295638548</c:v>
                </c:pt>
                <c:pt idx="118">
                  <c:v>1.5007679424544829</c:v>
                </c:pt>
                <c:pt idx="119">
                  <c:v>1.6450948158095811</c:v>
                </c:pt>
                <c:pt idx="120">
                  <c:v>1.5621261586669444</c:v>
                </c:pt>
                <c:pt idx="121">
                  <c:v>1.5868238054442874</c:v>
                </c:pt>
                <c:pt idx="122">
                  <c:v>1.5358849089660176</c:v>
                </c:pt>
                <c:pt idx="123">
                  <c:v>1.452144450361589</c:v>
                </c:pt>
                <c:pt idx="124">
                  <c:v>1.4907345234511873</c:v>
                </c:pt>
                <c:pt idx="125">
                  <c:v>1.4085376677703427</c:v>
                </c:pt>
                <c:pt idx="126">
                  <c:v>1.3444781464416093</c:v>
                </c:pt>
                <c:pt idx="127">
                  <c:v>1.206325684780847</c:v>
                </c:pt>
                <c:pt idx="128">
                  <c:v>1.1777690306945441</c:v>
                </c:pt>
                <c:pt idx="129">
                  <c:v>1.1777690306945441</c:v>
                </c:pt>
                <c:pt idx="130">
                  <c:v>1.1677356116912485</c:v>
                </c:pt>
                <c:pt idx="131">
                  <c:v>1.2306374308272938</c:v>
                </c:pt>
                <c:pt idx="132">
                  <c:v>1.2179027067077264</c:v>
                </c:pt>
                <c:pt idx="133">
                  <c:v>1.2431174604644701</c:v>
                </c:pt>
                <c:pt idx="134">
                  <c:v>1.2443986508910447</c:v>
                </c:pt>
                <c:pt idx="135">
                  <c:v>1.2027213719542784</c:v>
                </c:pt>
                <c:pt idx="136">
                  <c:v>1.235908834811333</c:v>
                </c:pt>
                <c:pt idx="137">
                  <c:v>1.2238224239196709</c:v>
                </c:pt>
                <c:pt idx="138">
                  <c:v>1.1471516667052566</c:v>
                </c:pt>
                <c:pt idx="139">
                  <c:v>1.1980905631835266</c:v>
                </c:pt>
                <c:pt idx="140">
                  <c:v>1.2161044093017512</c:v>
                </c:pt>
                <c:pt idx="141">
                  <c:v>1.1867759537536564</c:v>
                </c:pt>
                <c:pt idx="142">
                  <c:v>1.1932050599303834</c:v>
                </c:pt>
                <c:pt idx="143">
                  <c:v>1.1749365193297674</c:v>
                </c:pt>
                <c:pt idx="144">
                  <c:v>1.105991494747891</c:v>
                </c:pt>
                <c:pt idx="145">
                  <c:v>0.98816056557611109</c:v>
                </c:pt>
                <c:pt idx="146">
                  <c:v>1.0108052204650875</c:v>
                </c:pt>
                <c:pt idx="147">
                  <c:v>1.0540261023254378</c:v>
                </c:pt>
                <c:pt idx="148">
                  <c:v>1.1872853427184389</c:v>
                </c:pt>
                <c:pt idx="149">
                  <c:v>1.1530713839172011</c:v>
                </c:pt>
                <c:pt idx="150">
                  <c:v>1.1600175970733289</c:v>
                </c:pt>
                <c:pt idx="151">
                  <c:v>1.1937221669097842</c:v>
                </c:pt>
                <c:pt idx="152">
                  <c:v>1.1937221669097842</c:v>
                </c:pt>
                <c:pt idx="153">
                  <c:v>1.063797108831724</c:v>
                </c:pt>
                <c:pt idx="154">
                  <c:v>1</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#NAME?</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Data'!$AJ$5:$AJ$159</c:f>
              <c:numCache>
                <c:formatCode>General</c:formatCode>
                <c:ptCount val="155"/>
                <c:pt idx="0">
                  <c:v>3.4794520547945207</c:v>
                </c:pt>
                <c:pt idx="1">
                  <c:v>3.6525529265255292</c:v>
                </c:pt>
                <c:pt idx="2">
                  <c:v>3.3462017434620175</c:v>
                </c:pt>
                <c:pt idx="3">
                  <c:v>3.5105853051058529</c:v>
                </c:pt>
                <c:pt idx="4">
                  <c:v>3.195516811955168</c:v>
                </c:pt>
                <c:pt idx="5">
                  <c:v>2.9128268991282691</c:v>
                </c:pt>
                <c:pt idx="6">
                  <c:v>2.6587795765877957</c:v>
                </c:pt>
                <c:pt idx="7">
                  <c:v>2.8069738480697386</c:v>
                </c:pt>
                <c:pt idx="8">
                  <c:v>2.7870485678704857</c:v>
                </c:pt>
                <c:pt idx="9">
                  <c:v>3.0024906600249066</c:v>
                </c:pt>
                <c:pt idx="10">
                  <c:v>2.8904109589041096</c:v>
                </c:pt>
                <c:pt idx="11">
                  <c:v>2.8804483188044832</c:v>
                </c:pt>
                <c:pt idx="12">
                  <c:v>3.044831880448319</c:v>
                </c:pt>
                <c:pt idx="13">
                  <c:v>3.0037359900373599</c:v>
                </c:pt>
                <c:pt idx="14">
                  <c:v>3.028642590286426</c:v>
                </c:pt>
                <c:pt idx="15">
                  <c:v>2.8119551681195518</c:v>
                </c:pt>
                <c:pt idx="16">
                  <c:v>2.816936488169365</c:v>
                </c:pt>
                <c:pt idx="17">
                  <c:v>2.759651307596513</c:v>
                </c:pt>
                <c:pt idx="18">
                  <c:v>2.7272727272727271</c:v>
                </c:pt>
                <c:pt idx="19">
                  <c:v>2.5628891656288917</c:v>
                </c:pt>
                <c:pt idx="20">
                  <c:v>2.6201743462017433</c:v>
                </c:pt>
                <c:pt idx="21">
                  <c:v>2.6176836861768367</c:v>
                </c:pt>
                <c:pt idx="22">
                  <c:v>2.8567870485678704</c:v>
                </c:pt>
                <c:pt idx="23">
                  <c:v>2.4219178082191779</c:v>
                </c:pt>
                <c:pt idx="24">
                  <c:v>2.3571606475716065</c:v>
                </c:pt>
                <c:pt idx="25">
                  <c:v>2.2508094645080945</c:v>
                </c:pt>
                <c:pt idx="26">
                  <c:v>2.2393524283935244</c:v>
                </c:pt>
                <c:pt idx="27">
                  <c:v>2.1006226650062265</c:v>
                </c:pt>
                <c:pt idx="28">
                  <c:v>2.441095890410959</c:v>
                </c:pt>
                <c:pt idx="29">
                  <c:v>2.6537982565379825</c:v>
                </c:pt>
                <c:pt idx="30">
                  <c:v>2.7297633872976337</c:v>
                </c:pt>
                <c:pt idx="31">
                  <c:v>2.7584059775840597</c:v>
                </c:pt>
                <c:pt idx="32">
                  <c:v>2.7608966376089663</c:v>
                </c:pt>
                <c:pt idx="33">
                  <c:v>2.7671232876712328</c:v>
                </c:pt>
                <c:pt idx="34">
                  <c:v>2.8729763387297633</c:v>
                </c:pt>
                <c:pt idx="35">
                  <c:v>2.503113325031133</c:v>
                </c:pt>
                <c:pt idx="36">
                  <c:v>2.5541718555417185</c:v>
                </c:pt>
                <c:pt idx="37">
                  <c:v>2.6587795765877957</c:v>
                </c:pt>
                <c:pt idx="38">
                  <c:v>2.8605230386052303</c:v>
                </c:pt>
                <c:pt idx="39">
                  <c:v>2.4993773349937736</c:v>
                </c:pt>
                <c:pt idx="40">
                  <c:v>2.5853051058530512</c:v>
                </c:pt>
                <c:pt idx="41">
                  <c:v>2.3442092154420924</c:v>
                </c:pt>
                <c:pt idx="42">
                  <c:v>2.3442092154420924</c:v>
                </c:pt>
                <c:pt idx="43">
                  <c:v>2.2988792029887919</c:v>
                </c:pt>
                <c:pt idx="44">
                  <c:v>2.4179327521793277</c:v>
                </c:pt>
                <c:pt idx="45">
                  <c:v>2.493150684931507</c:v>
                </c:pt>
                <c:pt idx="46">
                  <c:v>2.235118306351183</c:v>
                </c:pt>
                <c:pt idx="47">
                  <c:v>2.2981320049813201</c:v>
                </c:pt>
                <c:pt idx="48">
                  <c:v>2.3330012453300126</c:v>
                </c:pt>
                <c:pt idx="49">
                  <c:v>2.6002490660024908</c:v>
                </c:pt>
                <c:pt idx="50">
                  <c:v>2.5417185554171855</c:v>
                </c:pt>
                <c:pt idx="51">
                  <c:v>2.3770859277708594</c:v>
                </c:pt>
                <c:pt idx="52">
                  <c:v>2.5155666251556661</c:v>
                </c:pt>
                <c:pt idx="53">
                  <c:v>2.6264009962640098</c:v>
                </c:pt>
                <c:pt idx="54">
                  <c:v>2.468742216687422</c:v>
                </c:pt>
                <c:pt idx="55">
                  <c:v>2.4495641344956414</c:v>
                </c:pt>
                <c:pt idx="56">
                  <c:v>2.4273972602739726</c:v>
                </c:pt>
                <c:pt idx="57">
                  <c:v>2.4034869240348691</c:v>
                </c:pt>
                <c:pt idx="58">
                  <c:v>2.4079701120797012</c:v>
                </c:pt>
                <c:pt idx="59">
                  <c:v>2.7608966376089663</c:v>
                </c:pt>
                <c:pt idx="60">
                  <c:v>2.8630136986301369</c:v>
                </c:pt>
                <c:pt idx="61">
                  <c:v>2.6787048567870486</c:v>
                </c:pt>
                <c:pt idx="62">
                  <c:v>2.5155666251556661</c:v>
                </c:pt>
                <c:pt idx="63">
                  <c:v>3.211706102117061</c:v>
                </c:pt>
                <c:pt idx="64">
                  <c:v>3.3250311332503113</c:v>
                </c:pt>
                <c:pt idx="65">
                  <c:v>3.6874221668742218</c:v>
                </c:pt>
                <c:pt idx="66">
                  <c:v>4.1195516811955164</c:v>
                </c:pt>
                <c:pt idx="67">
                  <c:v>3.8642590286425902</c:v>
                </c:pt>
                <c:pt idx="68">
                  <c:v>3.8032378580323787</c:v>
                </c:pt>
                <c:pt idx="69">
                  <c:v>3.6513075965130759</c:v>
                </c:pt>
                <c:pt idx="70">
                  <c:v>3.7945205479452055</c:v>
                </c:pt>
                <c:pt idx="71">
                  <c:v>3.6625155666251556</c:v>
                </c:pt>
                <c:pt idx="72">
                  <c:v>3.7708592777085927</c:v>
                </c:pt>
                <c:pt idx="73">
                  <c:v>3.8617683686176836</c:v>
                </c:pt>
                <c:pt idx="74">
                  <c:v>3.8655043586550435</c:v>
                </c:pt>
                <c:pt idx="75">
                  <c:v>4.3586550435865501</c:v>
                </c:pt>
                <c:pt idx="76">
                  <c:v>4.1095890410958908</c:v>
                </c:pt>
                <c:pt idx="77">
                  <c:v>4.2067247820672478</c:v>
                </c:pt>
                <c:pt idx="78">
                  <c:v>4.4184308841843087</c:v>
                </c:pt>
                <c:pt idx="79">
                  <c:v>4.6973848069738482</c:v>
                </c:pt>
                <c:pt idx="80">
                  <c:v>4.7322540473225407</c:v>
                </c:pt>
                <c:pt idx="81">
                  <c:v>4.8405977584059778</c:v>
                </c:pt>
                <c:pt idx="82">
                  <c:v>4.5043586550435863</c:v>
                </c:pt>
                <c:pt idx="83">
                  <c:v>4.5043586550435863</c:v>
                </c:pt>
                <c:pt idx="84">
                  <c:v>4.9925280199252802</c:v>
                </c:pt>
                <c:pt idx="85">
                  <c:v>4.7073474470734746</c:v>
                </c:pt>
                <c:pt idx="86">
                  <c:v>4.4981320049813203</c:v>
                </c:pt>
                <c:pt idx="87">
                  <c:v>4.5516811955168119</c:v>
                </c:pt>
                <c:pt idx="88">
                  <c:v>4.0709838107098379</c:v>
                </c:pt>
                <c:pt idx="89">
                  <c:v>3.6537982565379825</c:v>
                </c:pt>
                <c:pt idx="90">
                  <c:v>3.6363636363636362</c:v>
                </c:pt>
                <c:pt idx="91">
                  <c:v>3.1930261519302614</c:v>
                </c:pt>
                <c:pt idx="92">
                  <c:v>2.9526774595267744</c:v>
                </c:pt>
                <c:pt idx="93">
                  <c:v>2.9464508094645079</c:v>
                </c:pt>
                <c:pt idx="94">
                  <c:v>2.9464508094645079</c:v>
                </c:pt>
                <c:pt idx="95">
                  <c:v>2.9190535491905356</c:v>
                </c:pt>
                <c:pt idx="96">
                  <c:v>2.916562889165629</c:v>
                </c:pt>
                <c:pt idx="97">
                  <c:v>2.7322540473225403</c:v>
                </c:pt>
                <c:pt idx="98">
                  <c:v>2.6625155666251556</c:v>
                </c:pt>
                <c:pt idx="99">
                  <c:v>2.464508094645081</c:v>
                </c:pt>
                <c:pt idx="100">
                  <c:v>2.4283935242839352</c:v>
                </c:pt>
                <c:pt idx="101">
                  <c:v>2.1740971357409715</c:v>
                </c:pt>
                <c:pt idx="102">
                  <c:v>1.8533001245330012</c:v>
                </c:pt>
                <c:pt idx="103">
                  <c:v>1.8650062266500622</c:v>
                </c:pt>
                <c:pt idx="104">
                  <c:v>1.9285180572851806</c:v>
                </c:pt>
                <c:pt idx="105">
                  <c:v>1.8396014943960148</c:v>
                </c:pt>
                <c:pt idx="106">
                  <c:v>1.7459526774595269</c:v>
                </c:pt>
                <c:pt idx="107">
                  <c:v>1.8200498132004981</c:v>
                </c:pt>
                <c:pt idx="108">
                  <c:v>1.759651307596513</c:v>
                </c:pt>
                <c:pt idx="109">
                  <c:v>1.7428393524283936</c:v>
                </c:pt>
                <c:pt idx="110">
                  <c:v>1.87173100871731</c:v>
                </c:pt>
                <c:pt idx="111">
                  <c:v>1.8349937733499377</c:v>
                </c:pt>
                <c:pt idx="112">
                  <c:v>1.7851805728518058</c:v>
                </c:pt>
                <c:pt idx="113">
                  <c:v>1.7826899128268991</c:v>
                </c:pt>
                <c:pt idx="114">
                  <c:v>1.825653798256538</c:v>
                </c:pt>
                <c:pt idx="115">
                  <c:v>1.887920298879203</c:v>
                </c:pt>
                <c:pt idx="116">
                  <c:v>1.9265255292652552</c:v>
                </c:pt>
                <c:pt idx="117">
                  <c:v>1.9900373599003736</c:v>
                </c:pt>
                <c:pt idx="118">
                  <c:v>1.8935242839352429</c:v>
                </c:pt>
                <c:pt idx="119">
                  <c:v>2.028642590286426</c:v>
                </c:pt>
                <c:pt idx="120">
                  <c:v>1.9831880448318804</c:v>
                </c:pt>
                <c:pt idx="121">
                  <c:v>2.0174346201743463</c:v>
                </c:pt>
                <c:pt idx="122">
                  <c:v>1.9763387297633872</c:v>
                </c:pt>
                <c:pt idx="123">
                  <c:v>1.8555417185554173</c:v>
                </c:pt>
                <c:pt idx="124">
                  <c:v>1.8169364881693648</c:v>
                </c:pt>
                <c:pt idx="125">
                  <c:v>1.6276463262764633</c:v>
                </c:pt>
                <c:pt idx="126">
                  <c:v>1.5666251556662516</c:v>
                </c:pt>
                <c:pt idx="127">
                  <c:v>1.4221668742216687</c:v>
                </c:pt>
                <c:pt idx="128">
                  <c:v>1.3636363636363635</c:v>
                </c:pt>
                <c:pt idx="129">
                  <c:v>1.3636363636363635</c:v>
                </c:pt>
                <c:pt idx="130">
                  <c:v>1.3250311332503113</c:v>
                </c:pt>
                <c:pt idx="131">
                  <c:v>1.3947696139476962</c:v>
                </c:pt>
                <c:pt idx="132">
                  <c:v>1.386052303860523</c:v>
                </c:pt>
                <c:pt idx="133">
                  <c:v>1.452054794520548</c:v>
                </c:pt>
                <c:pt idx="134">
                  <c:v>1.3810709838107098</c:v>
                </c:pt>
                <c:pt idx="135">
                  <c:v>1.4072229140722292</c:v>
                </c:pt>
                <c:pt idx="136">
                  <c:v>1.4184308841843087</c:v>
                </c:pt>
                <c:pt idx="137">
                  <c:v>1.3910336239103362</c:v>
                </c:pt>
                <c:pt idx="138">
                  <c:v>1.273972602739726</c:v>
                </c:pt>
                <c:pt idx="139">
                  <c:v>1.2814445828144458</c:v>
                </c:pt>
                <c:pt idx="140">
                  <c:v>1.2926525529265256</c:v>
                </c:pt>
                <c:pt idx="141">
                  <c:v>1.2528019925280198</c:v>
                </c:pt>
                <c:pt idx="142">
                  <c:v>1.2067247820672478</c:v>
                </c:pt>
                <c:pt idx="143">
                  <c:v>1.1668742216687422</c:v>
                </c:pt>
                <c:pt idx="144">
                  <c:v>1.1257783312577834</c:v>
                </c:pt>
                <c:pt idx="145">
                  <c:v>1.0361145703611456</c:v>
                </c:pt>
                <c:pt idx="146">
                  <c:v>1.0560398505603985</c:v>
                </c:pt>
                <c:pt idx="147">
                  <c:v>1.0884184308841842</c:v>
                </c:pt>
                <c:pt idx="148">
                  <c:v>1.1606475716064757</c:v>
                </c:pt>
                <c:pt idx="149">
                  <c:v>1.1307596513075966</c:v>
                </c:pt>
                <c:pt idx="150">
                  <c:v>1.1245330012453301</c:v>
                </c:pt>
                <c:pt idx="151">
                  <c:v>1.1494396014943959</c:v>
                </c:pt>
                <c:pt idx="152">
                  <c:v>1.1494396014943959</c:v>
                </c:pt>
                <c:pt idx="153">
                  <c:v>1.0435865504358655</c:v>
                </c:pt>
                <c:pt idx="154">
                  <c:v>1</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#NAME?</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Data'!$AK$5:$AK$159</c:f>
              <c:numCache>
                <c:formatCode>General</c:formatCode>
                <c:ptCount val="155"/>
                <c:pt idx="0">
                  <c:v>1.6023489932885906</c:v>
                </c:pt>
                <c:pt idx="1">
                  <c:v>1.4429530201342282</c:v>
                </c:pt>
                <c:pt idx="2">
                  <c:v>1.4429530201342282</c:v>
                </c:pt>
                <c:pt idx="3">
                  <c:v>1.4328859060402686</c:v>
                </c:pt>
                <c:pt idx="4">
                  <c:v>1.3120805369127517</c:v>
                </c:pt>
                <c:pt idx="5">
                  <c:v>1.2181208053691275</c:v>
                </c:pt>
                <c:pt idx="6">
                  <c:v>1.1711409395973154</c:v>
                </c:pt>
                <c:pt idx="7">
                  <c:v>1.1845637583892616</c:v>
                </c:pt>
                <c:pt idx="8">
                  <c:v>1.1828859060402686</c:v>
                </c:pt>
                <c:pt idx="9">
                  <c:v>1.2063758389261745</c:v>
                </c:pt>
                <c:pt idx="10">
                  <c:v>1.1543624161073827</c:v>
                </c:pt>
                <c:pt idx="11">
                  <c:v>1.2181208053691275</c:v>
                </c:pt>
                <c:pt idx="12">
                  <c:v>1.1140939597315436</c:v>
                </c:pt>
                <c:pt idx="13">
                  <c:v>1.0855704697986577</c:v>
                </c:pt>
                <c:pt idx="14">
                  <c:v>1.0134228187919463</c:v>
                </c:pt>
                <c:pt idx="15">
                  <c:v>1.0201342281879195</c:v>
                </c:pt>
                <c:pt idx="16">
                  <c:v>1.0285234899328859</c:v>
                </c:pt>
                <c:pt idx="17">
                  <c:v>1.0033557046979866</c:v>
                </c:pt>
                <c:pt idx="18">
                  <c:v>1.0050335570469799</c:v>
                </c:pt>
                <c:pt idx="19">
                  <c:v>0.96979865771812079</c:v>
                </c:pt>
                <c:pt idx="20">
                  <c:v>0.93791946308724827</c:v>
                </c:pt>
                <c:pt idx="21">
                  <c:v>0.93456375838926176</c:v>
                </c:pt>
                <c:pt idx="22">
                  <c:v>0.96308724832214765</c:v>
                </c:pt>
                <c:pt idx="23">
                  <c:v>0.91610738255033553</c:v>
                </c:pt>
                <c:pt idx="24">
                  <c:v>0.93120805369127513</c:v>
                </c:pt>
                <c:pt idx="25">
                  <c:v>0.93456375838926176</c:v>
                </c:pt>
                <c:pt idx="26">
                  <c:v>0.91778523489932884</c:v>
                </c:pt>
                <c:pt idx="27">
                  <c:v>0.88926174496644295</c:v>
                </c:pt>
                <c:pt idx="28">
                  <c:v>0.98657718120805371</c:v>
                </c:pt>
                <c:pt idx="29">
                  <c:v>1.0302013422818792</c:v>
                </c:pt>
                <c:pt idx="30">
                  <c:v>0.98154362416107388</c:v>
                </c:pt>
                <c:pt idx="31">
                  <c:v>0.92114093959731547</c:v>
                </c:pt>
                <c:pt idx="32">
                  <c:v>0.90604026845637586</c:v>
                </c:pt>
                <c:pt idx="33">
                  <c:v>0.94966442953020136</c:v>
                </c:pt>
                <c:pt idx="34">
                  <c:v>0.9848993288590604</c:v>
                </c:pt>
                <c:pt idx="35">
                  <c:v>0.93624161073825507</c:v>
                </c:pt>
                <c:pt idx="36">
                  <c:v>0.88758389261744963</c:v>
                </c:pt>
                <c:pt idx="37">
                  <c:v>0.91107382550335569</c:v>
                </c:pt>
                <c:pt idx="38">
                  <c:v>0.91107382550335569</c:v>
                </c:pt>
                <c:pt idx="39">
                  <c:v>0.90100671140939592</c:v>
                </c:pt>
                <c:pt idx="40">
                  <c:v>0.96140939597315433</c:v>
                </c:pt>
                <c:pt idx="41">
                  <c:v>0.92114093959731547</c:v>
                </c:pt>
                <c:pt idx="42">
                  <c:v>0.92114093959731547</c:v>
                </c:pt>
                <c:pt idx="43">
                  <c:v>0.92114093959731547</c:v>
                </c:pt>
                <c:pt idx="44">
                  <c:v>0.90604026845637586</c:v>
                </c:pt>
                <c:pt idx="45">
                  <c:v>0.89093959731543626</c:v>
                </c:pt>
                <c:pt idx="46">
                  <c:v>0.94463087248322153</c:v>
                </c:pt>
                <c:pt idx="47">
                  <c:v>0.92785234899328861</c:v>
                </c:pt>
                <c:pt idx="48">
                  <c:v>0.84899328859060408</c:v>
                </c:pt>
                <c:pt idx="49">
                  <c:v>0.96140939597315433</c:v>
                </c:pt>
                <c:pt idx="50">
                  <c:v>0.99161073825503354</c:v>
                </c:pt>
                <c:pt idx="51">
                  <c:v>0.99161073825503354</c:v>
                </c:pt>
                <c:pt idx="52">
                  <c:v>0.99832214765100669</c:v>
                </c:pt>
                <c:pt idx="53">
                  <c:v>1.0285234899328859</c:v>
                </c:pt>
                <c:pt idx="54">
                  <c:v>1.0285234899328859</c:v>
                </c:pt>
                <c:pt idx="55">
                  <c:v>1.0436241610738255</c:v>
                </c:pt>
                <c:pt idx="56">
                  <c:v>1.0889261744966443</c:v>
                </c:pt>
                <c:pt idx="57">
                  <c:v>1.0889261744966443</c:v>
                </c:pt>
                <c:pt idx="58">
                  <c:v>1.174496644295302</c:v>
                </c:pt>
                <c:pt idx="59">
                  <c:v>1.2818791946308725</c:v>
                </c:pt>
                <c:pt idx="60">
                  <c:v>1.313758389261745</c:v>
                </c:pt>
                <c:pt idx="61">
                  <c:v>1.2953020134228188</c:v>
                </c:pt>
                <c:pt idx="62">
                  <c:v>1.2533557046979866</c:v>
                </c:pt>
                <c:pt idx="63">
                  <c:v>1.4077181208053691</c:v>
                </c:pt>
                <c:pt idx="64">
                  <c:v>1.3758389261744965</c:v>
                </c:pt>
                <c:pt idx="65">
                  <c:v>1.4546979865771812</c:v>
                </c:pt>
                <c:pt idx="66">
                  <c:v>1.4731543624161074</c:v>
                </c:pt>
                <c:pt idx="67">
                  <c:v>1.3724832214765101</c:v>
                </c:pt>
                <c:pt idx="68">
                  <c:v>1.3640939597315436</c:v>
                </c:pt>
                <c:pt idx="69">
                  <c:v>1.3624161073825503</c:v>
                </c:pt>
                <c:pt idx="70">
                  <c:v>1.2835570469798658</c:v>
                </c:pt>
                <c:pt idx="71">
                  <c:v>1.2986577181208054</c:v>
                </c:pt>
                <c:pt idx="72">
                  <c:v>1.261744966442953</c:v>
                </c:pt>
                <c:pt idx="73">
                  <c:v>1.3036912751677852</c:v>
                </c:pt>
                <c:pt idx="74">
                  <c:v>1.3640939597315436</c:v>
                </c:pt>
                <c:pt idx="75">
                  <c:v>1.3640939597315436</c:v>
                </c:pt>
                <c:pt idx="76">
                  <c:v>1.3187919463087248</c:v>
                </c:pt>
                <c:pt idx="77">
                  <c:v>1.3187919463087248</c:v>
                </c:pt>
                <c:pt idx="78">
                  <c:v>1.3238255033557047</c:v>
                </c:pt>
                <c:pt idx="79">
                  <c:v>1.4110738255033557</c:v>
                </c:pt>
                <c:pt idx="80">
                  <c:v>1.4110738255033557</c:v>
                </c:pt>
                <c:pt idx="81">
                  <c:v>1.3389261744966443</c:v>
                </c:pt>
                <c:pt idx="82">
                  <c:v>1.2902684563758389</c:v>
                </c:pt>
                <c:pt idx="83">
                  <c:v>1.2432885906040267</c:v>
                </c:pt>
                <c:pt idx="84">
                  <c:v>1.2231543624161074</c:v>
                </c:pt>
                <c:pt idx="85">
                  <c:v>1.2281879194630871</c:v>
                </c:pt>
                <c:pt idx="86">
                  <c:v>1.2248322147651007</c:v>
                </c:pt>
                <c:pt idx="87">
                  <c:v>1.2416107382550337</c:v>
                </c:pt>
                <c:pt idx="88">
                  <c:v>1.2583892617449663</c:v>
                </c:pt>
                <c:pt idx="89">
                  <c:v>1.2197986577181208</c:v>
                </c:pt>
                <c:pt idx="90">
                  <c:v>1.2416107382550337</c:v>
                </c:pt>
                <c:pt idx="91">
                  <c:v>1.1912751677852349</c:v>
                </c:pt>
                <c:pt idx="92">
                  <c:v>1.2348993288590604</c:v>
                </c:pt>
                <c:pt idx="93">
                  <c:v>1.2919463087248322</c:v>
                </c:pt>
                <c:pt idx="94">
                  <c:v>1.3087248322147651</c:v>
                </c:pt>
                <c:pt idx="95">
                  <c:v>1.2550335570469799</c:v>
                </c:pt>
                <c:pt idx="96">
                  <c:v>1.2214765100671141</c:v>
                </c:pt>
                <c:pt idx="97">
                  <c:v>1.2030201342281879</c:v>
                </c:pt>
                <c:pt idx="98">
                  <c:v>1.2197986577181208</c:v>
                </c:pt>
                <c:pt idx="99">
                  <c:v>1.2214765100671141</c:v>
                </c:pt>
                <c:pt idx="100">
                  <c:v>1.2114093959731544</c:v>
                </c:pt>
                <c:pt idx="101">
                  <c:v>1.1728187919463087</c:v>
                </c:pt>
                <c:pt idx="102">
                  <c:v>1.151006711409396</c:v>
                </c:pt>
                <c:pt idx="103">
                  <c:v>1.1409395973154361</c:v>
                </c:pt>
                <c:pt idx="104">
                  <c:v>1.1828859060402686</c:v>
                </c:pt>
                <c:pt idx="105">
                  <c:v>1.1442953020134228</c:v>
                </c:pt>
                <c:pt idx="106">
                  <c:v>1.1325503355704698</c:v>
                </c:pt>
                <c:pt idx="107">
                  <c:v>1.1476510067114094</c:v>
                </c:pt>
                <c:pt idx="108">
                  <c:v>1.1677852348993289</c:v>
                </c:pt>
                <c:pt idx="109">
                  <c:v>1.1895973154362416</c:v>
                </c:pt>
                <c:pt idx="110">
                  <c:v>1.174496644295302</c:v>
                </c:pt>
                <c:pt idx="111">
                  <c:v>1.1258389261744965</c:v>
                </c:pt>
                <c:pt idx="112">
                  <c:v>1.1258389261744965</c:v>
                </c:pt>
                <c:pt idx="113">
                  <c:v>1.1241610738255035</c:v>
                </c:pt>
                <c:pt idx="114">
                  <c:v>1.1560402684563758</c:v>
                </c:pt>
                <c:pt idx="115">
                  <c:v>1.1728187919463087</c:v>
                </c:pt>
                <c:pt idx="116">
                  <c:v>1.1711409395973154</c:v>
                </c:pt>
                <c:pt idx="117">
                  <c:v>1.2030201342281879</c:v>
                </c:pt>
                <c:pt idx="118">
                  <c:v>1.2063758389261745</c:v>
                </c:pt>
                <c:pt idx="119">
                  <c:v>1.2080536912751678</c:v>
                </c:pt>
                <c:pt idx="120">
                  <c:v>1.2197986577181208</c:v>
                </c:pt>
                <c:pt idx="121">
                  <c:v>1.1828859060402686</c:v>
                </c:pt>
                <c:pt idx="122">
                  <c:v>1.2063758389261745</c:v>
                </c:pt>
                <c:pt idx="123">
                  <c:v>1.1912751677852349</c:v>
                </c:pt>
                <c:pt idx="124">
                  <c:v>1.1979865771812082</c:v>
                </c:pt>
                <c:pt idx="125">
                  <c:v>1.1493288590604027</c:v>
                </c:pt>
                <c:pt idx="126">
                  <c:v>1.0906040268456376</c:v>
                </c:pt>
                <c:pt idx="127">
                  <c:v>1.0838926174496644</c:v>
                </c:pt>
                <c:pt idx="128">
                  <c:v>1.0973154362416107</c:v>
                </c:pt>
                <c:pt idx="129">
                  <c:v>1.075503355704698</c:v>
                </c:pt>
                <c:pt idx="130">
                  <c:v>1.098993288590604</c:v>
                </c:pt>
                <c:pt idx="131">
                  <c:v>1.1073825503355705</c:v>
                </c:pt>
                <c:pt idx="132">
                  <c:v>1.0721476510067114</c:v>
                </c:pt>
                <c:pt idx="133">
                  <c:v>1.0520134228187918</c:v>
                </c:pt>
                <c:pt idx="134">
                  <c:v>1.0251677852348993</c:v>
                </c:pt>
                <c:pt idx="135">
                  <c:v>1.0033557046979866</c:v>
                </c:pt>
                <c:pt idx="136">
                  <c:v>1.011744966442953</c:v>
                </c:pt>
                <c:pt idx="137">
                  <c:v>1.0251677852348993</c:v>
                </c:pt>
                <c:pt idx="138">
                  <c:v>1.0251677852348993</c:v>
                </c:pt>
                <c:pt idx="139">
                  <c:v>1.0436241610738255</c:v>
                </c:pt>
                <c:pt idx="140">
                  <c:v>1.0587248322147651</c:v>
                </c:pt>
                <c:pt idx="141">
                  <c:v>1.0369127516778522</c:v>
                </c:pt>
                <c:pt idx="142">
                  <c:v>1.063758389261745</c:v>
                </c:pt>
                <c:pt idx="143">
                  <c:v>1.0134228187919463</c:v>
                </c:pt>
                <c:pt idx="144">
                  <c:v>1.0151006711409396</c:v>
                </c:pt>
                <c:pt idx="145">
                  <c:v>0.96979865771812079</c:v>
                </c:pt>
                <c:pt idx="146">
                  <c:v>0.94966442953020136</c:v>
                </c:pt>
                <c:pt idx="147">
                  <c:v>0.97315436241610742</c:v>
                </c:pt>
                <c:pt idx="148">
                  <c:v>1.0151006711409396</c:v>
                </c:pt>
                <c:pt idx="149">
                  <c:v>0.98825503355704702</c:v>
                </c:pt>
                <c:pt idx="150">
                  <c:v>1.0436241610738255</c:v>
                </c:pt>
                <c:pt idx="151">
                  <c:v>1.023489932885906</c:v>
                </c:pt>
                <c:pt idx="152">
                  <c:v>1.0520134228187918</c:v>
                </c:pt>
                <c:pt idx="153">
                  <c:v>1.0402684563758389</c:v>
                </c:pt>
                <c:pt idx="154">
                  <c:v>1</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315823037913804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Data'!$AF$5:$AF$159</c:f>
              <c:numCache>
                <c:formatCode>General</c:formatCode>
                <c:ptCount val="155"/>
                <c:pt idx="0">
                  <c:v>1.8710273466371026</c:v>
                </c:pt>
                <c:pt idx="1">
                  <c:v>1.8201034737620101</c:v>
                </c:pt>
                <c:pt idx="2">
                  <c:v>1.8201034737620101</c:v>
                </c:pt>
                <c:pt idx="3">
                  <c:v>1.7779748706577974</c:v>
                </c:pt>
                <c:pt idx="4">
                  <c:v>1.76260162601626</c:v>
                </c:pt>
                <c:pt idx="5">
                  <c:v>1.6546932742054692</c:v>
                </c:pt>
                <c:pt idx="6">
                  <c:v>1.6827790096082778</c:v>
                </c:pt>
                <c:pt idx="7">
                  <c:v>1.6579453067257943</c:v>
                </c:pt>
                <c:pt idx="8">
                  <c:v>1.6932742054693273</c:v>
                </c:pt>
                <c:pt idx="9">
                  <c:v>1.7062823355506282</c:v>
                </c:pt>
                <c:pt idx="10">
                  <c:v>1.6682926829268292</c:v>
                </c:pt>
                <c:pt idx="11">
                  <c:v>1.648780487804878</c:v>
                </c:pt>
                <c:pt idx="12">
                  <c:v>1.6712490761271248</c:v>
                </c:pt>
                <c:pt idx="13">
                  <c:v>1.6397634885439762</c:v>
                </c:pt>
                <c:pt idx="14">
                  <c:v>1.6125646711012565</c:v>
                </c:pt>
                <c:pt idx="15">
                  <c:v>1.6101995565410199</c:v>
                </c:pt>
                <c:pt idx="16">
                  <c:v>1.6101995565410199</c:v>
                </c:pt>
                <c:pt idx="17">
                  <c:v>1.5717664449371764</c:v>
                </c:pt>
                <c:pt idx="18">
                  <c:v>1.5104212860310422</c:v>
                </c:pt>
                <c:pt idx="19">
                  <c:v>1.4403547671840353</c:v>
                </c:pt>
                <c:pt idx="20">
                  <c:v>1.3636363636363635</c:v>
                </c:pt>
                <c:pt idx="21">
                  <c:v>1.3940872135994087</c:v>
                </c:pt>
                <c:pt idx="22">
                  <c:v>1.2910569105691057</c:v>
                </c:pt>
                <c:pt idx="23">
                  <c:v>1.3707317073170731</c:v>
                </c:pt>
                <c:pt idx="24">
                  <c:v>1.4164079822616407</c:v>
                </c:pt>
                <c:pt idx="25">
                  <c:v>1.4130081300813007</c:v>
                </c:pt>
                <c:pt idx="26">
                  <c:v>1.4192165558019216</c:v>
                </c:pt>
                <c:pt idx="27">
                  <c:v>1.4363636363636363</c:v>
                </c:pt>
                <c:pt idx="28">
                  <c:v>1.4144863266814485</c:v>
                </c:pt>
                <c:pt idx="29">
                  <c:v>1.5963045084996303</c:v>
                </c:pt>
                <c:pt idx="30">
                  <c:v>1.5963045084996303</c:v>
                </c:pt>
                <c:pt idx="31">
                  <c:v>1.5351071692535105</c:v>
                </c:pt>
                <c:pt idx="32">
                  <c:v>1.5770879526977086</c:v>
                </c:pt>
                <c:pt idx="33">
                  <c:v>1.6033998521803399</c:v>
                </c:pt>
                <c:pt idx="34">
                  <c:v>1.6033998521803399</c:v>
                </c:pt>
                <c:pt idx="35">
                  <c:v>1.5852180339985216</c:v>
                </c:pt>
                <c:pt idx="36">
                  <c:v>1.5824094604582408</c:v>
                </c:pt>
                <c:pt idx="37">
                  <c:v>1.5952697708795269</c:v>
                </c:pt>
                <c:pt idx="38">
                  <c:v>1.6362158167036214</c:v>
                </c:pt>
                <c:pt idx="39">
                  <c:v>1.6631189948263119</c:v>
                </c:pt>
                <c:pt idx="40">
                  <c:v>1.7138211382113819</c:v>
                </c:pt>
                <c:pt idx="41">
                  <c:v>1.7278640059127863</c:v>
                </c:pt>
                <c:pt idx="42">
                  <c:v>1.6131559497413155</c:v>
                </c:pt>
                <c:pt idx="43">
                  <c:v>1.649371766444937</c:v>
                </c:pt>
                <c:pt idx="44">
                  <c:v>1.5970436067997043</c:v>
                </c:pt>
                <c:pt idx="45">
                  <c:v>1.5658536585365854</c:v>
                </c:pt>
                <c:pt idx="46">
                  <c:v>1.5889135254988911</c:v>
                </c:pt>
                <c:pt idx="47">
                  <c:v>1.5722099039172208</c:v>
                </c:pt>
                <c:pt idx="48">
                  <c:v>1.5550628233555062</c:v>
                </c:pt>
                <c:pt idx="49">
                  <c:v>1.5265336289726532</c:v>
                </c:pt>
                <c:pt idx="50">
                  <c:v>1.5073170731707315</c:v>
                </c:pt>
                <c:pt idx="51">
                  <c:v>1.4546932742054692</c:v>
                </c:pt>
                <c:pt idx="52">
                  <c:v>1.3960088691796007</c:v>
                </c:pt>
                <c:pt idx="53">
                  <c:v>1.4719881744271988</c:v>
                </c:pt>
                <c:pt idx="54">
                  <c:v>1.4719881744271988</c:v>
                </c:pt>
                <c:pt idx="55">
                  <c:v>1.4430155210643014</c:v>
                </c:pt>
                <c:pt idx="56">
                  <c:v>1.4035476718403548</c:v>
                </c:pt>
                <c:pt idx="57">
                  <c:v>1.2807095343680708</c:v>
                </c:pt>
                <c:pt idx="58">
                  <c:v>1.3302291204730228</c:v>
                </c:pt>
                <c:pt idx="59">
                  <c:v>1.3334811529933479</c:v>
                </c:pt>
                <c:pt idx="60">
                  <c:v>1.2898743532889874</c:v>
                </c:pt>
                <c:pt idx="61">
                  <c:v>1.233111603843311</c:v>
                </c:pt>
                <c:pt idx="62">
                  <c:v>1.266518847006652</c:v>
                </c:pt>
                <c:pt idx="63">
                  <c:v>1.3466371027346635</c:v>
                </c:pt>
                <c:pt idx="64">
                  <c:v>1.3080561714708054</c:v>
                </c:pt>
                <c:pt idx="65">
                  <c:v>1.26770140428677</c:v>
                </c:pt>
                <c:pt idx="66">
                  <c:v>1.267110125646711</c:v>
                </c:pt>
                <c:pt idx="67">
                  <c:v>1.3240206947524018</c:v>
                </c:pt>
                <c:pt idx="68">
                  <c:v>1.3240206947524018</c:v>
                </c:pt>
                <c:pt idx="69">
                  <c:v>1.359940872135994</c:v>
                </c:pt>
                <c:pt idx="70">
                  <c:v>1.4233555062823355</c:v>
                </c:pt>
                <c:pt idx="71">
                  <c:v>1.3892091648189209</c:v>
                </c:pt>
                <c:pt idx="72">
                  <c:v>1.369549150036955</c:v>
                </c:pt>
                <c:pt idx="73">
                  <c:v>1.3849223946784921</c:v>
                </c:pt>
                <c:pt idx="74">
                  <c:v>1.4443458980044344</c:v>
                </c:pt>
                <c:pt idx="75">
                  <c:v>1.4447893569844787</c:v>
                </c:pt>
                <c:pt idx="76">
                  <c:v>1.4168514412416851</c:v>
                </c:pt>
                <c:pt idx="77">
                  <c:v>1.3538802660753879</c:v>
                </c:pt>
                <c:pt idx="78">
                  <c:v>1.350332594235033</c:v>
                </c:pt>
                <c:pt idx="79">
                  <c:v>1.3275683665927567</c:v>
                </c:pt>
                <c:pt idx="80">
                  <c:v>1.3225424981522542</c:v>
                </c:pt>
                <c:pt idx="81">
                  <c:v>1.3328898743532889</c:v>
                </c:pt>
                <c:pt idx="82">
                  <c:v>1.3328898743532889</c:v>
                </c:pt>
                <c:pt idx="83">
                  <c:v>1.3118994826311898</c:v>
                </c:pt>
                <c:pt idx="84">
                  <c:v>1.3247597930524759</c:v>
                </c:pt>
                <c:pt idx="85">
                  <c:v>1.3123429416112342</c:v>
                </c:pt>
                <c:pt idx="86">
                  <c:v>1.3164818920916481</c:v>
                </c:pt>
                <c:pt idx="87">
                  <c:v>1.3164818920916481</c:v>
                </c:pt>
                <c:pt idx="88">
                  <c:v>1.3733924611973392</c:v>
                </c:pt>
                <c:pt idx="89">
                  <c:v>1.3733924611973392</c:v>
                </c:pt>
                <c:pt idx="90">
                  <c:v>1.3733924611973392</c:v>
                </c:pt>
                <c:pt idx="91">
                  <c:v>1.3538802660753879</c:v>
                </c:pt>
                <c:pt idx="92">
                  <c:v>1.3392461197339245</c:v>
                </c:pt>
                <c:pt idx="93">
                  <c:v>1.3099778270509976</c:v>
                </c:pt>
                <c:pt idx="94">
                  <c:v>1.2839615668883961</c:v>
                </c:pt>
                <c:pt idx="95">
                  <c:v>1.1895048041389504</c:v>
                </c:pt>
                <c:pt idx="96">
                  <c:v>1.1662971175166297</c:v>
                </c:pt>
                <c:pt idx="97">
                  <c:v>1.1167775314116777</c:v>
                </c:pt>
                <c:pt idx="98">
                  <c:v>1.1337767923133777</c:v>
                </c:pt>
                <c:pt idx="99">
                  <c:v>1.2162601626016258</c:v>
                </c:pt>
                <c:pt idx="100">
                  <c:v>1.2206947524020693</c:v>
                </c:pt>
                <c:pt idx="101">
                  <c:v>1.1982261640798226</c:v>
                </c:pt>
                <c:pt idx="102">
                  <c:v>1.2118255728011824</c:v>
                </c:pt>
                <c:pt idx="103">
                  <c:v>1.2523281596452327</c:v>
                </c:pt>
                <c:pt idx="104">
                  <c:v>1.2606060606060605</c:v>
                </c:pt>
                <c:pt idx="105">
                  <c:v>1.3025868440502586</c:v>
                </c:pt>
                <c:pt idx="106">
                  <c:v>1.3025868440502586</c:v>
                </c:pt>
                <c:pt idx="107">
                  <c:v>1.2839615668883961</c:v>
                </c:pt>
                <c:pt idx="108">
                  <c:v>1.3283074648928306</c:v>
                </c:pt>
                <c:pt idx="109">
                  <c:v>1.2867701404286769</c:v>
                </c:pt>
                <c:pt idx="110">
                  <c:v>1.286031042128603</c:v>
                </c:pt>
                <c:pt idx="111">
                  <c:v>1.2987435328898742</c:v>
                </c:pt>
                <c:pt idx="112">
                  <c:v>1.2907612712490759</c:v>
                </c:pt>
                <c:pt idx="113">
                  <c:v>1.2784922394678491</c:v>
                </c:pt>
                <c:pt idx="114">
                  <c:v>1.267110125646711</c:v>
                </c:pt>
                <c:pt idx="115">
                  <c:v>1.2576496674057649</c:v>
                </c:pt>
                <c:pt idx="116">
                  <c:v>1.2557280118255727</c:v>
                </c:pt>
                <c:pt idx="117">
                  <c:v>1.2557280118255727</c:v>
                </c:pt>
                <c:pt idx="118">
                  <c:v>1.2110864745011087</c:v>
                </c:pt>
                <c:pt idx="119">
                  <c:v>1.1736881005173687</c:v>
                </c:pt>
                <c:pt idx="120">
                  <c:v>1.1736881005173687</c:v>
                </c:pt>
                <c:pt idx="121">
                  <c:v>1.1744271988174426</c:v>
                </c:pt>
                <c:pt idx="122">
                  <c:v>1.2195121951219512</c:v>
                </c:pt>
                <c:pt idx="123">
                  <c:v>1.2359201773835919</c:v>
                </c:pt>
                <c:pt idx="124">
                  <c:v>1.2254249815225424</c:v>
                </c:pt>
                <c:pt idx="125">
                  <c:v>1.2338507021433849</c:v>
                </c:pt>
                <c:pt idx="126">
                  <c:v>1.2022172949002217</c:v>
                </c:pt>
                <c:pt idx="127">
                  <c:v>1.2490761271249076</c:v>
                </c:pt>
                <c:pt idx="128">
                  <c:v>1.2078344419807832</c:v>
                </c:pt>
                <c:pt idx="129">
                  <c:v>1.2203991130820397</c:v>
                </c:pt>
                <c:pt idx="130">
                  <c:v>1.2375461936437544</c:v>
                </c:pt>
                <c:pt idx="131">
                  <c:v>1.3197339246119733</c:v>
                </c:pt>
                <c:pt idx="132">
                  <c:v>1.282631189948263</c:v>
                </c:pt>
                <c:pt idx="133">
                  <c:v>1.3340724316334072</c:v>
                </c:pt>
                <c:pt idx="134">
                  <c:v>1.3340724316334072</c:v>
                </c:pt>
                <c:pt idx="135">
                  <c:v>1.3043606799704359</c:v>
                </c:pt>
                <c:pt idx="136">
                  <c:v>1.2659275683665927</c:v>
                </c:pt>
                <c:pt idx="137">
                  <c:v>1.2728750923872874</c:v>
                </c:pt>
                <c:pt idx="138">
                  <c:v>1.2131559497413154</c:v>
                </c:pt>
                <c:pt idx="139">
                  <c:v>1.2131559497413154</c:v>
                </c:pt>
                <c:pt idx="140">
                  <c:v>1.2251293422025127</c:v>
                </c:pt>
                <c:pt idx="141">
                  <c:v>1.2251293422025127</c:v>
                </c:pt>
                <c:pt idx="142">
                  <c:v>1.2251293422025127</c:v>
                </c:pt>
                <c:pt idx="143">
                  <c:v>1.2444937176644493</c:v>
                </c:pt>
                <c:pt idx="144">
                  <c:v>1.2518847006651883</c:v>
                </c:pt>
                <c:pt idx="145">
                  <c:v>1.2193643754619363</c:v>
                </c:pt>
                <c:pt idx="146">
                  <c:v>1.2070953436807095</c:v>
                </c:pt>
                <c:pt idx="147">
                  <c:v>1.1560975609756097</c:v>
                </c:pt>
                <c:pt idx="148">
                  <c:v>1.132742054693274</c:v>
                </c:pt>
                <c:pt idx="149">
                  <c:v>1.1127864005912786</c:v>
                </c:pt>
                <c:pt idx="150">
                  <c:v>1.0628233555062823</c:v>
                </c:pt>
                <c:pt idx="151">
                  <c:v>1.0403547671840354</c:v>
                </c:pt>
                <c:pt idx="152">
                  <c:v>1.0638580931263857</c:v>
                </c:pt>
                <c:pt idx="153">
                  <c:v>1.0382852919438283</c:v>
                </c:pt>
                <c:pt idx="154">
                  <c:v>1</c:v>
                </c:pt>
              </c:numCache>
            </c:numRef>
          </c:val>
          <c:smooth val="0"/>
          <c:extLst>
            <c:ext xmlns:c16="http://schemas.microsoft.com/office/drawing/2014/chart" uri="{C3380CC4-5D6E-409C-BE32-E72D297353CC}">
              <c16:uniqueId val="{00000000-9099-4ADB-BE7B-667A2DD481F5}"/>
            </c:ext>
          </c:extLst>
        </c:ser>
        <c:ser>
          <c:idx val="1"/>
          <c:order val="1"/>
          <c:tx>
            <c:strRef>
              <c:f>Inputs!$B$21</c:f>
              <c:strCache>
                <c:ptCount val="1"/>
                <c:pt idx="0">
                  <c:v>#NAME?</c:v>
                </c:pt>
              </c:strCache>
            </c:strRef>
          </c:tx>
          <c:spPr>
            <a:ln w="28575"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Data'!$AG$5:$AG$159</c:f>
              <c:numCache>
                <c:formatCode>General</c:formatCode>
                <c:ptCount val="155"/>
                <c:pt idx="0">
                  <c:v>2.1276990944973297</c:v>
                </c:pt>
                <c:pt idx="1">
                  <c:v>2.3769058122436344</c:v>
                </c:pt>
                <c:pt idx="2">
                  <c:v>2.3769058122436344</c:v>
                </c:pt>
                <c:pt idx="3">
                  <c:v>2.3769058122436344</c:v>
                </c:pt>
                <c:pt idx="4">
                  <c:v>2.009080824497588</c:v>
                </c:pt>
                <c:pt idx="5">
                  <c:v>1.8997497613703789</c:v>
                </c:pt>
                <c:pt idx="6">
                  <c:v>1.9267342568944612</c:v>
                </c:pt>
                <c:pt idx="7">
                  <c:v>1.9270954260506152</c:v>
                </c:pt>
                <c:pt idx="8">
                  <c:v>1.8083739648634007</c:v>
                </c:pt>
                <c:pt idx="9">
                  <c:v>1.7094136160771871</c:v>
                </c:pt>
                <c:pt idx="10">
                  <c:v>1.7108066971080669</c:v>
                </c:pt>
                <c:pt idx="11">
                  <c:v>1.8017181332714185</c:v>
                </c:pt>
                <c:pt idx="12">
                  <c:v>1.7103939323581767</c:v>
                </c:pt>
                <c:pt idx="13">
                  <c:v>1.6554962206227588</c:v>
                </c:pt>
                <c:pt idx="14">
                  <c:v>1.7085880865774061</c:v>
                </c:pt>
                <c:pt idx="15">
                  <c:v>1.6706292082656142</c:v>
                </c:pt>
                <c:pt idx="16">
                  <c:v>1.6876712328767123</c:v>
                </c:pt>
                <c:pt idx="17">
                  <c:v>1.5898305084745763</c:v>
                </c:pt>
                <c:pt idx="18">
                  <c:v>1.5927766168769188</c:v>
                </c:pt>
                <c:pt idx="19">
                  <c:v>1.6255656166963344</c:v>
                </c:pt>
                <c:pt idx="20">
                  <c:v>1.5950313443231949</c:v>
                </c:pt>
                <c:pt idx="21">
                  <c:v>1.6319479916415138</c:v>
                </c:pt>
                <c:pt idx="22">
                  <c:v>1.6699378273095478</c:v>
                </c:pt>
                <c:pt idx="23">
                  <c:v>1.7133555194386401</c:v>
                </c:pt>
                <c:pt idx="24">
                  <c:v>1.7235198514046899</c:v>
                </c:pt>
                <c:pt idx="25">
                  <c:v>1.7419807548435364</c:v>
                </c:pt>
                <c:pt idx="26">
                  <c:v>1.7886076929030261</c:v>
                </c:pt>
                <c:pt idx="27">
                  <c:v>1.7580734205298867</c:v>
                </c:pt>
                <c:pt idx="28">
                  <c:v>1.6403580734205299</c:v>
                </c:pt>
                <c:pt idx="29">
                  <c:v>1.6343936227846141</c:v>
                </c:pt>
                <c:pt idx="30">
                  <c:v>1.6624100301834224</c:v>
                </c:pt>
                <c:pt idx="31">
                  <c:v>1.6923354745504735</c:v>
                </c:pt>
                <c:pt idx="32">
                  <c:v>1.6525088357454274</c:v>
                </c:pt>
                <c:pt idx="33">
                  <c:v>1.7741248097412481</c:v>
                </c:pt>
                <c:pt idx="34">
                  <c:v>1.7466088796016821</c:v>
                </c:pt>
                <c:pt idx="35">
                  <c:v>1.5847896189665402</c:v>
                </c:pt>
                <c:pt idx="36">
                  <c:v>1.4447901349224777</c:v>
                </c:pt>
                <c:pt idx="37">
                  <c:v>1.4710884090498673</c:v>
                </c:pt>
                <c:pt idx="38">
                  <c:v>1.4710884090498673</c:v>
                </c:pt>
                <c:pt idx="39">
                  <c:v>1.4611098212212676</c:v>
                </c:pt>
                <c:pt idx="40">
                  <c:v>1.4762840853391119</c:v>
                </c:pt>
                <c:pt idx="41">
                  <c:v>1.5524546603720042</c:v>
                </c:pt>
                <c:pt idx="42">
                  <c:v>1.5524546603720042</c:v>
                </c:pt>
                <c:pt idx="43">
                  <c:v>1.5117508964734412</c:v>
                </c:pt>
                <c:pt idx="44">
                  <c:v>1.4938265872094525</c:v>
                </c:pt>
                <c:pt idx="45">
                  <c:v>1.53850321182571</c:v>
                </c:pt>
                <c:pt idx="46">
                  <c:v>1.5895622113871477</c:v>
                </c:pt>
                <c:pt idx="47">
                  <c:v>1.6583184996001341</c:v>
                </c:pt>
                <c:pt idx="48">
                  <c:v>1.788648969378015</c:v>
                </c:pt>
                <c:pt idx="49">
                  <c:v>1.5475221216108144</c:v>
                </c:pt>
                <c:pt idx="50">
                  <c:v>1.491226169285143</c:v>
                </c:pt>
                <c:pt idx="51">
                  <c:v>1.5054459149188661</c:v>
                </c:pt>
                <c:pt idx="52">
                  <c:v>1.3881123752031574</c:v>
                </c:pt>
                <c:pt idx="53">
                  <c:v>1.5478678120888476</c:v>
                </c:pt>
                <c:pt idx="54">
                  <c:v>1.1263111730258235</c:v>
                </c:pt>
                <c:pt idx="55">
                  <c:v>1.1263111730258235</c:v>
                </c:pt>
                <c:pt idx="56">
                  <c:v>1.1262337796352191</c:v>
                </c:pt>
                <c:pt idx="57">
                  <c:v>1.1483270128731007</c:v>
                </c:pt>
                <c:pt idx="58">
                  <c:v>1.1717565719887522</c:v>
                </c:pt>
                <c:pt idx="59">
                  <c:v>1.1614374532414933</c:v>
                </c:pt>
                <c:pt idx="60">
                  <c:v>1.1960993731135361</c:v>
                </c:pt>
                <c:pt idx="61">
                  <c:v>1.2056187601578825</c:v>
                </c:pt>
                <c:pt idx="62">
                  <c:v>1.2193741454479787</c:v>
                </c:pt>
                <c:pt idx="63">
                  <c:v>1.3093826587209452</c:v>
                </c:pt>
                <c:pt idx="64">
                  <c:v>1.2707427185718339</c:v>
                </c:pt>
                <c:pt idx="65">
                  <c:v>1.3284885070814951</c:v>
                </c:pt>
                <c:pt idx="66">
                  <c:v>1.2214018522818151</c:v>
                </c:pt>
                <c:pt idx="67">
                  <c:v>1.2205608441039135</c:v>
                </c:pt>
                <c:pt idx="68">
                  <c:v>1.2212883419755953</c:v>
                </c:pt>
                <c:pt idx="69">
                  <c:v>1.2568325465005288</c:v>
                </c:pt>
                <c:pt idx="70">
                  <c:v>1.2422671103887728</c:v>
                </c:pt>
                <c:pt idx="71">
                  <c:v>1.2038232334958594</c:v>
                </c:pt>
                <c:pt idx="72">
                  <c:v>1.1415989474498878</c:v>
                </c:pt>
                <c:pt idx="73">
                  <c:v>1.1204292753398861</c:v>
                </c:pt>
                <c:pt idx="74">
                  <c:v>1.1085416505430437</c:v>
                </c:pt>
                <c:pt idx="75">
                  <c:v>1.1955266620230633</c:v>
                </c:pt>
                <c:pt idx="76">
                  <c:v>1.1656786110466166</c:v>
                </c:pt>
                <c:pt idx="77">
                  <c:v>1.1656786110466166</c:v>
                </c:pt>
                <c:pt idx="78">
                  <c:v>1.1876531744189047</c:v>
                </c:pt>
                <c:pt idx="79">
                  <c:v>1.1132420091324202</c:v>
                </c:pt>
                <c:pt idx="80">
                  <c:v>1.1377034801227974</c:v>
                </c:pt>
                <c:pt idx="81">
                  <c:v>1.1792482521992622</c:v>
                </c:pt>
                <c:pt idx="82">
                  <c:v>1.132043443489926</c:v>
                </c:pt>
                <c:pt idx="83">
                  <c:v>1.1179062508061812</c:v>
                </c:pt>
                <c:pt idx="84">
                  <c:v>1.1121739803420789</c:v>
                </c:pt>
                <c:pt idx="85">
                  <c:v>0.99915899182209833</c:v>
                </c:pt>
                <c:pt idx="86">
                  <c:v>0.9956040554136677</c:v>
                </c:pt>
                <c:pt idx="87">
                  <c:v>0.95207285297835575</c:v>
                </c:pt>
                <c:pt idx="88">
                  <c:v>0.95207285297835575</c:v>
                </c:pt>
                <c:pt idx="89">
                  <c:v>0.87047442148440535</c:v>
                </c:pt>
                <c:pt idx="90">
                  <c:v>0.96357867038154943</c:v>
                </c:pt>
                <c:pt idx="91">
                  <c:v>0.92604287593839485</c:v>
                </c:pt>
                <c:pt idx="92">
                  <c:v>0.86680597476975463</c:v>
                </c:pt>
                <c:pt idx="93">
                  <c:v>0.91908778990274231</c:v>
                </c:pt>
                <c:pt idx="94">
                  <c:v>0.91190568325465016</c:v>
                </c:pt>
                <c:pt idx="95">
                  <c:v>0.87636147872971648</c:v>
                </c:pt>
                <c:pt idx="96">
                  <c:v>0.86646028429172151</c:v>
                </c:pt>
                <c:pt idx="97">
                  <c:v>0.85228181513298762</c:v>
                </c:pt>
                <c:pt idx="98">
                  <c:v>0.90204576529164415</c:v>
                </c:pt>
                <c:pt idx="99">
                  <c:v>0.90044114232644534</c:v>
                </c:pt>
                <c:pt idx="100">
                  <c:v>0.96999716224234456</c:v>
                </c:pt>
                <c:pt idx="101">
                  <c:v>0.99357634857983124</c:v>
                </c:pt>
                <c:pt idx="102">
                  <c:v>0.96483760286871501</c:v>
                </c:pt>
                <c:pt idx="103">
                  <c:v>0.94786781208884774</c:v>
                </c:pt>
                <c:pt idx="104">
                  <c:v>0.93342104584268504</c:v>
                </c:pt>
                <c:pt idx="105">
                  <c:v>0.93365322601449829</c:v>
                </c:pt>
                <c:pt idx="106">
                  <c:v>0.89031292727601075</c:v>
                </c:pt>
                <c:pt idx="107">
                  <c:v>0.89031292727601075</c:v>
                </c:pt>
                <c:pt idx="108">
                  <c:v>0.89424967107808984</c:v>
                </c:pt>
                <c:pt idx="109">
                  <c:v>0.99235353300828111</c:v>
                </c:pt>
                <c:pt idx="110">
                  <c:v>1.0716611201403401</c:v>
                </c:pt>
                <c:pt idx="111">
                  <c:v>1.024843278384026</c:v>
                </c:pt>
                <c:pt idx="112">
                  <c:v>0.95975543688568987</c:v>
                </c:pt>
                <c:pt idx="113">
                  <c:v>0.99961819260635154</c:v>
                </c:pt>
                <c:pt idx="114">
                  <c:v>1.0721203209245931</c:v>
                </c:pt>
                <c:pt idx="115">
                  <c:v>1.082702577199907</c:v>
                </c:pt>
                <c:pt idx="116">
                  <c:v>1.0615690220055207</c:v>
                </c:pt>
                <c:pt idx="117">
                  <c:v>1.057250470809793</c:v>
                </c:pt>
                <c:pt idx="118">
                  <c:v>1.0883213373577896</c:v>
                </c:pt>
                <c:pt idx="119">
                  <c:v>1.127461754766143</c:v>
                </c:pt>
                <c:pt idx="120">
                  <c:v>1.2001909036968244</c:v>
                </c:pt>
                <c:pt idx="121">
                  <c:v>1.1270747878131206</c:v>
                </c:pt>
                <c:pt idx="122">
                  <c:v>1.2100147047442149</c:v>
                </c:pt>
                <c:pt idx="123">
                  <c:v>1.1771431519748214</c:v>
                </c:pt>
                <c:pt idx="124">
                  <c:v>1.1597554368856899</c:v>
                </c:pt>
                <c:pt idx="125">
                  <c:v>1.13705337564172</c:v>
                </c:pt>
                <c:pt idx="126">
                  <c:v>1.1494724350540464</c:v>
                </c:pt>
                <c:pt idx="127">
                  <c:v>1.1064365503186027</c:v>
                </c:pt>
                <c:pt idx="128">
                  <c:v>1.2802982225317958</c:v>
                </c:pt>
                <c:pt idx="129">
                  <c:v>1.2802982225317958</c:v>
                </c:pt>
                <c:pt idx="130">
                  <c:v>1.252054794520548</c:v>
                </c:pt>
                <c:pt idx="131">
                  <c:v>1.132043443489926</c:v>
                </c:pt>
                <c:pt idx="132">
                  <c:v>1.0390578644583752</c:v>
                </c:pt>
                <c:pt idx="133">
                  <c:v>1.0390578644583752</c:v>
                </c:pt>
                <c:pt idx="134">
                  <c:v>1.0224337641565411</c:v>
                </c:pt>
                <c:pt idx="135">
                  <c:v>1.0395531821582438</c:v>
                </c:pt>
                <c:pt idx="136">
                  <c:v>0.95157753527848732</c:v>
                </c:pt>
                <c:pt idx="137">
                  <c:v>0.89298557903155074</c:v>
                </c:pt>
                <c:pt idx="138">
                  <c:v>0.9207336893429301</c:v>
                </c:pt>
                <c:pt idx="139">
                  <c:v>0.97813894693393189</c:v>
                </c:pt>
                <c:pt idx="140">
                  <c:v>0.93621236746381864</c:v>
                </c:pt>
                <c:pt idx="141">
                  <c:v>0.91022366689884682</c:v>
                </c:pt>
                <c:pt idx="142">
                  <c:v>0.91419652761654158</c:v>
                </c:pt>
                <c:pt idx="143">
                  <c:v>0.91419652761654158</c:v>
                </c:pt>
                <c:pt idx="144">
                  <c:v>0.8748342491551222</c:v>
                </c:pt>
                <c:pt idx="145">
                  <c:v>0.86489693780151178</c:v>
                </c:pt>
                <c:pt idx="146">
                  <c:v>0.85916466733740937</c:v>
                </c:pt>
                <c:pt idx="147">
                  <c:v>0.87139282305291133</c:v>
                </c:pt>
                <c:pt idx="148">
                  <c:v>0.92604287593839485</c:v>
                </c:pt>
                <c:pt idx="149">
                  <c:v>0.91465572840079457</c:v>
                </c:pt>
                <c:pt idx="150">
                  <c:v>0.85186389082372371</c:v>
                </c:pt>
                <c:pt idx="151">
                  <c:v>0.86283311405205987</c:v>
                </c:pt>
                <c:pt idx="152">
                  <c:v>0.92539793101669121</c:v>
                </c:pt>
                <c:pt idx="153">
                  <c:v>0.95394577303098327</c:v>
                </c:pt>
                <c:pt idx="154">
                  <c:v>1</c:v>
                </c:pt>
              </c:numCache>
            </c:numRef>
          </c:val>
          <c:smooth val="0"/>
          <c:extLst>
            <c:ext xmlns:c16="http://schemas.microsoft.com/office/drawing/2014/chart" uri="{C3380CC4-5D6E-409C-BE32-E72D297353CC}">
              <c16:uniqueId val="{00000001-9099-4ADB-BE7B-667A2DD481F5}"/>
            </c:ext>
          </c:extLst>
        </c:ser>
        <c:ser>
          <c:idx val="2"/>
          <c:order val="2"/>
          <c:tx>
            <c:strRef>
              <c:f>Inputs!$B$22</c:f>
              <c:strCache>
                <c:ptCount val="1"/>
                <c:pt idx="0">
                  <c:v>#NAME?</c:v>
                </c:pt>
              </c:strCache>
            </c:strRef>
          </c:tx>
          <c:spPr>
            <a:ln w="28575" cap="rnd">
              <a:solidFill>
                <a:schemeClr val="accent5"/>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Data'!$AH$5:$AH$159</c:f>
              <c:numCache>
                <c:formatCode>General</c:formatCode>
                <c:ptCount val="155"/>
                <c:pt idx="0">
                  <c:v>3.6161256067961167</c:v>
                </c:pt>
                <c:pt idx="1">
                  <c:v>3.6038632686084142</c:v>
                </c:pt>
                <c:pt idx="2">
                  <c:v>3.6101840614886731</c:v>
                </c:pt>
                <c:pt idx="3">
                  <c:v>3.2443365695792878</c:v>
                </c:pt>
                <c:pt idx="4">
                  <c:v>3.0820186084142396</c:v>
                </c:pt>
                <c:pt idx="5">
                  <c:v>2.7144012944983817</c:v>
                </c:pt>
                <c:pt idx="6">
                  <c:v>2.4711771844660193</c:v>
                </c:pt>
                <c:pt idx="7">
                  <c:v>2.6211063915857604</c:v>
                </c:pt>
                <c:pt idx="8">
                  <c:v>2.5068264563106797</c:v>
                </c:pt>
                <c:pt idx="9">
                  <c:v>2.6987257281553396</c:v>
                </c:pt>
                <c:pt idx="10">
                  <c:v>2.4256674757281553</c:v>
                </c:pt>
                <c:pt idx="11">
                  <c:v>2.5053094660194177</c:v>
                </c:pt>
                <c:pt idx="12">
                  <c:v>2.4549959546925564</c:v>
                </c:pt>
                <c:pt idx="13">
                  <c:v>2.5376719255663431</c:v>
                </c:pt>
                <c:pt idx="14">
                  <c:v>2.5235133495145634</c:v>
                </c:pt>
                <c:pt idx="15">
                  <c:v>2.4987358414239482</c:v>
                </c:pt>
                <c:pt idx="16">
                  <c:v>2.4276901294498381</c:v>
                </c:pt>
                <c:pt idx="17">
                  <c:v>2.3321197411003234</c:v>
                </c:pt>
                <c:pt idx="18">
                  <c:v>2.2995044498381878</c:v>
                </c:pt>
                <c:pt idx="19">
                  <c:v>2.1432544498381878</c:v>
                </c:pt>
                <c:pt idx="20">
                  <c:v>2.1237864077669903</c:v>
                </c:pt>
                <c:pt idx="21">
                  <c:v>2.0931937702265375</c:v>
                </c:pt>
                <c:pt idx="22">
                  <c:v>2.1483110841423949</c:v>
                </c:pt>
                <c:pt idx="23">
                  <c:v>1.8977548543689322</c:v>
                </c:pt>
                <c:pt idx="24">
                  <c:v>1.8120449029126213</c:v>
                </c:pt>
                <c:pt idx="25">
                  <c:v>1.6871460355987056</c:v>
                </c:pt>
                <c:pt idx="26">
                  <c:v>1.6469457928802589</c:v>
                </c:pt>
                <c:pt idx="27">
                  <c:v>1.7978863268608414</c:v>
                </c:pt>
                <c:pt idx="28">
                  <c:v>1.8653923948220066</c:v>
                </c:pt>
                <c:pt idx="29">
                  <c:v>1.9250606796116505</c:v>
                </c:pt>
                <c:pt idx="30">
                  <c:v>1.9703175566343043</c:v>
                </c:pt>
                <c:pt idx="31">
                  <c:v>1.9364381067961167</c:v>
                </c:pt>
                <c:pt idx="32">
                  <c:v>1.998634708737864</c:v>
                </c:pt>
                <c:pt idx="33">
                  <c:v>2.0555218446601939</c:v>
                </c:pt>
                <c:pt idx="34">
                  <c:v>2.2163228155339807</c:v>
                </c:pt>
                <c:pt idx="35">
                  <c:v>2.0623483009708736</c:v>
                </c:pt>
                <c:pt idx="36">
                  <c:v>2.0717030744336569</c:v>
                </c:pt>
                <c:pt idx="37">
                  <c:v>1.9000303398058254</c:v>
                </c:pt>
                <c:pt idx="38">
                  <c:v>2.1048240291262137</c:v>
                </c:pt>
                <c:pt idx="39">
                  <c:v>1.9253135113268609</c:v>
                </c:pt>
                <c:pt idx="40">
                  <c:v>1.9478155339805827</c:v>
                </c:pt>
                <c:pt idx="41">
                  <c:v>1.9012944983818771</c:v>
                </c:pt>
                <c:pt idx="42">
                  <c:v>1.9012944983818771</c:v>
                </c:pt>
                <c:pt idx="43">
                  <c:v>1.9012944983818771</c:v>
                </c:pt>
                <c:pt idx="44">
                  <c:v>1.977902508090615</c:v>
                </c:pt>
                <c:pt idx="45">
                  <c:v>1.9786610032362462</c:v>
                </c:pt>
                <c:pt idx="46">
                  <c:v>1.8095165857605175</c:v>
                </c:pt>
                <c:pt idx="47">
                  <c:v>1.7710861650485437</c:v>
                </c:pt>
                <c:pt idx="48">
                  <c:v>1.8671622168284789</c:v>
                </c:pt>
                <c:pt idx="49">
                  <c:v>1.9412419093851132</c:v>
                </c:pt>
                <c:pt idx="50">
                  <c:v>1.9328984627831716</c:v>
                </c:pt>
                <c:pt idx="51">
                  <c:v>1.8421318770226538</c:v>
                </c:pt>
                <c:pt idx="52">
                  <c:v>1.8744943365695794</c:v>
                </c:pt>
                <c:pt idx="53">
                  <c:v>2.0949635922330097</c:v>
                </c:pt>
                <c:pt idx="54">
                  <c:v>2.0582777103559873</c:v>
                </c:pt>
                <c:pt idx="55">
                  <c:v>2.0321349110032361</c:v>
                </c:pt>
                <c:pt idx="56">
                  <c:v>1.911079085760518</c:v>
                </c:pt>
                <c:pt idx="57">
                  <c:v>1.938840008090615</c:v>
                </c:pt>
                <c:pt idx="58">
                  <c:v>1.9327467637540454</c:v>
                </c:pt>
                <c:pt idx="59">
                  <c:v>2.035573422330097</c:v>
                </c:pt>
                <c:pt idx="60">
                  <c:v>2.208055218446602</c:v>
                </c:pt>
                <c:pt idx="61">
                  <c:v>2.1372623381877025</c:v>
                </c:pt>
                <c:pt idx="62">
                  <c:v>1.8913076456310682</c:v>
                </c:pt>
                <c:pt idx="63">
                  <c:v>2.3291868932038833</c:v>
                </c:pt>
                <c:pt idx="64">
                  <c:v>2.300439927184466</c:v>
                </c:pt>
                <c:pt idx="65">
                  <c:v>2.4466019417475731</c:v>
                </c:pt>
                <c:pt idx="66">
                  <c:v>2.8501719255663431</c:v>
                </c:pt>
                <c:pt idx="67">
                  <c:v>2.7375101132686086</c:v>
                </c:pt>
                <c:pt idx="68">
                  <c:v>2.6692961165048543</c:v>
                </c:pt>
                <c:pt idx="69">
                  <c:v>2.6234577265372172</c:v>
                </c:pt>
                <c:pt idx="70">
                  <c:v>2.6234577265372172</c:v>
                </c:pt>
                <c:pt idx="71">
                  <c:v>2.4568163430420711</c:v>
                </c:pt>
                <c:pt idx="72">
                  <c:v>2.4100930420711975</c:v>
                </c:pt>
                <c:pt idx="73">
                  <c:v>2.4417728559870548</c:v>
                </c:pt>
                <c:pt idx="74">
                  <c:v>2.3962125809061492</c:v>
                </c:pt>
                <c:pt idx="75">
                  <c:v>2.3090614886731391</c:v>
                </c:pt>
                <c:pt idx="76">
                  <c:v>2.1948321197411005</c:v>
                </c:pt>
                <c:pt idx="77">
                  <c:v>2.2372825647249193</c:v>
                </c:pt>
                <c:pt idx="78">
                  <c:v>2.3064826051779934</c:v>
                </c:pt>
                <c:pt idx="79">
                  <c:v>2.4313309061488675</c:v>
                </c:pt>
                <c:pt idx="80">
                  <c:v>2.4736296521035599</c:v>
                </c:pt>
                <c:pt idx="81">
                  <c:v>2.4415200242718447</c:v>
                </c:pt>
                <c:pt idx="82">
                  <c:v>2.3995752427184467</c:v>
                </c:pt>
                <c:pt idx="83">
                  <c:v>2.3430167880258903</c:v>
                </c:pt>
                <c:pt idx="84">
                  <c:v>2.4824534789644015</c:v>
                </c:pt>
                <c:pt idx="85">
                  <c:v>2.3328023867313914</c:v>
                </c:pt>
                <c:pt idx="86">
                  <c:v>2.2803650889967639</c:v>
                </c:pt>
                <c:pt idx="87">
                  <c:v>2.3151800161812295</c:v>
                </c:pt>
                <c:pt idx="88">
                  <c:v>2.1453782362459548</c:v>
                </c:pt>
                <c:pt idx="89">
                  <c:v>2.0862914644012944</c:v>
                </c:pt>
                <c:pt idx="90">
                  <c:v>2.1444174757281553</c:v>
                </c:pt>
                <c:pt idx="91">
                  <c:v>1.9035699838187703</c:v>
                </c:pt>
                <c:pt idx="92">
                  <c:v>1.8954540857605178</c:v>
                </c:pt>
                <c:pt idx="93">
                  <c:v>1.8631927588996764</c:v>
                </c:pt>
                <c:pt idx="94">
                  <c:v>2.0098351537216828</c:v>
                </c:pt>
                <c:pt idx="95">
                  <c:v>1.9087024676375404</c:v>
                </c:pt>
                <c:pt idx="96">
                  <c:v>1.8574281957928804</c:v>
                </c:pt>
                <c:pt idx="97">
                  <c:v>1.7568517394822005</c:v>
                </c:pt>
                <c:pt idx="98">
                  <c:v>1.8051931634304208</c:v>
                </c:pt>
                <c:pt idx="99">
                  <c:v>1.8139664239482201</c:v>
                </c:pt>
                <c:pt idx="100">
                  <c:v>1.7645125404530746</c:v>
                </c:pt>
                <c:pt idx="101">
                  <c:v>1.6372876213592231</c:v>
                </c:pt>
                <c:pt idx="102">
                  <c:v>1.5338288834951455</c:v>
                </c:pt>
                <c:pt idx="103">
                  <c:v>1.4748685275080906</c:v>
                </c:pt>
                <c:pt idx="104">
                  <c:v>1.6237864077669903</c:v>
                </c:pt>
                <c:pt idx="105">
                  <c:v>1.6224969660194175</c:v>
                </c:pt>
                <c:pt idx="106">
                  <c:v>1.5988572006472492</c:v>
                </c:pt>
                <c:pt idx="107">
                  <c:v>1.5521844660194175</c:v>
                </c:pt>
                <c:pt idx="108">
                  <c:v>1.5646743527508091</c:v>
                </c:pt>
                <c:pt idx="109">
                  <c:v>1.6653013754045307</c:v>
                </c:pt>
                <c:pt idx="110">
                  <c:v>1.7603155339805825</c:v>
                </c:pt>
                <c:pt idx="111">
                  <c:v>1.7357655744336571</c:v>
                </c:pt>
                <c:pt idx="112">
                  <c:v>1.7144265776699028</c:v>
                </c:pt>
                <c:pt idx="113">
                  <c:v>1.6340260922330099</c:v>
                </c:pt>
                <c:pt idx="114">
                  <c:v>1.7345519822006474</c:v>
                </c:pt>
                <c:pt idx="115">
                  <c:v>1.7341221682847896</c:v>
                </c:pt>
                <c:pt idx="116">
                  <c:v>1.6241150889967637</c:v>
                </c:pt>
                <c:pt idx="117">
                  <c:v>1.6184010922330097</c:v>
                </c:pt>
                <c:pt idx="118">
                  <c:v>1.5741302588996764</c:v>
                </c:pt>
                <c:pt idx="119">
                  <c:v>1.5892495954692556</c:v>
                </c:pt>
                <c:pt idx="120">
                  <c:v>1.6236347087378642</c:v>
                </c:pt>
                <c:pt idx="121">
                  <c:v>1.5316545307443366</c:v>
                </c:pt>
                <c:pt idx="122">
                  <c:v>1.5929156553398058</c:v>
                </c:pt>
                <c:pt idx="123">
                  <c:v>1.5442455501618124</c:v>
                </c:pt>
                <c:pt idx="124">
                  <c:v>1.5592131877022655</c:v>
                </c:pt>
                <c:pt idx="125">
                  <c:v>1.4306988268608416</c:v>
                </c:pt>
                <c:pt idx="126">
                  <c:v>1.4515321601941749</c:v>
                </c:pt>
                <c:pt idx="127">
                  <c:v>1.3331816343042071</c:v>
                </c:pt>
                <c:pt idx="128">
                  <c:v>1.3009455906148868</c:v>
                </c:pt>
                <c:pt idx="129">
                  <c:v>1.2575849514563107</c:v>
                </c:pt>
                <c:pt idx="130">
                  <c:v>1.2414542880258899</c:v>
                </c:pt>
                <c:pt idx="131">
                  <c:v>1.2567506067961165</c:v>
                </c:pt>
                <c:pt idx="132">
                  <c:v>1.2476739482200647</c:v>
                </c:pt>
                <c:pt idx="133">
                  <c:v>1.3039795711974111</c:v>
                </c:pt>
                <c:pt idx="134">
                  <c:v>1.2800869741100325</c:v>
                </c:pt>
                <c:pt idx="135">
                  <c:v>1.2314168689320388</c:v>
                </c:pt>
                <c:pt idx="136">
                  <c:v>1.2474716828478964</c:v>
                </c:pt>
                <c:pt idx="137">
                  <c:v>1.2412014563106797</c:v>
                </c:pt>
                <c:pt idx="138">
                  <c:v>1.2066140776699028</c:v>
                </c:pt>
                <c:pt idx="139">
                  <c:v>1.3154581310679612</c:v>
                </c:pt>
                <c:pt idx="140">
                  <c:v>1.3094407362459546</c:v>
                </c:pt>
                <c:pt idx="141">
                  <c:v>1.3406654530744337</c:v>
                </c:pt>
                <c:pt idx="142">
                  <c:v>1.2348300970873787</c:v>
                </c:pt>
                <c:pt idx="143">
                  <c:v>1.180445995145631</c:v>
                </c:pt>
                <c:pt idx="144">
                  <c:v>1.1738976537216828</c:v>
                </c:pt>
                <c:pt idx="145">
                  <c:v>1.06811286407767</c:v>
                </c:pt>
                <c:pt idx="146">
                  <c:v>1.018406148867314</c:v>
                </c:pt>
                <c:pt idx="147">
                  <c:v>1.1323574029126213</c:v>
                </c:pt>
                <c:pt idx="148">
                  <c:v>1.1838592233009708</c:v>
                </c:pt>
                <c:pt idx="149">
                  <c:v>1.1232807443365695</c:v>
                </c:pt>
                <c:pt idx="150">
                  <c:v>1.1943264563106797</c:v>
                </c:pt>
                <c:pt idx="151">
                  <c:v>1.1665655339805825</c:v>
                </c:pt>
                <c:pt idx="152">
                  <c:v>1.151345064724919</c:v>
                </c:pt>
                <c:pt idx="153">
                  <c:v>1.0941039644012944</c:v>
                </c:pt>
                <c:pt idx="154">
                  <c:v>1</c:v>
                </c:pt>
              </c:numCache>
            </c:numRef>
          </c:val>
          <c:smooth val="0"/>
          <c:extLst>
            <c:ext xmlns:c16="http://schemas.microsoft.com/office/drawing/2014/chart" uri="{C3380CC4-5D6E-409C-BE32-E72D297353CC}">
              <c16:uniqueId val="{00000002-9099-4ADB-BE7B-667A2DD481F5}"/>
            </c:ext>
          </c:extLst>
        </c:ser>
        <c:ser>
          <c:idx val="3"/>
          <c:order val="3"/>
          <c:tx>
            <c:strRef>
              <c:f>Inputs!$B$23</c:f>
              <c:strCache>
                <c:ptCount val="1"/>
                <c:pt idx="0">
                  <c:v>#NAME?</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Data'!$AI$5:$AI$159</c:f>
              <c:numCache>
                <c:formatCode>General</c:formatCode>
                <c:ptCount val="155"/>
                <c:pt idx="0">
                  <c:v>2.2436268494292526</c:v>
                </c:pt>
                <c:pt idx="1">
                  <c:v>2.2579051764724043</c:v>
                </c:pt>
                <c:pt idx="2">
                  <c:v>1.9920195728850709</c:v>
                </c:pt>
                <c:pt idx="3">
                  <c:v>2.1035448841140103</c:v>
                </c:pt>
                <c:pt idx="4">
                  <c:v>1.8716185448455238</c:v>
                </c:pt>
                <c:pt idx="5">
                  <c:v>1.6323600916900136</c:v>
                </c:pt>
                <c:pt idx="6">
                  <c:v>1.5393580155440814</c:v>
                </c:pt>
                <c:pt idx="7">
                  <c:v>1.5694582725539681</c:v>
                </c:pt>
                <c:pt idx="8">
                  <c:v>1.6149945587996943</c:v>
                </c:pt>
                <c:pt idx="9">
                  <c:v>1.6740373706267799</c:v>
                </c:pt>
                <c:pt idx="10">
                  <c:v>1.6632321501616922</c:v>
                </c:pt>
                <c:pt idx="11">
                  <c:v>2.1043166855758022</c:v>
                </c:pt>
                <c:pt idx="12">
                  <c:v>2.1625876959410961</c:v>
                </c:pt>
                <c:pt idx="13">
                  <c:v>2.1525542769378005</c:v>
                </c:pt>
                <c:pt idx="14">
                  <c:v>2.0973704724196747</c:v>
                </c:pt>
                <c:pt idx="15">
                  <c:v>2.0518341861739486</c:v>
                </c:pt>
                <c:pt idx="16">
                  <c:v>1.9580603085662243</c:v>
                </c:pt>
                <c:pt idx="17">
                  <c:v>1.9090509157424342</c:v>
                </c:pt>
                <c:pt idx="18">
                  <c:v>1.9202420369384179</c:v>
                </c:pt>
                <c:pt idx="19">
                  <c:v>1.7365532890319293</c:v>
                </c:pt>
                <c:pt idx="20">
                  <c:v>1.7878780862410952</c:v>
                </c:pt>
                <c:pt idx="21">
                  <c:v>1.7940524979354311</c:v>
                </c:pt>
                <c:pt idx="22">
                  <c:v>1.8696890411910438</c:v>
                </c:pt>
                <c:pt idx="23">
                  <c:v>1.6906311020553071</c:v>
                </c:pt>
                <c:pt idx="24">
                  <c:v>1.6381486026534533</c:v>
                </c:pt>
                <c:pt idx="25">
                  <c:v>1.5165898724212183</c:v>
                </c:pt>
                <c:pt idx="26">
                  <c:v>1.5196770782683862</c:v>
                </c:pt>
                <c:pt idx="27">
                  <c:v>1.3444781464416093</c:v>
                </c:pt>
                <c:pt idx="28">
                  <c:v>1.5929982171386232</c:v>
                </c:pt>
                <c:pt idx="29">
                  <c:v>1.7496739138823929</c:v>
                </c:pt>
                <c:pt idx="30">
                  <c:v>1.7133992451781703</c:v>
                </c:pt>
                <c:pt idx="31">
                  <c:v>1.6466384187331651</c:v>
                </c:pt>
                <c:pt idx="32">
                  <c:v>1.7006645210586029</c:v>
                </c:pt>
                <c:pt idx="33">
                  <c:v>1.7708984540816719</c:v>
                </c:pt>
                <c:pt idx="34">
                  <c:v>2.0078415028518064</c:v>
                </c:pt>
                <c:pt idx="35">
                  <c:v>1.9796707494963994</c:v>
                </c:pt>
                <c:pt idx="36">
                  <c:v>2.0120864108916621</c:v>
                </c:pt>
                <c:pt idx="37">
                  <c:v>1.9213997391311057</c:v>
                </c:pt>
                <c:pt idx="38">
                  <c:v>2.1216822184661215</c:v>
                </c:pt>
                <c:pt idx="39">
                  <c:v>1.9800566502272954</c:v>
                </c:pt>
                <c:pt idx="40">
                  <c:v>2.1255412257750814</c:v>
                </c:pt>
                <c:pt idx="41">
                  <c:v>1.8291694644469656</c:v>
                </c:pt>
                <c:pt idx="42">
                  <c:v>1.8291694644469656</c:v>
                </c:pt>
                <c:pt idx="43">
                  <c:v>1.8357297768721972</c:v>
                </c:pt>
                <c:pt idx="44">
                  <c:v>1.889369978466739</c:v>
                </c:pt>
                <c:pt idx="45">
                  <c:v>1.9028765040480986</c:v>
                </c:pt>
                <c:pt idx="46">
                  <c:v>1.7164864510253381</c:v>
                </c:pt>
                <c:pt idx="47">
                  <c:v>1.6879297969390352</c:v>
                </c:pt>
                <c:pt idx="48">
                  <c:v>1.7600932336165844</c:v>
                </c:pt>
                <c:pt idx="49">
                  <c:v>1.8106462293639582</c:v>
                </c:pt>
                <c:pt idx="50">
                  <c:v>1.8530953097625167</c:v>
                </c:pt>
                <c:pt idx="51">
                  <c:v>1.7573919285003126</c:v>
                </c:pt>
                <c:pt idx="52">
                  <c:v>1.8762493536162757</c:v>
                </c:pt>
                <c:pt idx="53">
                  <c:v>1.9889323670379031</c:v>
                </c:pt>
                <c:pt idx="54">
                  <c:v>1.9356780661742572</c:v>
                </c:pt>
                <c:pt idx="55">
                  <c:v>1.8407464863738452</c:v>
                </c:pt>
                <c:pt idx="56">
                  <c:v>1.7338519839156574</c:v>
                </c:pt>
                <c:pt idx="57">
                  <c:v>1.7141710466399622</c:v>
                </c:pt>
                <c:pt idx="58">
                  <c:v>1.7747574613906318</c:v>
                </c:pt>
                <c:pt idx="59">
                  <c:v>2.0213480284331657</c:v>
                </c:pt>
                <c:pt idx="60">
                  <c:v>2.1610440930175119</c:v>
                </c:pt>
                <c:pt idx="61">
                  <c:v>2.1012294797286346</c:v>
                </c:pt>
                <c:pt idx="62">
                  <c:v>1.9788989480346075</c:v>
                </c:pt>
                <c:pt idx="63">
                  <c:v>2.3941281344786867</c:v>
                </c:pt>
                <c:pt idx="64">
                  <c:v>2.3524508555419201</c:v>
                </c:pt>
                <c:pt idx="65">
                  <c:v>2.5770450809233831</c:v>
                </c:pt>
                <c:pt idx="66">
                  <c:v>2.918953128497225</c:v>
                </c:pt>
                <c:pt idx="67">
                  <c:v>2.7753980566039189</c:v>
                </c:pt>
                <c:pt idx="68">
                  <c:v>2.7514722112883678</c:v>
                </c:pt>
                <c:pt idx="69">
                  <c:v>2.6804664768035069</c:v>
                </c:pt>
                <c:pt idx="70">
                  <c:v>2.7398951893614885</c:v>
                </c:pt>
                <c:pt idx="71">
                  <c:v>2.5886221028502625</c:v>
                </c:pt>
                <c:pt idx="72">
                  <c:v>2.7306335718199848</c:v>
                </c:pt>
                <c:pt idx="73">
                  <c:v>2.7923776887633425</c:v>
                </c:pt>
                <c:pt idx="74">
                  <c:v>2.7190565498931054</c:v>
                </c:pt>
                <c:pt idx="75">
                  <c:v>2.8000957033812619</c:v>
                </c:pt>
                <c:pt idx="76">
                  <c:v>2.6966743075011381</c:v>
                </c:pt>
                <c:pt idx="77">
                  <c:v>2.6866408884978425</c:v>
                </c:pt>
                <c:pt idx="78">
                  <c:v>2.8780476510222508</c:v>
                </c:pt>
                <c:pt idx="79">
                  <c:v>3.0324079433806448</c:v>
                </c:pt>
                <c:pt idx="80">
                  <c:v>3.0578773916197797</c:v>
                </c:pt>
                <c:pt idx="81">
                  <c:v>3.0493875755400679</c:v>
                </c:pt>
                <c:pt idx="82">
                  <c:v>2.8857656656401707</c:v>
                </c:pt>
                <c:pt idx="83">
                  <c:v>2.8857656656401707</c:v>
                </c:pt>
                <c:pt idx="84">
                  <c:v>3.0563337886961954</c:v>
                </c:pt>
                <c:pt idx="85">
                  <c:v>2.8163035340788936</c:v>
                </c:pt>
                <c:pt idx="86">
                  <c:v>2.6642586461058757</c:v>
                </c:pt>
                <c:pt idx="87">
                  <c:v>2.5878503013884706</c:v>
                </c:pt>
                <c:pt idx="88">
                  <c:v>2.1980905631835266</c:v>
                </c:pt>
                <c:pt idx="89">
                  <c:v>2.1506247732833206</c:v>
                </c:pt>
                <c:pt idx="90">
                  <c:v>2.189986647834711</c:v>
                </c:pt>
                <c:pt idx="91">
                  <c:v>2.0367840576690051</c:v>
                </c:pt>
                <c:pt idx="92">
                  <c:v>1.9592180107589123</c:v>
                </c:pt>
                <c:pt idx="93">
                  <c:v>1.9773553451110235</c:v>
                </c:pt>
                <c:pt idx="94">
                  <c:v>1.9773553451110235</c:v>
                </c:pt>
                <c:pt idx="95">
                  <c:v>1.9491845917556168</c:v>
                </c:pt>
                <c:pt idx="96">
                  <c:v>1.8866686733504672</c:v>
                </c:pt>
                <c:pt idx="97">
                  <c:v>1.7959820015899108</c:v>
                </c:pt>
                <c:pt idx="98">
                  <c:v>1.8488504017226608</c:v>
                </c:pt>
                <c:pt idx="99">
                  <c:v>1.8480786002608689</c:v>
                </c:pt>
                <c:pt idx="100">
                  <c:v>1.8611992251113323</c:v>
                </c:pt>
                <c:pt idx="101">
                  <c:v>1.6408499077697252</c:v>
                </c:pt>
                <c:pt idx="102">
                  <c:v>1.573703180593824</c:v>
                </c:pt>
                <c:pt idx="103">
                  <c:v>1.571773676939344</c:v>
                </c:pt>
                <c:pt idx="104">
                  <c:v>1.6342895953444936</c:v>
                </c:pt>
                <c:pt idx="105">
                  <c:v>1.5868238054442874</c:v>
                </c:pt>
                <c:pt idx="106">
                  <c:v>1.4942076300292513</c:v>
                </c:pt>
                <c:pt idx="107">
                  <c:v>1.5667569674376962</c:v>
                </c:pt>
                <c:pt idx="108">
                  <c:v>1.5995585295638548</c:v>
                </c:pt>
                <c:pt idx="109">
                  <c:v>1.5906828127532473</c:v>
                </c:pt>
                <c:pt idx="110">
                  <c:v>1.7068389327529385</c:v>
                </c:pt>
                <c:pt idx="111">
                  <c:v>1.6447089150786851</c:v>
                </c:pt>
                <c:pt idx="112">
                  <c:v>1.6257997792647818</c:v>
                </c:pt>
                <c:pt idx="113">
                  <c:v>1.5725454784011359</c:v>
                </c:pt>
                <c:pt idx="114">
                  <c:v>1.6022598346801269</c:v>
                </c:pt>
                <c:pt idx="115">
                  <c:v>1.6319741909591177</c:v>
                </c:pt>
                <c:pt idx="116">
                  <c:v>1.5327977031188496</c:v>
                </c:pt>
                <c:pt idx="117">
                  <c:v>1.5995585295638548</c:v>
                </c:pt>
                <c:pt idx="118">
                  <c:v>1.5007679424544829</c:v>
                </c:pt>
                <c:pt idx="119">
                  <c:v>1.6450948158095811</c:v>
                </c:pt>
                <c:pt idx="120">
                  <c:v>1.5621261586669444</c:v>
                </c:pt>
                <c:pt idx="121">
                  <c:v>1.5868238054442874</c:v>
                </c:pt>
                <c:pt idx="122">
                  <c:v>1.5358849089660176</c:v>
                </c:pt>
                <c:pt idx="123">
                  <c:v>1.452144450361589</c:v>
                </c:pt>
                <c:pt idx="124">
                  <c:v>1.4907345234511873</c:v>
                </c:pt>
                <c:pt idx="125">
                  <c:v>1.4085376677703427</c:v>
                </c:pt>
                <c:pt idx="126">
                  <c:v>1.3444781464416093</c:v>
                </c:pt>
                <c:pt idx="127">
                  <c:v>1.206325684780847</c:v>
                </c:pt>
                <c:pt idx="128">
                  <c:v>1.1777690306945441</c:v>
                </c:pt>
                <c:pt idx="129">
                  <c:v>1.1777690306945441</c:v>
                </c:pt>
                <c:pt idx="130">
                  <c:v>1.1677356116912485</c:v>
                </c:pt>
                <c:pt idx="131">
                  <c:v>1.2306374308272938</c:v>
                </c:pt>
                <c:pt idx="132">
                  <c:v>1.2179027067077264</c:v>
                </c:pt>
                <c:pt idx="133">
                  <c:v>1.2431174604644701</c:v>
                </c:pt>
                <c:pt idx="134">
                  <c:v>1.2443986508910447</c:v>
                </c:pt>
                <c:pt idx="135">
                  <c:v>1.2027213719542784</c:v>
                </c:pt>
                <c:pt idx="136">
                  <c:v>1.235908834811333</c:v>
                </c:pt>
                <c:pt idx="137">
                  <c:v>1.2238224239196709</c:v>
                </c:pt>
                <c:pt idx="138">
                  <c:v>1.1471516667052566</c:v>
                </c:pt>
                <c:pt idx="139">
                  <c:v>1.1980905631835266</c:v>
                </c:pt>
                <c:pt idx="140">
                  <c:v>1.2161044093017512</c:v>
                </c:pt>
                <c:pt idx="141">
                  <c:v>1.1867759537536564</c:v>
                </c:pt>
                <c:pt idx="142">
                  <c:v>1.1932050599303834</c:v>
                </c:pt>
                <c:pt idx="143">
                  <c:v>1.1749365193297674</c:v>
                </c:pt>
                <c:pt idx="144">
                  <c:v>1.105991494747891</c:v>
                </c:pt>
                <c:pt idx="145">
                  <c:v>0.98816056557611109</c:v>
                </c:pt>
                <c:pt idx="146">
                  <c:v>1.0108052204650875</c:v>
                </c:pt>
                <c:pt idx="147">
                  <c:v>1.0540261023254378</c:v>
                </c:pt>
                <c:pt idx="148">
                  <c:v>1.1872853427184389</c:v>
                </c:pt>
                <c:pt idx="149">
                  <c:v>1.1530713839172011</c:v>
                </c:pt>
                <c:pt idx="150">
                  <c:v>1.1600175970733289</c:v>
                </c:pt>
                <c:pt idx="151">
                  <c:v>1.1937221669097842</c:v>
                </c:pt>
                <c:pt idx="152">
                  <c:v>1.1937221669097842</c:v>
                </c:pt>
                <c:pt idx="153">
                  <c:v>1.063797108831724</c:v>
                </c:pt>
                <c:pt idx="154">
                  <c:v>1</c:v>
                </c:pt>
              </c:numCache>
            </c:numRef>
          </c:val>
          <c:smooth val="0"/>
          <c:extLst>
            <c:ext xmlns:c16="http://schemas.microsoft.com/office/drawing/2014/chart" uri="{C3380CC4-5D6E-409C-BE32-E72D297353CC}">
              <c16:uniqueId val="{00000003-9099-4ADB-BE7B-667A2DD481F5}"/>
            </c:ext>
          </c:extLst>
        </c:ser>
        <c:ser>
          <c:idx val="4"/>
          <c:order val="4"/>
          <c:tx>
            <c:strRef>
              <c:f>Inputs!$B$24</c:f>
              <c:strCache>
                <c:ptCount val="1"/>
                <c:pt idx="0">
                  <c:v>#NAME?</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Data'!$AJ$5:$AJ$159</c:f>
              <c:numCache>
                <c:formatCode>General</c:formatCode>
                <c:ptCount val="155"/>
                <c:pt idx="0">
                  <c:v>3.4794520547945207</c:v>
                </c:pt>
                <c:pt idx="1">
                  <c:v>3.6525529265255292</c:v>
                </c:pt>
                <c:pt idx="2">
                  <c:v>3.3462017434620175</c:v>
                </c:pt>
                <c:pt idx="3">
                  <c:v>3.5105853051058529</c:v>
                </c:pt>
                <c:pt idx="4">
                  <c:v>3.195516811955168</c:v>
                </c:pt>
                <c:pt idx="5">
                  <c:v>2.9128268991282691</c:v>
                </c:pt>
                <c:pt idx="6">
                  <c:v>2.6587795765877957</c:v>
                </c:pt>
                <c:pt idx="7">
                  <c:v>2.8069738480697386</c:v>
                </c:pt>
                <c:pt idx="8">
                  <c:v>2.7870485678704857</c:v>
                </c:pt>
                <c:pt idx="9">
                  <c:v>3.0024906600249066</c:v>
                </c:pt>
                <c:pt idx="10">
                  <c:v>2.8904109589041096</c:v>
                </c:pt>
                <c:pt idx="11">
                  <c:v>2.8804483188044832</c:v>
                </c:pt>
                <c:pt idx="12">
                  <c:v>3.044831880448319</c:v>
                </c:pt>
                <c:pt idx="13">
                  <c:v>3.0037359900373599</c:v>
                </c:pt>
                <c:pt idx="14">
                  <c:v>3.028642590286426</c:v>
                </c:pt>
                <c:pt idx="15">
                  <c:v>2.8119551681195518</c:v>
                </c:pt>
                <c:pt idx="16">
                  <c:v>2.816936488169365</c:v>
                </c:pt>
                <c:pt idx="17">
                  <c:v>2.759651307596513</c:v>
                </c:pt>
                <c:pt idx="18">
                  <c:v>2.7272727272727271</c:v>
                </c:pt>
                <c:pt idx="19">
                  <c:v>2.5628891656288917</c:v>
                </c:pt>
                <c:pt idx="20">
                  <c:v>2.6201743462017433</c:v>
                </c:pt>
                <c:pt idx="21">
                  <c:v>2.6176836861768367</c:v>
                </c:pt>
                <c:pt idx="22">
                  <c:v>2.8567870485678704</c:v>
                </c:pt>
                <c:pt idx="23">
                  <c:v>2.4219178082191779</c:v>
                </c:pt>
                <c:pt idx="24">
                  <c:v>2.3571606475716065</c:v>
                </c:pt>
                <c:pt idx="25">
                  <c:v>2.2508094645080945</c:v>
                </c:pt>
                <c:pt idx="26">
                  <c:v>2.2393524283935244</c:v>
                </c:pt>
                <c:pt idx="27">
                  <c:v>2.1006226650062265</c:v>
                </c:pt>
                <c:pt idx="28">
                  <c:v>2.441095890410959</c:v>
                </c:pt>
                <c:pt idx="29">
                  <c:v>2.6537982565379825</c:v>
                </c:pt>
                <c:pt idx="30">
                  <c:v>2.7297633872976337</c:v>
                </c:pt>
                <c:pt idx="31">
                  <c:v>2.7584059775840597</c:v>
                </c:pt>
                <c:pt idx="32">
                  <c:v>2.7608966376089663</c:v>
                </c:pt>
                <c:pt idx="33">
                  <c:v>2.7671232876712328</c:v>
                </c:pt>
                <c:pt idx="34">
                  <c:v>2.8729763387297633</c:v>
                </c:pt>
                <c:pt idx="35">
                  <c:v>2.503113325031133</c:v>
                </c:pt>
                <c:pt idx="36">
                  <c:v>2.5541718555417185</c:v>
                </c:pt>
                <c:pt idx="37">
                  <c:v>2.6587795765877957</c:v>
                </c:pt>
                <c:pt idx="38">
                  <c:v>2.8605230386052303</c:v>
                </c:pt>
                <c:pt idx="39">
                  <c:v>2.4993773349937736</c:v>
                </c:pt>
                <c:pt idx="40">
                  <c:v>2.5853051058530512</c:v>
                </c:pt>
                <c:pt idx="41">
                  <c:v>2.3442092154420924</c:v>
                </c:pt>
                <c:pt idx="42">
                  <c:v>2.3442092154420924</c:v>
                </c:pt>
                <c:pt idx="43">
                  <c:v>2.2988792029887919</c:v>
                </c:pt>
                <c:pt idx="44">
                  <c:v>2.4179327521793277</c:v>
                </c:pt>
                <c:pt idx="45">
                  <c:v>2.493150684931507</c:v>
                </c:pt>
                <c:pt idx="46">
                  <c:v>2.235118306351183</c:v>
                </c:pt>
                <c:pt idx="47">
                  <c:v>2.2981320049813201</c:v>
                </c:pt>
                <c:pt idx="48">
                  <c:v>2.3330012453300126</c:v>
                </c:pt>
                <c:pt idx="49">
                  <c:v>2.6002490660024908</c:v>
                </c:pt>
                <c:pt idx="50">
                  <c:v>2.5417185554171855</c:v>
                </c:pt>
                <c:pt idx="51">
                  <c:v>2.3770859277708594</c:v>
                </c:pt>
                <c:pt idx="52">
                  <c:v>2.5155666251556661</c:v>
                </c:pt>
                <c:pt idx="53">
                  <c:v>2.6264009962640098</c:v>
                </c:pt>
                <c:pt idx="54">
                  <c:v>2.468742216687422</c:v>
                </c:pt>
                <c:pt idx="55">
                  <c:v>2.4495641344956414</c:v>
                </c:pt>
                <c:pt idx="56">
                  <c:v>2.4273972602739726</c:v>
                </c:pt>
                <c:pt idx="57">
                  <c:v>2.4034869240348691</c:v>
                </c:pt>
                <c:pt idx="58">
                  <c:v>2.4079701120797012</c:v>
                </c:pt>
                <c:pt idx="59">
                  <c:v>2.7608966376089663</c:v>
                </c:pt>
                <c:pt idx="60">
                  <c:v>2.8630136986301369</c:v>
                </c:pt>
                <c:pt idx="61">
                  <c:v>2.6787048567870486</c:v>
                </c:pt>
                <c:pt idx="62">
                  <c:v>2.5155666251556661</c:v>
                </c:pt>
                <c:pt idx="63">
                  <c:v>3.211706102117061</c:v>
                </c:pt>
                <c:pt idx="64">
                  <c:v>3.3250311332503113</c:v>
                </c:pt>
                <c:pt idx="65">
                  <c:v>3.6874221668742218</c:v>
                </c:pt>
                <c:pt idx="66">
                  <c:v>4.1195516811955164</c:v>
                </c:pt>
                <c:pt idx="67">
                  <c:v>3.8642590286425902</c:v>
                </c:pt>
                <c:pt idx="68">
                  <c:v>3.8032378580323787</c:v>
                </c:pt>
                <c:pt idx="69">
                  <c:v>3.6513075965130759</c:v>
                </c:pt>
                <c:pt idx="70">
                  <c:v>3.7945205479452055</c:v>
                </c:pt>
                <c:pt idx="71">
                  <c:v>3.6625155666251556</c:v>
                </c:pt>
                <c:pt idx="72">
                  <c:v>3.7708592777085927</c:v>
                </c:pt>
                <c:pt idx="73">
                  <c:v>3.8617683686176836</c:v>
                </c:pt>
                <c:pt idx="74">
                  <c:v>3.8655043586550435</c:v>
                </c:pt>
                <c:pt idx="75">
                  <c:v>4.3586550435865501</c:v>
                </c:pt>
                <c:pt idx="76">
                  <c:v>4.1095890410958908</c:v>
                </c:pt>
                <c:pt idx="77">
                  <c:v>4.2067247820672478</c:v>
                </c:pt>
                <c:pt idx="78">
                  <c:v>4.4184308841843087</c:v>
                </c:pt>
                <c:pt idx="79">
                  <c:v>4.6973848069738482</c:v>
                </c:pt>
                <c:pt idx="80">
                  <c:v>4.7322540473225407</c:v>
                </c:pt>
                <c:pt idx="81">
                  <c:v>4.8405977584059778</c:v>
                </c:pt>
                <c:pt idx="82">
                  <c:v>4.5043586550435863</c:v>
                </c:pt>
                <c:pt idx="83">
                  <c:v>4.5043586550435863</c:v>
                </c:pt>
                <c:pt idx="84">
                  <c:v>4.9925280199252802</c:v>
                </c:pt>
                <c:pt idx="85">
                  <c:v>4.7073474470734746</c:v>
                </c:pt>
                <c:pt idx="86">
                  <c:v>4.4981320049813203</c:v>
                </c:pt>
                <c:pt idx="87">
                  <c:v>4.5516811955168119</c:v>
                </c:pt>
                <c:pt idx="88">
                  <c:v>4.0709838107098379</c:v>
                </c:pt>
                <c:pt idx="89">
                  <c:v>3.6537982565379825</c:v>
                </c:pt>
                <c:pt idx="90">
                  <c:v>3.6363636363636362</c:v>
                </c:pt>
                <c:pt idx="91">
                  <c:v>3.1930261519302614</c:v>
                </c:pt>
                <c:pt idx="92">
                  <c:v>2.9526774595267744</c:v>
                </c:pt>
                <c:pt idx="93">
                  <c:v>2.9464508094645079</c:v>
                </c:pt>
                <c:pt idx="94">
                  <c:v>2.9464508094645079</c:v>
                </c:pt>
                <c:pt idx="95">
                  <c:v>2.9190535491905356</c:v>
                </c:pt>
                <c:pt idx="96">
                  <c:v>2.916562889165629</c:v>
                </c:pt>
                <c:pt idx="97">
                  <c:v>2.7322540473225403</c:v>
                </c:pt>
                <c:pt idx="98">
                  <c:v>2.6625155666251556</c:v>
                </c:pt>
                <c:pt idx="99">
                  <c:v>2.464508094645081</c:v>
                </c:pt>
                <c:pt idx="100">
                  <c:v>2.4283935242839352</c:v>
                </c:pt>
                <c:pt idx="101">
                  <c:v>2.1740971357409715</c:v>
                </c:pt>
                <c:pt idx="102">
                  <c:v>1.8533001245330012</c:v>
                </c:pt>
                <c:pt idx="103">
                  <c:v>1.8650062266500622</c:v>
                </c:pt>
                <c:pt idx="104">
                  <c:v>1.9285180572851806</c:v>
                </c:pt>
                <c:pt idx="105">
                  <c:v>1.8396014943960148</c:v>
                </c:pt>
                <c:pt idx="106">
                  <c:v>1.7459526774595269</c:v>
                </c:pt>
                <c:pt idx="107">
                  <c:v>1.8200498132004981</c:v>
                </c:pt>
                <c:pt idx="108">
                  <c:v>1.759651307596513</c:v>
                </c:pt>
                <c:pt idx="109">
                  <c:v>1.7428393524283936</c:v>
                </c:pt>
                <c:pt idx="110">
                  <c:v>1.87173100871731</c:v>
                </c:pt>
                <c:pt idx="111">
                  <c:v>1.8349937733499377</c:v>
                </c:pt>
                <c:pt idx="112">
                  <c:v>1.7851805728518058</c:v>
                </c:pt>
                <c:pt idx="113">
                  <c:v>1.7826899128268991</c:v>
                </c:pt>
                <c:pt idx="114">
                  <c:v>1.825653798256538</c:v>
                </c:pt>
                <c:pt idx="115">
                  <c:v>1.887920298879203</c:v>
                </c:pt>
                <c:pt idx="116">
                  <c:v>1.9265255292652552</c:v>
                </c:pt>
                <c:pt idx="117">
                  <c:v>1.9900373599003736</c:v>
                </c:pt>
                <c:pt idx="118">
                  <c:v>1.8935242839352429</c:v>
                </c:pt>
                <c:pt idx="119">
                  <c:v>2.028642590286426</c:v>
                </c:pt>
                <c:pt idx="120">
                  <c:v>1.9831880448318804</c:v>
                </c:pt>
                <c:pt idx="121">
                  <c:v>2.0174346201743463</c:v>
                </c:pt>
                <c:pt idx="122">
                  <c:v>1.9763387297633872</c:v>
                </c:pt>
                <c:pt idx="123">
                  <c:v>1.8555417185554173</c:v>
                </c:pt>
                <c:pt idx="124">
                  <c:v>1.8169364881693648</c:v>
                </c:pt>
                <c:pt idx="125">
                  <c:v>1.6276463262764633</c:v>
                </c:pt>
                <c:pt idx="126">
                  <c:v>1.5666251556662516</c:v>
                </c:pt>
                <c:pt idx="127">
                  <c:v>1.4221668742216687</c:v>
                </c:pt>
                <c:pt idx="128">
                  <c:v>1.3636363636363635</c:v>
                </c:pt>
                <c:pt idx="129">
                  <c:v>1.3636363636363635</c:v>
                </c:pt>
                <c:pt idx="130">
                  <c:v>1.3250311332503113</c:v>
                </c:pt>
                <c:pt idx="131">
                  <c:v>1.3947696139476962</c:v>
                </c:pt>
                <c:pt idx="132">
                  <c:v>1.386052303860523</c:v>
                </c:pt>
                <c:pt idx="133">
                  <c:v>1.452054794520548</c:v>
                </c:pt>
                <c:pt idx="134">
                  <c:v>1.3810709838107098</c:v>
                </c:pt>
                <c:pt idx="135">
                  <c:v>1.4072229140722292</c:v>
                </c:pt>
                <c:pt idx="136">
                  <c:v>1.4184308841843087</c:v>
                </c:pt>
                <c:pt idx="137">
                  <c:v>1.3910336239103362</c:v>
                </c:pt>
                <c:pt idx="138">
                  <c:v>1.273972602739726</c:v>
                </c:pt>
                <c:pt idx="139">
                  <c:v>1.2814445828144458</c:v>
                </c:pt>
                <c:pt idx="140">
                  <c:v>1.2926525529265256</c:v>
                </c:pt>
                <c:pt idx="141">
                  <c:v>1.2528019925280198</c:v>
                </c:pt>
                <c:pt idx="142">
                  <c:v>1.2067247820672478</c:v>
                </c:pt>
                <c:pt idx="143">
                  <c:v>1.1668742216687422</c:v>
                </c:pt>
                <c:pt idx="144">
                  <c:v>1.1257783312577834</c:v>
                </c:pt>
                <c:pt idx="145">
                  <c:v>1.0361145703611456</c:v>
                </c:pt>
                <c:pt idx="146">
                  <c:v>1.0560398505603985</c:v>
                </c:pt>
                <c:pt idx="147">
                  <c:v>1.0884184308841842</c:v>
                </c:pt>
                <c:pt idx="148">
                  <c:v>1.1606475716064757</c:v>
                </c:pt>
                <c:pt idx="149">
                  <c:v>1.1307596513075966</c:v>
                </c:pt>
                <c:pt idx="150">
                  <c:v>1.1245330012453301</c:v>
                </c:pt>
                <c:pt idx="151">
                  <c:v>1.1494396014943959</c:v>
                </c:pt>
                <c:pt idx="152">
                  <c:v>1.1494396014943959</c:v>
                </c:pt>
                <c:pt idx="153">
                  <c:v>1.0435865504358655</c:v>
                </c:pt>
                <c:pt idx="154">
                  <c:v>1</c:v>
                </c:pt>
              </c:numCache>
            </c:numRef>
          </c:val>
          <c:smooth val="0"/>
          <c:extLst>
            <c:ext xmlns:c16="http://schemas.microsoft.com/office/drawing/2014/chart" uri="{C3380CC4-5D6E-409C-BE32-E72D297353CC}">
              <c16:uniqueId val="{00000004-9099-4ADB-BE7B-667A2DD481F5}"/>
            </c:ext>
          </c:extLst>
        </c:ser>
        <c:ser>
          <c:idx val="5"/>
          <c:order val="5"/>
          <c:tx>
            <c:strRef>
              <c:f>Inputs!$B$25</c:f>
              <c:strCache>
                <c:ptCount val="1"/>
                <c:pt idx="0">
                  <c:v>#NAME?</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Data'!$AK$5:$AK$159</c:f>
              <c:numCache>
                <c:formatCode>General</c:formatCode>
                <c:ptCount val="155"/>
                <c:pt idx="0">
                  <c:v>1.6023489932885906</c:v>
                </c:pt>
                <c:pt idx="1">
                  <c:v>1.4429530201342282</c:v>
                </c:pt>
                <c:pt idx="2">
                  <c:v>1.4429530201342282</c:v>
                </c:pt>
                <c:pt idx="3">
                  <c:v>1.4328859060402686</c:v>
                </c:pt>
                <c:pt idx="4">
                  <c:v>1.3120805369127517</c:v>
                </c:pt>
                <c:pt idx="5">
                  <c:v>1.2181208053691275</c:v>
                </c:pt>
                <c:pt idx="6">
                  <c:v>1.1711409395973154</c:v>
                </c:pt>
                <c:pt idx="7">
                  <c:v>1.1845637583892616</c:v>
                </c:pt>
                <c:pt idx="8">
                  <c:v>1.1828859060402686</c:v>
                </c:pt>
                <c:pt idx="9">
                  <c:v>1.2063758389261745</c:v>
                </c:pt>
                <c:pt idx="10">
                  <c:v>1.1543624161073827</c:v>
                </c:pt>
                <c:pt idx="11">
                  <c:v>1.2181208053691275</c:v>
                </c:pt>
                <c:pt idx="12">
                  <c:v>1.1140939597315436</c:v>
                </c:pt>
                <c:pt idx="13">
                  <c:v>1.0855704697986577</c:v>
                </c:pt>
                <c:pt idx="14">
                  <c:v>1.0134228187919463</c:v>
                </c:pt>
                <c:pt idx="15">
                  <c:v>1.0201342281879195</c:v>
                </c:pt>
                <c:pt idx="16">
                  <c:v>1.0285234899328859</c:v>
                </c:pt>
                <c:pt idx="17">
                  <c:v>1.0033557046979866</c:v>
                </c:pt>
                <c:pt idx="18">
                  <c:v>1.0050335570469799</c:v>
                </c:pt>
                <c:pt idx="19">
                  <c:v>0.96979865771812079</c:v>
                </c:pt>
                <c:pt idx="20">
                  <c:v>0.93791946308724827</c:v>
                </c:pt>
                <c:pt idx="21">
                  <c:v>0.93456375838926176</c:v>
                </c:pt>
                <c:pt idx="22">
                  <c:v>0.96308724832214765</c:v>
                </c:pt>
                <c:pt idx="23">
                  <c:v>0.91610738255033553</c:v>
                </c:pt>
                <c:pt idx="24">
                  <c:v>0.93120805369127513</c:v>
                </c:pt>
                <c:pt idx="25">
                  <c:v>0.93456375838926176</c:v>
                </c:pt>
                <c:pt idx="26">
                  <c:v>0.91778523489932884</c:v>
                </c:pt>
                <c:pt idx="27">
                  <c:v>0.88926174496644295</c:v>
                </c:pt>
                <c:pt idx="28">
                  <c:v>0.98657718120805371</c:v>
                </c:pt>
                <c:pt idx="29">
                  <c:v>1.0302013422818792</c:v>
                </c:pt>
                <c:pt idx="30">
                  <c:v>0.98154362416107388</c:v>
                </c:pt>
                <c:pt idx="31">
                  <c:v>0.92114093959731547</c:v>
                </c:pt>
                <c:pt idx="32">
                  <c:v>0.90604026845637586</c:v>
                </c:pt>
                <c:pt idx="33">
                  <c:v>0.94966442953020136</c:v>
                </c:pt>
                <c:pt idx="34">
                  <c:v>0.9848993288590604</c:v>
                </c:pt>
                <c:pt idx="35">
                  <c:v>0.93624161073825507</c:v>
                </c:pt>
                <c:pt idx="36">
                  <c:v>0.88758389261744963</c:v>
                </c:pt>
                <c:pt idx="37">
                  <c:v>0.91107382550335569</c:v>
                </c:pt>
                <c:pt idx="38">
                  <c:v>0.91107382550335569</c:v>
                </c:pt>
                <c:pt idx="39">
                  <c:v>0.90100671140939592</c:v>
                </c:pt>
                <c:pt idx="40">
                  <c:v>0.96140939597315433</c:v>
                </c:pt>
                <c:pt idx="41">
                  <c:v>0.92114093959731547</c:v>
                </c:pt>
                <c:pt idx="42">
                  <c:v>0.92114093959731547</c:v>
                </c:pt>
                <c:pt idx="43">
                  <c:v>0.92114093959731547</c:v>
                </c:pt>
                <c:pt idx="44">
                  <c:v>0.90604026845637586</c:v>
                </c:pt>
                <c:pt idx="45">
                  <c:v>0.89093959731543626</c:v>
                </c:pt>
                <c:pt idx="46">
                  <c:v>0.94463087248322153</c:v>
                </c:pt>
                <c:pt idx="47">
                  <c:v>0.92785234899328861</c:v>
                </c:pt>
                <c:pt idx="48">
                  <c:v>0.84899328859060408</c:v>
                </c:pt>
                <c:pt idx="49">
                  <c:v>0.96140939597315433</c:v>
                </c:pt>
                <c:pt idx="50">
                  <c:v>0.99161073825503354</c:v>
                </c:pt>
                <c:pt idx="51">
                  <c:v>0.99161073825503354</c:v>
                </c:pt>
                <c:pt idx="52">
                  <c:v>0.99832214765100669</c:v>
                </c:pt>
                <c:pt idx="53">
                  <c:v>1.0285234899328859</c:v>
                </c:pt>
                <c:pt idx="54">
                  <c:v>1.0285234899328859</c:v>
                </c:pt>
                <c:pt idx="55">
                  <c:v>1.0436241610738255</c:v>
                </c:pt>
                <c:pt idx="56">
                  <c:v>1.0889261744966443</c:v>
                </c:pt>
                <c:pt idx="57">
                  <c:v>1.0889261744966443</c:v>
                </c:pt>
                <c:pt idx="58">
                  <c:v>1.174496644295302</c:v>
                </c:pt>
                <c:pt idx="59">
                  <c:v>1.2818791946308725</c:v>
                </c:pt>
                <c:pt idx="60">
                  <c:v>1.313758389261745</c:v>
                </c:pt>
                <c:pt idx="61">
                  <c:v>1.2953020134228188</c:v>
                </c:pt>
                <c:pt idx="62">
                  <c:v>1.2533557046979866</c:v>
                </c:pt>
                <c:pt idx="63">
                  <c:v>1.4077181208053691</c:v>
                </c:pt>
                <c:pt idx="64">
                  <c:v>1.3758389261744965</c:v>
                </c:pt>
                <c:pt idx="65">
                  <c:v>1.4546979865771812</c:v>
                </c:pt>
                <c:pt idx="66">
                  <c:v>1.4731543624161074</c:v>
                </c:pt>
                <c:pt idx="67">
                  <c:v>1.3724832214765101</c:v>
                </c:pt>
                <c:pt idx="68">
                  <c:v>1.3640939597315436</c:v>
                </c:pt>
                <c:pt idx="69">
                  <c:v>1.3624161073825503</c:v>
                </c:pt>
                <c:pt idx="70">
                  <c:v>1.2835570469798658</c:v>
                </c:pt>
                <c:pt idx="71">
                  <c:v>1.2986577181208054</c:v>
                </c:pt>
                <c:pt idx="72">
                  <c:v>1.261744966442953</c:v>
                </c:pt>
                <c:pt idx="73">
                  <c:v>1.3036912751677852</c:v>
                </c:pt>
                <c:pt idx="74">
                  <c:v>1.3640939597315436</c:v>
                </c:pt>
                <c:pt idx="75">
                  <c:v>1.3640939597315436</c:v>
                </c:pt>
                <c:pt idx="76">
                  <c:v>1.3187919463087248</c:v>
                </c:pt>
                <c:pt idx="77">
                  <c:v>1.3187919463087248</c:v>
                </c:pt>
                <c:pt idx="78">
                  <c:v>1.3238255033557047</c:v>
                </c:pt>
                <c:pt idx="79">
                  <c:v>1.4110738255033557</c:v>
                </c:pt>
                <c:pt idx="80">
                  <c:v>1.4110738255033557</c:v>
                </c:pt>
                <c:pt idx="81">
                  <c:v>1.3389261744966443</c:v>
                </c:pt>
                <c:pt idx="82">
                  <c:v>1.2902684563758389</c:v>
                </c:pt>
                <c:pt idx="83">
                  <c:v>1.2432885906040267</c:v>
                </c:pt>
                <c:pt idx="84">
                  <c:v>1.2231543624161074</c:v>
                </c:pt>
                <c:pt idx="85">
                  <c:v>1.2281879194630871</c:v>
                </c:pt>
                <c:pt idx="86">
                  <c:v>1.2248322147651007</c:v>
                </c:pt>
                <c:pt idx="87">
                  <c:v>1.2416107382550337</c:v>
                </c:pt>
                <c:pt idx="88">
                  <c:v>1.2583892617449663</c:v>
                </c:pt>
                <c:pt idx="89">
                  <c:v>1.2197986577181208</c:v>
                </c:pt>
                <c:pt idx="90">
                  <c:v>1.2416107382550337</c:v>
                </c:pt>
                <c:pt idx="91">
                  <c:v>1.1912751677852349</c:v>
                </c:pt>
                <c:pt idx="92">
                  <c:v>1.2348993288590604</c:v>
                </c:pt>
                <c:pt idx="93">
                  <c:v>1.2919463087248322</c:v>
                </c:pt>
                <c:pt idx="94">
                  <c:v>1.3087248322147651</c:v>
                </c:pt>
                <c:pt idx="95">
                  <c:v>1.2550335570469799</c:v>
                </c:pt>
                <c:pt idx="96">
                  <c:v>1.2214765100671141</c:v>
                </c:pt>
                <c:pt idx="97">
                  <c:v>1.2030201342281879</c:v>
                </c:pt>
                <c:pt idx="98">
                  <c:v>1.2197986577181208</c:v>
                </c:pt>
                <c:pt idx="99">
                  <c:v>1.2214765100671141</c:v>
                </c:pt>
                <c:pt idx="100">
                  <c:v>1.2114093959731544</c:v>
                </c:pt>
                <c:pt idx="101">
                  <c:v>1.1728187919463087</c:v>
                </c:pt>
                <c:pt idx="102">
                  <c:v>1.151006711409396</c:v>
                </c:pt>
                <c:pt idx="103">
                  <c:v>1.1409395973154361</c:v>
                </c:pt>
                <c:pt idx="104">
                  <c:v>1.1828859060402686</c:v>
                </c:pt>
                <c:pt idx="105">
                  <c:v>1.1442953020134228</c:v>
                </c:pt>
                <c:pt idx="106">
                  <c:v>1.1325503355704698</c:v>
                </c:pt>
                <c:pt idx="107">
                  <c:v>1.1476510067114094</c:v>
                </c:pt>
                <c:pt idx="108">
                  <c:v>1.1677852348993289</c:v>
                </c:pt>
                <c:pt idx="109">
                  <c:v>1.1895973154362416</c:v>
                </c:pt>
                <c:pt idx="110">
                  <c:v>1.174496644295302</c:v>
                </c:pt>
                <c:pt idx="111">
                  <c:v>1.1258389261744965</c:v>
                </c:pt>
                <c:pt idx="112">
                  <c:v>1.1258389261744965</c:v>
                </c:pt>
                <c:pt idx="113">
                  <c:v>1.1241610738255035</c:v>
                </c:pt>
                <c:pt idx="114">
                  <c:v>1.1560402684563758</c:v>
                </c:pt>
                <c:pt idx="115">
                  <c:v>1.1728187919463087</c:v>
                </c:pt>
                <c:pt idx="116">
                  <c:v>1.1711409395973154</c:v>
                </c:pt>
                <c:pt idx="117">
                  <c:v>1.2030201342281879</c:v>
                </c:pt>
                <c:pt idx="118">
                  <c:v>1.2063758389261745</c:v>
                </c:pt>
                <c:pt idx="119">
                  <c:v>1.2080536912751678</c:v>
                </c:pt>
                <c:pt idx="120">
                  <c:v>1.2197986577181208</c:v>
                </c:pt>
                <c:pt idx="121">
                  <c:v>1.1828859060402686</c:v>
                </c:pt>
                <c:pt idx="122">
                  <c:v>1.2063758389261745</c:v>
                </c:pt>
                <c:pt idx="123">
                  <c:v>1.1912751677852349</c:v>
                </c:pt>
                <c:pt idx="124">
                  <c:v>1.1979865771812082</c:v>
                </c:pt>
                <c:pt idx="125">
                  <c:v>1.1493288590604027</c:v>
                </c:pt>
                <c:pt idx="126">
                  <c:v>1.0906040268456376</c:v>
                </c:pt>
                <c:pt idx="127">
                  <c:v>1.0838926174496644</c:v>
                </c:pt>
                <c:pt idx="128">
                  <c:v>1.0973154362416107</c:v>
                </c:pt>
                <c:pt idx="129">
                  <c:v>1.075503355704698</c:v>
                </c:pt>
                <c:pt idx="130">
                  <c:v>1.098993288590604</c:v>
                </c:pt>
                <c:pt idx="131">
                  <c:v>1.1073825503355705</c:v>
                </c:pt>
                <c:pt idx="132">
                  <c:v>1.0721476510067114</c:v>
                </c:pt>
                <c:pt idx="133">
                  <c:v>1.0520134228187918</c:v>
                </c:pt>
                <c:pt idx="134">
                  <c:v>1.0251677852348993</c:v>
                </c:pt>
                <c:pt idx="135">
                  <c:v>1.0033557046979866</c:v>
                </c:pt>
                <c:pt idx="136">
                  <c:v>1.011744966442953</c:v>
                </c:pt>
                <c:pt idx="137">
                  <c:v>1.0251677852348993</c:v>
                </c:pt>
                <c:pt idx="138">
                  <c:v>1.0251677852348993</c:v>
                </c:pt>
                <c:pt idx="139">
                  <c:v>1.0436241610738255</c:v>
                </c:pt>
                <c:pt idx="140">
                  <c:v>1.0587248322147651</c:v>
                </c:pt>
                <c:pt idx="141">
                  <c:v>1.0369127516778522</c:v>
                </c:pt>
                <c:pt idx="142">
                  <c:v>1.063758389261745</c:v>
                </c:pt>
                <c:pt idx="143">
                  <c:v>1.0134228187919463</c:v>
                </c:pt>
                <c:pt idx="144">
                  <c:v>1.0151006711409396</c:v>
                </c:pt>
                <c:pt idx="145">
                  <c:v>0.96979865771812079</c:v>
                </c:pt>
                <c:pt idx="146">
                  <c:v>0.94966442953020136</c:v>
                </c:pt>
                <c:pt idx="147">
                  <c:v>0.97315436241610742</c:v>
                </c:pt>
                <c:pt idx="148">
                  <c:v>1.0151006711409396</c:v>
                </c:pt>
                <c:pt idx="149">
                  <c:v>0.98825503355704702</c:v>
                </c:pt>
                <c:pt idx="150">
                  <c:v>1.0436241610738255</c:v>
                </c:pt>
                <c:pt idx="151">
                  <c:v>1.023489932885906</c:v>
                </c:pt>
                <c:pt idx="152">
                  <c:v>1.0520134228187918</c:v>
                </c:pt>
                <c:pt idx="153">
                  <c:v>1.0402684563758389</c:v>
                </c:pt>
                <c:pt idx="154">
                  <c:v>1</c:v>
                </c:pt>
              </c:numCache>
            </c:numRef>
          </c:val>
          <c:smooth val="0"/>
          <c:extLst>
            <c:ext xmlns:c16="http://schemas.microsoft.com/office/drawing/2014/chart" uri="{C3380CC4-5D6E-409C-BE32-E72D297353CC}">
              <c16:uniqueId val="{00000005-9099-4ADB-BE7B-667A2DD481F5}"/>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1"/>
                </a:gs>
                <a:gs pos="59000">
                  <a:schemeClr val="bg1"/>
                </a:gs>
                <a:gs pos="100000">
                  <a:schemeClr val="accent1">
                    <a:lumMod val="20000"/>
                    <a:lumOff val="80000"/>
                  </a:schemeClr>
                </a:gs>
              </a:gsLst>
              <a:path path="circle">
                <a:fillToRect l="50000" t="130000" r="50000" b="-30000"/>
              </a:path>
            </a:gradFill>
          </c:spPr>
          <c:dPt>
            <c:idx val="0"/>
            <c:bubble3D val="0"/>
            <c:spPr>
              <a:gradFill>
                <a:gsLst>
                  <a:gs pos="0">
                    <a:schemeClr val="bg1"/>
                  </a:gs>
                  <a:gs pos="55000">
                    <a:schemeClr val="accent1"/>
                  </a:gs>
                  <a:gs pos="0">
                    <a:schemeClr val="bg1"/>
                  </a:gs>
                  <a:gs pos="0">
                    <a:schemeClr val="accent1">
                      <a:lumMod val="20000"/>
                      <a:lumOff val="80000"/>
                    </a:schemeClr>
                  </a:gs>
                </a:gsLst>
                <a:path path="circle">
                  <a:fillToRect l="50000" t="130000" r="50000" b="-30000"/>
                </a:path>
              </a:gradFill>
              <a:ln w="0">
                <a:noFill/>
              </a:ln>
              <a:effectLst/>
            </c:spPr>
            <c:extLst>
              <c:ext xmlns:c16="http://schemas.microsoft.com/office/drawing/2014/chart" uri="{C3380CC4-5D6E-409C-BE32-E72D297353CC}">
                <c16:uniqueId val="{00000002-2DD4-413D-9E26-14798A90AE10}"/>
              </c:ext>
            </c:extLst>
          </c:dPt>
          <c:dPt>
            <c:idx val="1"/>
            <c:bubble3D val="0"/>
            <c:spPr>
              <a:gradFill>
                <a:gsLst>
                  <a:gs pos="0">
                    <a:schemeClr val="bg1"/>
                  </a:gs>
                  <a:gs pos="22000">
                    <a:schemeClr val="bg1">
                      <a:alpha val="69000"/>
                    </a:schemeClr>
                  </a:gs>
                  <a:gs pos="100000">
                    <a:schemeClr val="accent1">
                      <a:lumMod val="20000"/>
                      <a:lumOff val="80000"/>
                    </a:schemeClr>
                  </a:gs>
                </a:gsLst>
                <a:path path="circle">
                  <a:fillToRect l="50000" t="130000" r="50000" b="-30000"/>
                </a:path>
              </a:gradFill>
              <a:ln w="85725">
                <a:solidFill>
                  <a:schemeClr val="lt1"/>
                </a:solidFill>
              </a:ln>
              <a:effectLst/>
            </c:spPr>
            <c:extLst>
              <c:ext xmlns:c16="http://schemas.microsoft.com/office/drawing/2014/chart" uri="{C3380CC4-5D6E-409C-BE32-E72D297353CC}">
                <c16:uniqueId val="{00000001-2DD4-413D-9E26-14798A90AE10}"/>
              </c:ext>
            </c:extLst>
          </c:dPt>
          <c:val>
            <c:numRef>
              <c:f>('Dashboard Data'!$C$2,'Dashboard Data'!$E$2)</c:f>
              <c:numCache>
                <c:formatCode>0%</c:formatCode>
                <c:ptCount val="2"/>
                <c:pt idx="0">
                  <c:v>0.35</c:v>
                </c:pt>
                <c:pt idx="1">
                  <c:v>0.65</c:v>
                </c:pt>
              </c:numCache>
            </c:numRef>
          </c:val>
          <c:extLst>
            <c:ext xmlns:c16="http://schemas.microsoft.com/office/drawing/2014/chart" uri="{C3380CC4-5D6E-409C-BE32-E72D297353CC}">
              <c16:uniqueId val="{00000000-2DD4-413D-9E26-14798A90AE1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'Dashboard Data'!$A$10</c:f>
              <c:strCache>
                <c:ptCount val="1"/>
                <c:pt idx="0">
                  <c:v>FCFF</c:v>
                </c:pt>
              </c:strCache>
            </c:strRef>
          </c:tx>
          <c:spPr>
            <a:solidFill>
              <a:schemeClr val="accent1"/>
            </a:solidFill>
            <a:ln>
              <a:noFill/>
            </a:ln>
            <a:effectLst/>
          </c:spPr>
          <c:cat>
            <c:numRef>
              <c:f>'Dashboard Data'!$B$6:$G$6</c:f>
              <c:numCache>
                <c:formatCode>General</c:formatCode>
                <c:ptCount val="6"/>
                <c:pt idx="0">
                  <c:v>2015</c:v>
                </c:pt>
                <c:pt idx="1">
                  <c:v>2016</c:v>
                </c:pt>
                <c:pt idx="2">
                  <c:v>2017</c:v>
                </c:pt>
                <c:pt idx="3">
                  <c:v>2018</c:v>
                </c:pt>
                <c:pt idx="4">
                  <c:v>2019</c:v>
                </c:pt>
                <c:pt idx="5">
                  <c:v>2020</c:v>
                </c:pt>
              </c:numCache>
            </c:numRef>
          </c:cat>
          <c:val>
            <c:numRef>
              <c:f>'Dashboard Data'!$B$10:$G$10</c:f>
              <c:numCache>
                <c:formatCode>General</c:formatCode>
                <c:ptCount val="6"/>
                <c:pt idx="0">
                  <c:v>677</c:v>
                </c:pt>
                <c:pt idx="1">
                  <c:v>845</c:v>
                </c:pt>
                <c:pt idx="2">
                  <c:v>1020</c:v>
                </c:pt>
                <c:pt idx="3">
                  <c:v>1152</c:v>
                </c:pt>
                <c:pt idx="4">
                  <c:v>1212</c:v>
                </c:pt>
                <c:pt idx="5">
                  <c:v>681</c:v>
                </c:pt>
              </c:numCache>
            </c:numRef>
          </c:val>
          <c:extLst>
            <c:ext xmlns:c16="http://schemas.microsoft.com/office/drawing/2014/chart" uri="{C3380CC4-5D6E-409C-BE32-E72D297353CC}">
              <c16:uniqueId val="{00000000-9EF7-48AD-8820-921394146877}"/>
            </c:ext>
          </c:extLst>
        </c:ser>
        <c:dLbls>
          <c:showLegendKey val="0"/>
          <c:showVal val="0"/>
          <c:showCatName val="0"/>
          <c:showSerName val="0"/>
          <c:showPercent val="0"/>
          <c:showBubbleSize val="0"/>
        </c:dLbls>
        <c:axId val="1035443872"/>
        <c:axId val="1043248104"/>
      </c:areaChart>
      <c:catAx>
        <c:axId val="1035443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48104"/>
        <c:crosses val="autoZero"/>
        <c:auto val="1"/>
        <c:lblAlgn val="ctr"/>
        <c:lblOffset val="100"/>
        <c:noMultiLvlLbl val="0"/>
      </c:catAx>
      <c:valAx>
        <c:axId val="1043248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443872"/>
        <c:crosses val="autoZero"/>
        <c:crossBetween val="midCat"/>
      </c:valAx>
      <c:spPr>
        <a:noFill/>
        <a:ln w="25400">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xml"/><Relationship Id="rId3" Type="http://schemas.openxmlformats.org/officeDocument/2006/relationships/image" Target="../media/image2.png"/><Relationship Id="rId21" Type="http://schemas.openxmlformats.org/officeDocument/2006/relationships/chart" Target="../charts/chart4.xml"/><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20" Type="http://schemas.openxmlformats.org/officeDocument/2006/relationships/chart" Target="../charts/chart3.xml"/><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23" Type="http://schemas.openxmlformats.org/officeDocument/2006/relationships/hyperlink" Target="#Dashboard!A1"/><Relationship Id="rId10" Type="http://schemas.openxmlformats.org/officeDocument/2006/relationships/hyperlink" Target="#WACC!A1"/><Relationship Id="rId19" Type="http://schemas.openxmlformats.org/officeDocument/2006/relationships/chart" Target="../charts/chart2.xml"/><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image" Target="../media/image1.png"/><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hyperlink" Target="#Sensitivity!A1"/><Relationship Id="rId16" Type="http://schemas.openxmlformats.org/officeDocument/2006/relationships/hyperlink" Target="#BS!A1"/><Relationship Id="rId20" Type="http://schemas.openxmlformats.org/officeDocument/2006/relationships/image" Target="../media/image3.png"/><Relationship Id="rId1" Type="http://schemas.openxmlformats.org/officeDocument/2006/relationships/chart" Target="../charts/chart6.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2.png"/><Relationship Id="rId9" Type="http://schemas.openxmlformats.org/officeDocument/2006/relationships/hyperlink" Target="#Segments!A1"/><Relationship Id="rId14" Type="http://schemas.openxmlformats.org/officeDocument/2006/relationships/hyperlink" Target="#LBO!A1"/></Relationships>
</file>

<file path=xl/drawings/_rels/drawing3.xml.rels><?xml version="1.0" encoding="UTF-8" standalone="yes"?>
<Relationships xmlns="http://schemas.openxmlformats.org/package/2006/relationships"><Relationship Id="rId8" Type="http://schemas.openxmlformats.org/officeDocument/2006/relationships/hyperlink" Target="#Industry!A1"/><Relationship Id="rId13" Type="http://schemas.openxmlformats.org/officeDocument/2006/relationships/hyperlink" Target="#WACC!A1"/><Relationship Id="rId18" Type="http://schemas.openxmlformats.org/officeDocument/2006/relationships/hyperlink" Target="#CF!A1"/><Relationship Id="rId3" Type="http://schemas.openxmlformats.org/officeDocument/2006/relationships/hyperlink" Target="#Sensitivity!A1"/><Relationship Id="rId7" Type="http://schemas.openxmlformats.org/officeDocument/2006/relationships/hyperlink" Target="#'Key Info'!A1"/><Relationship Id="rId12" Type="http://schemas.openxmlformats.org/officeDocument/2006/relationships/hyperlink" Target="#'Trading Comps'!A1"/><Relationship Id="rId17" Type="http://schemas.openxmlformats.org/officeDocument/2006/relationships/hyperlink" Target="#BS!A1"/><Relationship Id="rId2" Type="http://schemas.openxmlformats.org/officeDocument/2006/relationships/chart" Target="../charts/chart8.xml"/><Relationship Id="rId16" Type="http://schemas.openxmlformats.org/officeDocument/2006/relationships/hyperlink" Target="#IS!A1"/><Relationship Id="rId20" Type="http://schemas.openxmlformats.org/officeDocument/2006/relationships/hyperlink" Target="#Inputs!A1"/><Relationship Id="rId1" Type="http://schemas.openxmlformats.org/officeDocument/2006/relationships/chart" Target="../charts/chart7.xml"/><Relationship Id="rId6" Type="http://schemas.openxmlformats.org/officeDocument/2006/relationships/hyperlink" Target="#Dashboard!A1"/><Relationship Id="rId11" Type="http://schemas.openxmlformats.org/officeDocument/2006/relationships/hyperlink" Target="#Peers!A1"/><Relationship Id="rId5" Type="http://schemas.openxmlformats.org/officeDocument/2006/relationships/image" Target="../media/image2.png"/><Relationship Id="rId15" Type="http://schemas.openxmlformats.org/officeDocument/2006/relationships/hyperlink" Target="#LBO!A1"/><Relationship Id="rId10" Type="http://schemas.openxmlformats.org/officeDocument/2006/relationships/hyperlink" Target="#Segments!A1"/><Relationship Id="rId19" Type="http://schemas.openxmlformats.org/officeDocument/2006/relationships/hyperlink" Target="#'Error Check'!A1"/><Relationship Id="rId4" Type="http://schemas.openxmlformats.org/officeDocument/2006/relationships/image" Target="../media/image1.png"/><Relationship Id="rId9" Type="http://schemas.openxmlformats.org/officeDocument/2006/relationships/hyperlink" Target="#ESG!A1"/><Relationship Id="rId14" Type="http://schemas.openxmlformats.org/officeDocument/2006/relationships/hyperlink" Target="#FCFF!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1.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10.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2.xml"/><Relationship Id="rId9" Type="http://schemas.openxmlformats.org/officeDocument/2006/relationships/hyperlink" Target="#Industry!A1"/><Relationship Id="rId14" Type="http://schemas.openxmlformats.org/officeDocument/2006/relationships/hyperlink" Target="#WACC!A1"/><Relationship Id="rId22"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5.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20" Type="http://schemas.openxmlformats.org/officeDocument/2006/relationships/image" Target="../media/image4.png"/><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6.jpe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13" Type="http://schemas.openxmlformats.org/officeDocument/2006/relationships/hyperlink" Target="#IS!A1"/><Relationship Id="rId18" Type="http://schemas.openxmlformats.org/officeDocument/2006/relationships/image" Target="../media/image4.png"/><Relationship Id="rId26" Type="http://schemas.openxmlformats.org/officeDocument/2006/relationships/image" Target="../media/image14.png"/><Relationship Id="rId3" Type="http://schemas.openxmlformats.org/officeDocument/2006/relationships/hyperlink" Target="#Dashboard!A1"/><Relationship Id="rId21" Type="http://schemas.openxmlformats.org/officeDocument/2006/relationships/image" Target="../media/image9.png"/><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5" Type="http://schemas.openxmlformats.org/officeDocument/2006/relationships/image" Target="../media/image13.png"/><Relationship Id="rId33" Type="http://schemas.openxmlformats.org/officeDocument/2006/relationships/image" Target="../media/image21.png"/><Relationship Id="rId2" Type="http://schemas.openxmlformats.org/officeDocument/2006/relationships/image" Target="../media/image1.png"/><Relationship Id="rId16" Type="http://schemas.openxmlformats.org/officeDocument/2006/relationships/hyperlink" Target="#'Error Check'!A1"/><Relationship Id="rId20" Type="http://schemas.openxmlformats.org/officeDocument/2006/relationships/image" Target="../media/image8.png"/><Relationship Id="rId29" Type="http://schemas.openxmlformats.org/officeDocument/2006/relationships/image" Target="../media/image17.png"/><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24" Type="http://schemas.openxmlformats.org/officeDocument/2006/relationships/image" Target="../media/image12.png"/><Relationship Id="rId32" Type="http://schemas.openxmlformats.org/officeDocument/2006/relationships/image" Target="../media/image20.png"/><Relationship Id="rId5" Type="http://schemas.openxmlformats.org/officeDocument/2006/relationships/hyperlink" Target="#Industry!A1"/><Relationship Id="rId15" Type="http://schemas.openxmlformats.org/officeDocument/2006/relationships/hyperlink" Target="#CF!A1"/><Relationship Id="rId23" Type="http://schemas.openxmlformats.org/officeDocument/2006/relationships/image" Target="../media/image11.png"/><Relationship Id="rId28" Type="http://schemas.openxmlformats.org/officeDocument/2006/relationships/image" Target="../media/image16.png"/><Relationship Id="rId10" Type="http://schemas.openxmlformats.org/officeDocument/2006/relationships/hyperlink" Target="#WACC!A1"/><Relationship Id="rId19" Type="http://schemas.openxmlformats.org/officeDocument/2006/relationships/image" Target="../media/image7.png"/><Relationship Id="rId31" Type="http://schemas.openxmlformats.org/officeDocument/2006/relationships/image" Target="../media/image19.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 Id="rId22" Type="http://schemas.openxmlformats.org/officeDocument/2006/relationships/image" Target="../media/image10.png"/><Relationship Id="rId27" Type="http://schemas.openxmlformats.org/officeDocument/2006/relationships/image" Target="../media/image15.png"/><Relationship Id="rId30" Type="http://schemas.openxmlformats.org/officeDocument/2006/relationships/image" Target="../media/image18.png"/><Relationship Id="rId8" Type="http://schemas.openxmlformats.org/officeDocument/2006/relationships/hyperlink" Target="#Peers!A1"/></Relationships>
</file>

<file path=xl/drawings/_rels/drawing7.xml.rels><?xml version="1.0" encoding="UTF-8" standalone="yes"?>
<Relationships xmlns="http://schemas.openxmlformats.org/package/2006/relationships"><Relationship Id="rId8" Type="http://schemas.openxmlformats.org/officeDocument/2006/relationships/hyperlink" Target="#Industry!A1"/><Relationship Id="rId13" Type="http://schemas.openxmlformats.org/officeDocument/2006/relationships/hyperlink" Target="#WACC!A1"/><Relationship Id="rId18" Type="http://schemas.openxmlformats.org/officeDocument/2006/relationships/hyperlink" Target="#CF!A1"/><Relationship Id="rId3" Type="http://schemas.openxmlformats.org/officeDocument/2006/relationships/hyperlink" Target="#Sensitivity!A1"/><Relationship Id="rId7" Type="http://schemas.openxmlformats.org/officeDocument/2006/relationships/hyperlink" Target="#'Key Info'!A1"/><Relationship Id="rId12" Type="http://schemas.openxmlformats.org/officeDocument/2006/relationships/hyperlink" Target="#'Trading Comps'!A1"/><Relationship Id="rId17" Type="http://schemas.openxmlformats.org/officeDocument/2006/relationships/hyperlink" Target="#BS!A1"/><Relationship Id="rId2" Type="http://schemas.openxmlformats.org/officeDocument/2006/relationships/chart" Target="../charts/chart14.xml"/><Relationship Id="rId16" Type="http://schemas.openxmlformats.org/officeDocument/2006/relationships/hyperlink" Target="#IS!A1"/><Relationship Id="rId20" Type="http://schemas.openxmlformats.org/officeDocument/2006/relationships/hyperlink" Target="#Inputs!A1"/><Relationship Id="rId1" Type="http://schemas.openxmlformats.org/officeDocument/2006/relationships/chart" Target="../charts/chart13.xml"/><Relationship Id="rId6" Type="http://schemas.openxmlformats.org/officeDocument/2006/relationships/hyperlink" Target="#Dashboard!A1"/><Relationship Id="rId11" Type="http://schemas.openxmlformats.org/officeDocument/2006/relationships/hyperlink" Target="#Peers!A1"/><Relationship Id="rId5" Type="http://schemas.openxmlformats.org/officeDocument/2006/relationships/image" Target="../media/image2.png"/><Relationship Id="rId15" Type="http://schemas.openxmlformats.org/officeDocument/2006/relationships/hyperlink" Target="#LBO!A1"/><Relationship Id="rId10" Type="http://schemas.openxmlformats.org/officeDocument/2006/relationships/hyperlink" Target="#Segments!A1"/><Relationship Id="rId19" Type="http://schemas.openxmlformats.org/officeDocument/2006/relationships/hyperlink" Target="#'Error Check'!A1"/><Relationship Id="rId4" Type="http://schemas.openxmlformats.org/officeDocument/2006/relationships/image" Target="../media/image1.png"/><Relationship Id="rId9" Type="http://schemas.openxmlformats.org/officeDocument/2006/relationships/hyperlink" Target="#ESG!A1"/><Relationship Id="rId14" Type="http://schemas.openxmlformats.org/officeDocument/2006/relationships/hyperlink" Target="#FCFF!A1"/></Relationships>
</file>

<file path=xl/drawings/_rels/drawing8.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2.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image" Target="../media/image1.png"/><Relationship Id="rId16" Type="http://schemas.openxmlformats.org/officeDocument/2006/relationships/hyperlink" Target="#CF!A1"/><Relationship Id="rId1" Type="http://schemas.openxmlformats.org/officeDocument/2006/relationships/hyperlink" Target="#Sensitivity!A1"/><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chart" Target="../charts/chart15.xml"/><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2.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image" Target="../media/image1.png"/><Relationship Id="rId16" Type="http://schemas.openxmlformats.org/officeDocument/2006/relationships/hyperlink" Target="#CF!A1"/><Relationship Id="rId1" Type="http://schemas.openxmlformats.org/officeDocument/2006/relationships/hyperlink" Target="#Sensitivity!A1"/><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1.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image" Target="../media/image1.png"/><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hyperlink" Target="#Sensitivity!A1"/><Relationship Id="rId16" Type="http://schemas.openxmlformats.org/officeDocument/2006/relationships/hyperlink" Target="#BS!A1"/><Relationship Id="rId20" Type="http://schemas.openxmlformats.org/officeDocument/2006/relationships/image" Target="../media/image22.jpeg"/><Relationship Id="rId1" Type="http://schemas.openxmlformats.org/officeDocument/2006/relationships/chart" Target="../charts/chart16.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2.png"/><Relationship Id="rId9" Type="http://schemas.openxmlformats.org/officeDocument/2006/relationships/hyperlink" Target="#Segments!A1"/><Relationship Id="rId14" Type="http://schemas.openxmlformats.org/officeDocument/2006/relationships/hyperlink" Target="#LBO!A1"/></Relationships>
</file>

<file path=xl/drawings/_rels/drawing1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2.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image" Target="../media/image1.png"/><Relationship Id="rId16" Type="http://schemas.openxmlformats.org/officeDocument/2006/relationships/hyperlink" Target="#CF!A1"/><Relationship Id="rId1" Type="http://schemas.openxmlformats.org/officeDocument/2006/relationships/hyperlink" Target="#Sensitivity!A1"/><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3.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2.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image" Target="../media/image1.png"/><Relationship Id="rId16" Type="http://schemas.openxmlformats.org/officeDocument/2006/relationships/hyperlink" Target="#CF!A1"/><Relationship Id="rId1" Type="http://schemas.openxmlformats.org/officeDocument/2006/relationships/hyperlink" Target="#Sensitivity!A1"/><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4.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2.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image" Target="../media/image1.png"/><Relationship Id="rId16" Type="http://schemas.openxmlformats.org/officeDocument/2006/relationships/hyperlink" Target="#CF!A1"/><Relationship Id="rId1" Type="http://schemas.openxmlformats.org/officeDocument/2006/relationships/hyperlink" Target="#Sensitivity!A1"/><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5.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2.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image" Target="../media/image1.png"/><Relationship Id="rId16" Type="http://schemas.openxmlformats.org/officeDocument/2006/relationships/hyperlink" Target="#CF!A1"/><Relationship Id="rId1" Type="http://schemas.openxmlformats.org/officeDocument/2006/relationships/hyperlink" Target="#Sensitivity!A1"/><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6.xml.rels><?xml version="1.0" encoding="UTF-8" standalone="yes"?>
<Relationships xmlns="http://schemas.openxmlformats.org/package/2006/relationships"><Relationship Id="rId8" Type="http://schemas.openxmlformats.org/officeDocument/2006/relationships/hyperlink" Target="#Industry!A1"/><Relationship Id="rId13" Type="http://schemas.openxmlformats.org/officeDocument/2006/relationships/hyperlink" Target="#WACC!A1"/><Relationship Id="rId18" Type="http://schemas.openxmlformats.org/officeDocument/2006/relationships/hyperlink" Target="#CF!A1"/><Relationship Id="rId3" Type="http://schemas.openxmlformats.org/officeDocument/2006/relationships/hyperlink" Target="#Sensitivity!A1"/><Relationship Id="rId21" Type="http://schemas.openxmlformats.org/officeDocument/2006/relationships/chart" Target="../charts/chart19.xml"/><Relationship Id="rId7" Type="http://schemas.openxmlformats.org/officeDocument/2006/relationships/hyperlink" Target="#'Key Info'!A1"/><Relationship Id="rId12" Type="http://schemas.openxmlformats.org/officeDocument/2006/relationships/hyperlink" Target="#'Trading Comps'!A1"/><Relationship Id="rId17" Type="http://schemas.openxmlformats.org/officeDocument/2006/relationships/hyperlink" Target="#BS!A1"/><Relationship Id="rId2" Type="http://schemas.openxmlformats.org/officeDocument/2006/relationships/chart" Target="../charts/chart18.xml"/><Relationship Id="rId16" Type="http://schemas.openxmlformats.org/officeDocument/2006/relationships/hyperlink" Target="#IS!A1"/><Relationship Id="rId20" Type="http://schemas.openxmlformats.org/officeDocument/2006/relationships/hyperlink" Target="#Inputs!A1"/><Relationship Id="rId1" Type="http://schemas.openxmlformats.org/officeDocument/2006/relationships/chart" Target="../charts/chart17.xml"/><Relationship Id="rId6" Type="http://schemas.openxmlformats.org/officeDocument/2006/relationships/hyperlink" Target="#Dashboard!A1"/><Relationship Id="rId11" Type="http://schemas.openxmlformats.org/officeDocument/2006/relationships/hyperlink" Target="#Peers!A1"/><Relationship Id="rId5" Type="http://schemas.openxmlformats.org/officeDocument/2006/relationships/image" Target="../media/image2.png"/><Relationship Id="rId15" Type="http://schemas.openxmlformats.org/officeDocument/2006/relationships/hyperlink" Target="#LBO!A1"/><Relationship Id="rId10" Type="http://schemas.openxmlformats.org/officeDocument/2006/relationships/hyperlink" Target="#Segments!A1"/><Relationship Id="rId19" Type="http://schemas.openxmlformats.org/officeDocument/2006/relationships/hyperlink" Target="#'Error Check'!A1"/><Relationship Id="rId4" Type="http://schemas.openxmlformats.org/officeDocument/2006/relationships/image" Target="../media/image1.png"/><Relationship Id="rId9" Type="http://schemas.openxmlformats.org/officeDocument/2006/relationships/hyperlink" Target="#ESG!A1"/><Relationship Id="rId14" Type="http://schemas.openxmlformats.org/officeDocument/2006/relationships/hyperlink" Target="#FCFF!A1"/></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Upside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2</xdr:col>
      <xdr:colOff>280848</xdr:colOff>
      <xdr:row>0</xdr:row>
      <xdr:rowOff>95251</xdr:rowOff>
    </xdr:from>
    <xdr:to>
      <xdr:col>3</xdr:col>
      <xdr:colOff>591026</xdr:colOff>
      <xdr:row>3</xdr:row>
      <xdr:rowOff>95251</xdr:rowOff>
    </xdr:to>
    <xdr:pic>
      <xdr:nvPicPr>
        <xdr:cNvPr id="61" name="Picture 60" descr="File:SK Hynix.svg - Wikimedia Commons">
          <a:extLst>
            <a:ext uri="{FF2B5EF4-FFF2-40B4-BE49-F238E27FC236}">
              <a16:creationId xmlns:a16="http://schemas.microsoft.com/office/drawing/2014/main" id="{794F55BB-8CAA-40AA-844C-93A8CD9654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4"/>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5"/>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6"/>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7"/>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8"/>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9"/>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10"/>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1"/>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2"/>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3"/>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4"/>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5"/>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6"/>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7"/>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26.2%</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 uri="{147F2762-F138-4A5C-976F-8EAC2B608ADB}">
              <a16:predDERef xmlns:a16="http://schemas.microsoft.com/office/drawing/2014/main" pred="{01C2A47D-4BD3-4EB9-C6AA-A4BE89298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3"/>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1480998</xdr:colOff>
      <xdr:row>0</xdr:row>
      <xdr:rowOff>95251</xdr:rowOff>
    </xdr:from>
    <xdr:to>
      <xdr:col>2</xdr:col>
      <xdr:colOff>610076</xdr:colOff>
      <xdr:row>3</xdr:row>
      <xdr:rowOff>95251</xdr:rowOff>
    </xdr:to>
    <xdr:pic>
      <xdr:nvPicPr>
        <xdr:cNvPr id="107" name="Picture 106" descr="File:SK Hynix.svg - Wikimedia Commons">
          <a:extLst>
            <a:ext uri="{FF2B5EF4-FFF2-40B4-BE49-F238E27FC236}">
              <a16:creationId xmlns:a16="http://schemas.microsoft.com/office/drawing/2014/main" id="{BB82F9AF-19BA-4900-875D-6B49BC4CDE4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5"/>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6"/>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7"/>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8"/>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9"/>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10"/>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1"/>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2"/>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3"/>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4"/>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5"/>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6"/>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7"/>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8"/>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9"/>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664671</xdr:colOff>
      <xdr:row>12</xdr:row>
      <xdr:rowOff>23739</xdr:rowOff>
    </xdr:from>
    <xdr:to>
      <xdr:col>32</xdr:col>
      <xdr:colOff>355452</xdr:colOff>
      <xdr:row>38</xdr:row>
      <xdr:rowOff>29604</xdr:rowOff>
    </xdr:to>
    <xdr:pic>
      <xdr:nvPicPr>
        <xdr:cNvPr id="5" name="Picture 2">
          <a:extLst>
            <a:ext uri="{FF2B5EF4-FFF2-40B4-BE49-F238E27FC236}">
              <a16:creationId xmlns:a16="http://schemas.microsoft.com/office/drawing/2014/main" id="{36DF0B1D-A6BC-54D1-F09C-F094430AC1E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9394204" y="1875328"/>
          <a:ext cx="9977781" cy="4958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22</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1480998</xdr:colOff>
      <xdr:row>0</xdr:row>
      <xdr:rowOff>95251</xdr:rowOff>
    </xdr:from>
    <xdr:to>
      <xdr:col>1</xdr:col>
      <xdr:colOff>2562701</xdr:colOff>
      <xdr:row>3</xdr:row>
      <xdr:rowOff>95251</xdr:rowOff>
    </xdr:to>
    <xdr:pic>
      <xdr:nvPicPr>
        <xdr:cNvPr id="74" name="Picture 73" descr="File:SK Hynix.svg - Wikimedia Commons">
          <a:extLst>
            <a:ext uri="{FF2B5EF4-FFF2-40B4-BE49-F238E27FC236}">
              <a16:creationId xmlns:a16="http://schemas.microsoft.com/office/drawing/2014/main" id="{5455F449-8212-40D7-AE17-2B2396512C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6"/>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7"/>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8"/>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9"/>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10"/>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1"/>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2"/>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3"/>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4"/>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5"/>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6"/>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7"/>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8"/>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9"/>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20"/>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 uri="{147F2762-F138-4A5C-976F-8EAC2B608ADB}">
              <a16:predDERef xmlns:a16="http://schemas.microsoft.com/office/drawing/2014/main" pre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1069473</xdr:colOff>
      <xdr:row>0</xdr:row>
      <xdr:rowOff>1</xdr:rowOff>
    </xdr:from>
    <xdr:to>
      <xdr:col>2</xdr:col>
      <xdr:colOff>680083</xdr:colOff>
      <xdr:row>5</xdr:row>
      <xdr:rowOff>3698</xdr:rowOff>
    </xdr:to>
    <xdr:pic>
      <xdr:nvPicPr>
        <xdr:cNvPr id="6" name="Picture 4" descr="ACM Research | Wafer Fabrication Equipment (WFE) &amp; Systems">
          <a:extLst>
            <a:ext uri="{FF2B5EF4-FFF2-40B4-BE49-F238E27FC236}">
              <a16:creationId xmlns:a16="http://schemas.microsoft.com/office/drawing/2014/main" id="{C8811D27-FE5E-41E5-ABAF-4B213E631F78}"/>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219868" y="1"/>
          <a:ext cx="1668010" cy="816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51</xdr:col>
      <xdr:colOff>95516</xdr:colOff>
      <xdr:row>12</xdr:row>
      <xdr:rowOff>1</xdr:rowOff>
    </xdr:from>
    <xdr:to>
      <xdr:col>58</xdr:col>
      <xdr:colOff>230909</xdr:colOff>
      <xdr:row>26</xdr:row>
      <xdr:rowOff>103587</xdr:rowOff>
    </xdr:to>
    <xdr:pic>
      <xdr:nvPicPr>
        <xdr:cNvPr id="7" name="Picture 6">
          <a:extLst>
            <a:ext uri="{FF2B5EF4-FFF2-40B4-BE49-F238E27FC236}">
              <a16:creationId xmlns:a16="http://schemas.microsoft.com/office/drawing/2014/main" id="{D7791729-B652-2348-5D87-56DBF0E15E9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3661425" y="1991592"/>
          <a:ext cx="4984484" cy="385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239690</xdr:colOff>
      <xdr:row>27</xdr:row>
      <xdr:rowOff>184398</xdr:rowOff>
    </xdr:from>
    <xdr:to>
      <xdr:col>61</xdr:col>
      <xdr:colOff>104316</xdr:colOff>
      <xdr:row>42</xdr:row>
      <xdr:rowOff>700051</xdr:rowOff>
    </xdr:to>
    <xdr:pic>
      <xdr:nvPicPr>
        <xdr:cNvPr id="2" name="Picture 7" descr="ACM Research Unveils Ultra ECDP Electrochemical Deplating Tool for Compound Semiconductor Gold Etch Processes - SMT Today">
          <a:extLst>
            <a:ext uri="{FF2B5EF4-FFF2-40B4-BE49-F238E27FC236}">
              <a16:creationId xmlns:a16="http://schemas.microsoft.com/office/drawing/2014/main" id="{BB3CC10D-3C69-63D0-D119-765731E87E09}"/>
            </a:ext>
          </a:extLst>
        </xdr:cNvPr>
        <xdr:cNvPicPr>
          <a:picLocks noChangeAspect="1" noChangeArrowheads="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l="20942"/>
        <a:stretch>
          <a:fillRect/>
        </a:stretch>
      </xdr:blipFill>
      <xdr:spPr bwMode="auto">
        <a:xfrm>
          <a:off x="13735676" y="5818905"/>
          <a:ext cx="6722626" cy="4808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995796</xdr:colOff>
      <xdr:row>0</xdr:row>
      <xdr:rowOff>0</xdr:rowOff>
    </xdr:from>
    <xdr:to>
      <xdr:col>1</xdr:col>
      <xdr:colOff>2663806</xdr:colOff>
      <xdr:row>5</xdr:row>
      <xdr:rowOff>3697</xdr:rowOff>
    </xdr:to>
    <xdr:pic>
      <xdr:nvPicPr>
        <xdr:cNvPr id="9" name="Picture 3" descr="ACM Research | Wafer Fabrication Equipment (WFE) &amp; Systems">
          <a:extLst>
            <a:ext uri="{FF2B5EF4-FFF2-40B4-BE49-F238E27FC236}">
              <a16:creationId xmlns:a16="http://schemas.microsoft.com/office/drawing/2014/main" id="{13C820C7-93DD-4557-8B1A-DCD7897B87C3}"/>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154546" y="0"/>
          <a:ext cx="1668010" cy="816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43</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2218455</xdr:colOff>
      <xdr:row>6</xdr:row>
      <xdr:rowOff>1</xdr:rowOff>
    </xdr:from>
    <xdr:to>
      <xdr:col>3</xdr:col>
      <xdr:colOff>145365</xdr:colOff>
      <xdr:row>9</xdr:row>
      <xdr:rowOff>43591</xdr:rowOff>
    </xdr:to>
    <xdr:pic>
      <xdr:nvPicPr>
        <xdr:cNvPr id="54" name="Picture 53" descr="ACM Research | Wafer Fabrication Equipment (WFE) &amp; Systems">
          <a:extLst>
            <a:ext uri="{FF2B5EF4-FFF2-40B4-BE49-F238E27FC236}">
              <a16:creationId xmlns:a16="http://schemas.microsoft.com/office/drawing/2014/main" id="{C9CC67B3-35C6-FA27-799B-E95176BFCEA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77205" y="1005418"/>
          <a:ext cx="1239493" cy="615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40125</xdr:colOff>
      <xdr:row>6</xdr:row>
      <xdr:rowOff>154703</xdr:rowOff>
    </xdr:from>
    <xdr:to>
      <xdr:col>3</xdr:col>
      <xdr:colOff>823009</xdr:colOff>
      <xdr:row>8</xdr:row>
      <xdr:rowOff>75302</xdr:rowOff>
    </xdr:to>
    <xdr:pic>
      <xdr:nvPicPr>
        <xdr:cNvPr id="55" name="Picture 54">
          <a:extLst>
            <a:ext uri="{FF2B5EF4-FFF2-40B4-BE49-F238E27FC236}">
              <a16:creationId xmlns:a16="http://schemas.microsoft.com/office/drawing/2014/main" id="{8E9779B4-F6F7-5CD0-4224-603C0A825D7D}"/>
            </a:ext>
          </a:extLst>
        </xdr:cNvPr>
        <xdr:cNvPicPr>
          <a:picLocks noChangeAspect="1"/>
        </xdr:cNvPicPr>
      </xdr:nvPicPr>
      <xdr:blipFill>
        <a:blip xmlns:r="http://schemas.openxmlformats.org/officeDocument/2006/relationships" r:embed="rId19"/>
        <a:stretch>
          <a:fillRect/>
        </a:stretch>
      </xdr:blipFill>
      <xdr:spPr>
        <a:xfrm>
          <a:off x="3511458" y="1160120"/>
          <a:ext cx="782884" cy="301599"/>
        </a:xfrm>
        <a:prstGeom prst="rect">
          <a:avLst/>
        </a:prstGeom>
      </xdr:spPr>
    </xdr:pic>
    <xdr:clientData/>
  </xdr:twoCellAnchor>
  <xdr:twoCellAnchor editAs="oneCell">
    <xdr:from>
      <xdr:col>4</xdr:col>
      <xdr:colOff>73461</xdr:colOff>
      <xdr:row>6</xdr:row>
      <xdr:rowOff>168052</xdr:rowOff>
    </xdr:from>
    <xdr:to>
      <xdr:col>4</xdr:col>
      <xdr:colOff>885888</xdr:colOff>
      <xdr:row>8</xdr:row>
      <xdr:rowOff>58023</xdr:rowOff>
    </xdr:to>
    <xdr:pic>
      <xdr:nvPicPr>
        <xdr:cNvPr id="57" name="Picture 56">
          <a:extLst>
            <a:ext uri="{FF2B5EF4-FFF2-40B4-BE49-F238E27FC236}">
              <a16:creationId xmlns:a16="http://schemas.microsoft.com/office/drawing/2014/main" id="{1B656644-DA7A-02F3-82F7-B9A45F399DC9}"/>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486711" y="1173469"/>
          <a:ext cx="812427" cy="270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1092573</xdr:colOff>
      <xdr:row>0</xdr:row>
      <xdr:rowOff>0</xdr:rowOff>
    </xdr:from>
    <xdr:to>
      <xdr:col>2</xdr:col>
      <xdr:colOff>391545</xdr:colOff>
      <xdr:row>5</xdr:row>
      <xdr:rowOff>18676</xdr:rowOff>
    </xdr:to>
    <xdr:pic>
      <xdr:nvPicPr>
        <xdr:cNvPr id="58" name="Picture 57" descr="ACM Research | Wafer Fabrication Equipment (WFE) &amp; Systems">
          <a:extLst>
            <a:ext uri="{FF2B5EF4-FFF2-40B4-BE49-F238E27FC236}">
              <a16:creationId xmlns:a16="http://schemas.microsoft.com/office/drawing/2014/main" id="{182582E2-5DCE-4932-A61C-59B94E0CB7C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251323" y="0"/>
          <a:ext cx="1670884" cy="812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124012</xdr:colOff>
      <xdr:row>6</xdr:row>
      <xdr:rowOff>102980</xdr:rowOff>
    </xdr:from>
    <xdr:to>
      <xdr:col>5</xdr:col>
      <xdr:colOff>830038</xdr:colOff>
      <xdr:row>8</xdr:row>
      <xdr:rowOff>137349</xdr:rowOff>
    </xdr:to>
    <xdr:pic>
      <xdr:nvPicPr>
        <xdr:cNvPr id="59" name="Picture 58">
          <a:extLst>
            <a:ext uri="{FF2B5EF4-FFF2-40B4-BE49-F238E27FC236}">
              <a16:creationId xmlns:a16="http://schemas.microsoft.com/office/drawing/2014/main" id="{FC7F1764-055E-94FB-F36A-4FB34794FDE5}"/>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464525" y="1088044"/>
          <a:ext cx="706026" cy="408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59907</xdr:colOff>
      <xdr:row>7</xdr:row>
      <xdr:rowOff>5094</xdr:rowOff>
    </xdr:from>
    <xdr:to>
      <xdr:col>6</xdr:col>
      <xdr:colOff>898585</xdr:colOff>
      <xdr:row>8</xdr:row>
      <xdr:rowOff>28456</xdr:rowOff>
    </xdr:to>
    <xdr:pic>
      <xdr:nvPicPr>
        <xdr:cNvPr id="60" name="Picture 59">
          <a:extLst>
            <a:ext uri="{FF2B5EF4-FFF2-40B4-BE49-F238E27FC236}">
              <a16:creationId xmlns:a16="http://schemas.microsoft.com/office/drawing/2014/main" id="{7A21483D-8618-629B-8E1F-789613202BCC}"/>
            </a:ext>
          </a:extLst>
        </xdr:cNvPr>
        <xdr:cNvPicPr>
          <a:picLocks noChangeAspect="1"/>
        </xdr:cNvPicPr>
      </xdr:nvPicPr>
      <xdr:blipFill>
        <a:blip xmlns:r="http://schemas.openxmlformats.org/officeDocument/2006/relationships" r:embed="rId22"/>
        <a:stretch>
          <a:fillRect/>
        </a:stretch>
      </xdr:blipFill>
      <xdr:spPr>
        <a:xfrm>
          <a:off x="6350376" y="1199688"/>
          <a:ext cx="838678" cy="213862"/>
        </a:xfrm>
        <a:prstGeom prst="rect">
          <a:avLst/>
        </a:prstGeom>
      </xdr:spPr>
    </xdr:pic>
    <xdr:clientData/>
  </xdr:twoCellAnchor>
  <xdr:twoCellAnchor editAs="oneCell">
    <xdr:from>
      <xdr:col>7</xdr:col>
      <xdr:colOff>74683</xdr:colOff>
      <xdr:row>7</xdr:row>
      <xdr:rowOff>11981</xdr:rowOff>
    </xdr:from>
    <xdr:to>
      <xdr:col>7</xdr:col>
      <xdr:colOff>841476</xdr:colOff>
      <xdr:row>8</xdr:row>
      <xdr:rowOff>49603</xdr:rowOff>
    </xdr:to>
    <xdr:pic>
      <xdr:nvPicPr>
        <xdr:cNvPr id="61" name="Picture 60">
          <a:extLst>
            <a:ext uri="{FF2B5EF4-FFF2-40B4-BE49-F238E27FC236}">
              <a16:creationId xmlns:a16="http://schemas.microsoft.com/office/drawing/2014/main" id="{C0600143-B24F-7761-FC3F-3A12E6450B7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7313683" y="1207898"/>
          <a:ext cx="766793" cy="228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1799</xdr:colOff>
      <xdr:row>7</xdr:row>
      <xdr:rowOff>65197</xdr:rowOff>
    </xdr:from>
    <xdr:to>
      <xdr:col>8</xdr:col>
      <xdr:colOff>895789</xdr:colOff>
      <xdr:row>8</xdr:row>
      <xdr:rowOff>3515</xdr:rowOff>
    </xdr:to>
    <xdr:pic>
      <xdr:nvPicPr>
        <xdr:cNvPr id="62" name="Picture 61">
          <a:extLst>
            <a:ext uri="{FF2B5EF4-FFF2-40B4-BE49-F238E27FC236}">
              <a16:creationId xmlns:a16="http://schemas.microsoft.com/office/drawing/2014/main" id="{1D2537BE-2124-C3D7-C424-1C49A4DC9828}"/>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8182716" y="1261114"/>
          <a:ext cx="893990" cy="122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26458</xdr:colOff>
      <xdr:row>6</xdr:row>
      <xdr:rowOff>186973</xdr:rowOff>
    </xdr:from>
    <xdr:to>
      <xdr:col>10</xdr:col>
      <xdr:colOff>893704</xdr:colOff>
      <xdr:row>8</xdr:row>
      <xdr:rowOff>51687</xdr:rowOff>
    </xdr:to>
    <xdr:pic>
      <xdr:nvPicPr>
        <xdr:cNvPr id="63" name="Picture 62" descr="Himax Technology Limited">
          <a:extLst>
            <a:ext uri="{FF2B5EF4-FFF2-40B4-BE49-F238E27FC236}">
              <a16:creationId xmlns:a16="http://schemas.microsoft.com/office/drawing/2014/main" id="{3269C4D9-4CE1-2687-4C03-D25897B64E32}"/>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0079302" y="1191067"/>
          <a:ext cx="867246" cy="245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26461</xdr:colOff>
      <xdr:row>6</xdr:row>
      <xdr:rowOff>88194</xdr:rowOff>
    </xdr:from>
    <xdr:to>
      <xdr:col>9</xdr:col>
      <xdr:colOff>859550</xdr:colOff>
      <xdr:row>8</xdr:row>
      <xdr:rowOff>144617</xdr:rowOff>
    </xdr:to>
    <xdr:pic>
      <xdr:nvPicPr>
        <xdr:cNvPr id="6144" name="Picture 6143" descr="Samsung logo PNG images | Pngimg.com">
          <a:extLst>
            <a:ext uri="{FF2B5EF4-FFF2-40B4-BE49-F238E27FC236}">
              <a16:creationId xmlns:a16="http://schemas.microsoft.com/office/drawing/2014/main" id="{9E3390E4-FD49-6103-E529-DD2377E519C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9163405" y="1111250"/>
          <a:ext cx="833089" cy="444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57766</xdr:colOff>
      <xdr:row>7</xdr:row>
      <xdr:rowOff>31128</xdr:rowOff>
    </xdr:from>
    <xdr:to>
      <xdr:col>11</xdr:col>
      <xdr:colOff>825059</xdr:colOff>
      <xdr:row>8</xdr:row>
      <xdr:rowOff>23184</xdr:rowOff>
    </xdr:to>
    <xdr:pic>
      <xdr:nvPicPr>
        <xdr:cNvPr id="6145" name="Picture 6144">
          <a:extLst>
            <a:ext uri="{FF2B5EF4-FFF2-40B4-BE49-F238E27FC236}">
              <a16:creationId xmlns:a16="http://schemas.microsoft.com/office/drawing/2014/main" id="{12ED33D5-3040-F2CD-0BAB-DA48F7059365}"/>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1051204" y="1225722"/>
          <a:ext cx="767293" cy="182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30430</xdr:colOff>
      <xdr:row>6</xdr:row>
      <xdr:rowOff>149200</xdr:rowOff>
    </xdr:from>
    <xdr:to>
      <xdr:col>12</xdr:col>
      <xdr:colOff>921192</xdr:colOff>
      <xdr:row>8</xdr:row>
      <xdr:rowOff>39618</xdr:rowOff>
    </xdr:to>
    <xdr:pic>
      <xdr:nvPicPr>
        <xdr:cNvPr id="6146" name="Picture 6145">
          <a:extLst>
            <a:ext uri="{FF2B5EF4-FFF2-40B4-BE49-F238E27FC236}">
              <a16:creationId xmlns:a16="http://schemas.microsoft.com/office/drawing/2014/main" id="{1AC50C2D-ABF6-1954-E13C-229C155F2144}"/>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11964461" y="1153294"/>
          <a:ext cx="890762" cy="271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119503</xdr:colOff>
      <xdr:row>6</xdr:row>
      <xdr:rowOff>134468</xdr:rowOff>
    </xdr:from>
    <xdr:to>
      <xdr:col>13</xdr:col>
      <xdr:colOff>807419</xdr:colOff>
      <xdr:row>8</xdr:row>
      <xdr:rowOff>105346</xdr:rowOff>
    </xdr:to>
    <xdr:pic>
      <xdr:nvPicPr>
        <xdr:cNvPr id="6147" name="Picture 6146" descr="File:SK Hynix.svg - Wikimedia Commons">
          <a:extLst>
            <a:ext uri="{FF2B5EF4-FFF2-40B4-BE49-F238E27FC236}">
              <a16:creationId xmlns:a16="http://schemas.microsoft.com/office/drawing/2014/main" id="{F5BEE375-E355-4B53-A84C-3561EB70FE14}"/>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2994128" y="1138562"/>
          <a:ext cx="687916" cy="351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167570</xdr:colOff>
      <xdr:row>6</xdr:row>
      <xdr:rowOff>66495</xdr:rowOff>
    </xdr:from>
    <xdr:to>
      <xdr:col>14</xdr:col>
      <xdr:colOff>770101</xdr:colOff>
      <xdr:row>8</xdr:row>
      <xdr:rowOff>158750</xdr:rowOff>
    </xdr:to>
    <xdr:pic>
      <xdr:nvPicPr>
        <xdr:cNvPr id="6148" name="Picture 6147" descr="TSMC - Wikipedia">
          <a:extLst>
            <a:ext uri="{FF2B5EF4-FFF2-40B4-BE49-F238E27FC236}">
              <a16:creationId xmlns:a16="http://schemas.microsoft.com/office/drawing/2014/main" id="{BCB32116-4C92-5EFA-351A-9D5722C69404}"/>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13982789" y="1070589"/>
          <a:ext cx="602531" cy="473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202407</xdr:colOff>
      <xdr:row>6</xdr:row>
      <xdr:rowOff>105082</xdr:rowOff>
    </xdr:from>
    <xdr:to>
      <xdr:col>15</xdr:col>
      <xdr:colOff>748617</xdr:colOff>
      <xdr:row>8</xdr:row>
      <xdr:rowOff>127001</xdr:rowOff>
    </xdr:to>
    <xdr:pic>
      <xdr:nvPicPr>
        <xdr:cNvPr id="6149" name="Picture 6148">
          <a:extLst>
            <a:ext uri="{FF2B5EF4-FFF2-40B4-BE49-F238E27FC236}">
              <a16:creationId xmlns:a16="http://schemas.microsoft.com/office/drawing/2014/main" id="{D52F1071-3DA9-6630-5C3E-F27EF52206CA}"/>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14958220" y="1109176"/>
          <a:ext cx="546210" cy="402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45386</xdr:colOff>
      <xdr:row>7</xdr:row>
      <xdr:rowOff>38807</xdr:rowOff>
    </xdr:from>
    <xdr:to>
      <xdr:col>16</xdr:col>
      <xdr:colOff>889442</xdr:colOff>
      <xdr:row>8</xdr:row>
      <xdr:rowOff>3528</xdr:rowOff>
    </xdr:to>
    <xdr:pic>
      <xdr:nvPicPr>
        <xdr:cNvPr id="6150" name="Picture 6149">
          <a:extLst>
            <a:ext uri="{FF2B5EF4-FFF2-40B4-BE49-F238E27FC236}">
              <a16:creationId xmlns:a16="http://schemas.microsoft.com/office/drawing/2014/main" id="{553EB82A-1109-5793-2305-47891CA009AE}"/>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5741792" y="1233401"/>
          <a:ext cx="844056" cy="1552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22153</xdr:colOff>
      <xdr:row>6</xdr:row>
      <xdr:rowOff>8642</xdr:rowOff>
    </xdr:from>
    <xdr:to>
      <xdr:col>17</xdr:col>
      <xdr:colOff>877094</xdr:colOff>
      <xdr:row>10</xdr:row>
      <xdr:rowOff>20726</xdr:rowOff>
    </xdr:to>
    <xdr:pic>
      <xdr:nvPicPr>
        <xdr:cNvPr id="6167" name="Picture 6166" descr="Advanced Micro Devices Inc. (AMD) Dividends">
          <a:extLst>
            <a:ext uri="{FF2B5EF4-FFF2-40B4-BE49-F238E27FC236}">
              <a16:creationId xmlns:a16="http://schemas.microsoft.com/office/drawing/2014/main" id="{1D50069B-B058-654C-09D7-B42C6645E3DD}"/>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16659153" y="1012736"/>
          <a:ext cx="854941" cy="635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1480998</xdr:colOff>
      <xdr:row>0</xdr:row>
      <xdr:rowOff>95251</xdr:rowOff>
    </xdr:from>
    <xdr:to>
      <xdr:col>2</xdr:col>
      <xdr:colOff>419576</xdr:colOff>
      <xdr:row>3</xdr:row>
      <xdr:rowOff>95251</xdr:rowOff>
    </xdr:to>
    <xdr:pic>
      <xdr:nvPicPr>
        <xdr:cNvPr id="11" name="Picture 10" descr="File:SK Hynix.svg - Wikimedia Commons">
          <a:extLst>
            <a:ext uri="{FF2B5EF4-FFF2-40B4-BE49-F238E27FC236}">
              <a16:creationId xmlns:a16="http://schemas.microsoft.com/office/drawing/2014/main" id="{BFA6A8DF-B692-4341-BC11-052C39520CF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8"/>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9"/>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10"/>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1"/>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2"/>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3"/>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4"/>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5"/>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6"/>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7"/>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8"/>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9"/>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20"/>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1490523</xdr:colOff>
      <xdr:row>0</xdr:row>
      <xdr:rowOff>95251</xdr:rowOff>
    </xdr:from>
    <xdr:to>
      <xdr:col>1</xdr:col>
      <xdr:colOff>2572226</xdr:colOff>
      <xdr:row>3</xdr:row>
      <xdr:rowOff>95251</xdr:rowOff>
    </xdr:to>
    <xdr:pic>
      <xdr:nvPicPr>
        <xdr:cNvPr id="41" name="Picture 40" descr="File:SK Hynix.svg - Wikimedia Commons">
          <a:extLst>
            <a:ext uri="{FF2B5EF4-FFF2-40B4-BE49-F238E27FC236}">
              <a16:creationId xmlns:a16="http://schemas.microsoft.com/office/drawing/2014/main" id="{04D317C3-16DA-4F6F-9215-942A213C04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8"/>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1376223</xdr:colOff>
      <xdr:row>0</xdr:row>
      <xdr:rowOff>95251</xdr:rowOff>
    </xdr:from>
    <xdr:to>
      <xdr:col>1</xdr:col>
      <xdr:colOff>2457926</xdr:colOff>
      <xdr:row>3</xdr:row>
      <xdr:rowOff>95251</xdr:rowOff>
    </xdr:to>
    <xdr:pic>
      <xdr:nvPicPr>
        <xdr:cNvPr id="23" name="Picture 22" descr="File:SK Hynix.svg - Wikimedia Commons">
          <a:extLst>
            <a:ext uri="{FF2B5EF4-FFF2-40B4-BE49-F238E27FC236}">
              <a16:creationId xmlns:a16="http://schemas.microsoft.com/office/drawing/2014/main" id="{AFE866A5-83D1-46A7-930F-1FB0352E8A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8"/>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9"/>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10"/>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1"/>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2"/>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3"/>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4"/>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5"/>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7"/>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8"/>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3</xdr:col>
      <xdr:colOff>117242</xdr:colOff>
      <xdr:row>0</xdr:row>
      <xdr:rowOff>95251</xdr:rowOff>
    </xdr:from>
    <xdr:to>
      <xdr:col>4</xdr:col>
      <xdr:colOff>515386</xdr:colOff>
      <xdr:row>3</xdr:row>
      <xdr:rowOff>95251</xdr:rowOff>
    </xdr:to>
    <xdr:pic>
      <xdr:nvPicPr>
        <xdr:cNvPr id="43" name="Picture 42" descr="File:SK Hynix.svg - Wikimedia Commons">
          <a:extLst>
            <a:ext uri="{FF2B5EF4-FFF2-40B4-BE49-F238E27FC236}">
              <a16:creationId xmlns:a16="http://schemas.microsoft.com/office/drawing/2014/main" id="{09960A07-FC02-4A78-B751-D8A9477D47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17</xdr:row>
      <xdr:rowOff>0</xdr:rowOff>
    </xdr:from>
    <xdr:to>
      <xdr:col>29</xdr:col>
      <xdr:colOff>76200</xdr:colOff>
      <xdr:row>19</xdr:row>
      <xdr:rowOff>152400</xdr:rowOff>
    </xdr:to>
    <xdr:sp macro="" textlink="">
      <xdr:nvSpPr>
        <xdr:cNvPr id="11265" name="Text Box 1">
          <a:extLst>
            <a:ext uri="{FF2B5EF4-FFF2-40B4-BE49-F238E27FC236}">
              <a16:creationId xmlns:a16="http://schemas.microsoft.com/office/drawing/2014/main" id="{D4A48711-A411-4AF3-3215-FDBF48C8336D}"/>
            </a:ext>
          </a:extLst>
        </xdr:cNvPr>
        <xdr:cNvSpPr txBox="1">
          <a:spLocks noChangeArrowheads="1"/>
        </xdr:cNvSpPr>
      </xdr:nvSpPr>
      <xdr:spPr bwMode="auto">
        <a:xfrm>
          <a:off x="19519900" y="2959100"/>
          <a:ext cx="762000" cy="5334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pt-PT" sz="1100" b="0" i="0" u="none" strike="noStrike" baseline="0">
              <a:solidFill>
                <a:srgbClr val="000000"/>
              </a:solidFill>
              <a:latin typeface="Arial" pitchFamily="2" charset="0"/>
              <a:cs typeface="Arial" pitchFamily="2" charset="0"/>
            </a:rPr>
            <a:t> </a:t>
          </a:r>
        </a:p>
      </xdr:txBody>
    </xdr:sp>
    <xdr:clientData/>
  </xdr:twoCellAnchor>
  <xdr:twoCellAnchor editAs="oneCell">
    <xdr:from>
      <xdr:col>2</xdr:col>
      <xdr:colOff>388776</xdr:colOff>
      <xdr:row>12</xdr:row>
      <xdr:rowOff>90713</xdr:rowOff>
    </xdr:from>
    <xdr:to>
      <xdr:col>14</xdr:col>
      <xdr:colOff>261713</xdr:colOff>
      <xdr:row>39</xdr:row>
      <xdr:rowOff>74125</xdr:rowOff>
    </xdr:to>
    <xdr:pic>
      <xdr:nvPicPr>
        <xdr:cNvPr id="3" name="Imagem 2" descr="Uma imagem com Gráfico, file, captura de ecrã, diagrama&#10;&#10;Os conteúdos gerados por IA podem estar incorretos.">
          <a:extLst>
            <a:ext uri="{FF2B5EF4-FFF2-40B4-BE49-F238E27FC236}">
              <a16:creationId xmlns:a16="http://schemas.microsoft.com/office/drawing/2014/main" id="{5FD5F9F8-87A9-A87E-C6F2-7FDBC42A8969}"/>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44082" y="2138264"/>
          <a:ext cx="8607427" cy="5231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1475555</xdr:colOff>
      <xdr:row>0</xdr:row>
      <xdr:rowOff>95251</xdr:rowOff>
    </xdr:from>
    <xdr:to>
      <xdr:col>1</xdr:col>
      <xdr:colOff>2557258</xdr:colOff>
      <xdr:row>3</xdr:row>
      <xdr:rowOff>95251</xdr:rowOff>
    </xdr:to>
    <xdr:pic>
      <xdr:nvPicPr>
        <xdr:cNvPr id="6" name="Picture 5" descr="File:SK Hynix.svg - Wikimedia Commons">
          <a:extLst>
            <a:ext uri="{FF2B5EF4-FFF2-40B4-BE49-F238E27FC236}">
              <a16:creationId xmlns:a16="http://schemas.microsoft.com/office/drawing/2014/main" id="{9C05D9F2-3591-40D7-8163-D31EF49A76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8"/>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9"/>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10"/>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1"/>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2"/>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3"/>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4"/>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5"/>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7"/>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8"/>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1475555</xdr:colOff>
      <xdr:row>0</xdr:row>
      <xdr:rowOff>95251</xdr:rowOff>
    </xdr:from>
    <xdr:to>
      <xdr:col>1</xdr:col>
      <xdr:colOff>2557258</xdr:colOff>
      <xdr:row>3</xdr:row>
      <xdr:rowOff>95251</xdr:rowOff>
    </xdr:to>
    <xdr:pic>
      <xdr:nvPicPr>
        <xdr:cNvPr id="7" name="Picture 6" descr="File:SK Hynix.svg - Wikimedia Commons">
          <a:extLst>
            <a:ext uri="{FF2B5EF4-FFF2-40B4-BE49-F238E27FC236}">
              <a16:creationId xmlns:a16="http://schemas.microsoft.com/office/drawing/2014/main" id="{D35D4458-7AB0-4282-AE70-30E1F6D25C7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8"/>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9"/>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10"/>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1"/>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2"/>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3"/>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4"/>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5"/>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7"/>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8"/>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1475555</xdr:colOff>
      <xdr:row>0</xdr:row>
      <xdr:rowOff>95251</xdr:rowOff>
    </xdr:from>
    <xdr:to>
      <xdr:col>1</xdr:col>
      <xdr:colOff>2557258</xdr:colOff>
      <xdr:row>3</xdr:row>
      <xdr:rowOff>95251</xdr:rowOff>
    </xdr:to>
    <xdr:pic>
      <xdr:nvPicPr>
        <xdr:cNvPr id="5" name="Picture 4" descr="File:SK Hynix.svg - Wikimedia Commons">
          <a:extLst>
            <a:ext uri="{FF2B5EF4-FFF2-40B4-BE49-F238E27FC236}">
              <a16:creationId xmlns:a16="http://schemas.microsoft.com/office/drawing/2014/main" id="{219DBA04-4935-43EB-8849-5FAEDCF1E2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8"/>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9"/>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10"/>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1"/>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2"/>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3"/>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4"/>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5"/>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7"/>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8"/>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1</xdr:col>
      <xdr:colOff>1480998</xdr:colOff>
      <xdr:row>0</xdr:row>
      <xdr:rowOff>95251</xdr:rowOff>
    </xdr:from>
    <xdr:to>
      <xdr:col>1</xdr:col>
      <xdr:colOff>2562701</xdr:colOff>
      <xdr:row>3</xdr:row>
      <xdr:rowOff>95251</xdr:rowOff>
    </xdr:to>
    <xdr:pic>
      <xdr:nvPicPr>
        <xdr:cNvPr id="5" name="Picture 4" descr="File:SK Hynix.svg - Wikimedia Commons">
          <a:extLst>
            <a:ext uri="{FF2B5EF4-FFF2-40B4-BE49-F238E27FC236}">
              <a16:creationId xmlns:a16="http://schemas.microsoft.com/office/drawing/2014/main" id="{0AB4CE12-3D64-413E-BB29-E5262ECC781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8"/>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9"/>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10"/>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1"/>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2"/>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3"/>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4"/>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5"/>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7"/>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8"/>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59</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editAs="oneCell">
    <xdr:from>
      <xdr:col>2</xdr:col>
      <xdr:colOff>520654</xdr:colOff>
      <xdr:row>0</xdr:row>
      <xdr:rowOff>95251</xdr:rowOff>
    </xdr:from>
    <xdr:to>
      <xdr:col>3</xdr:col>
      <xdr:colOff>873975</xdr:colOff>
      <xdr:row>3</xdr:row>
      <xdr:rowOff>95251</xdr:rowOff>
    </xdr:to>
    <xdr:pic>
      <xdr:nvPicPr>
        <xdr:cNvPr id="43" name="Picture 42" descr="File:SK Hynix.svg - Wikimedia Commons">
          <a:extLst>
            <a:ext uri="{FF2B5EF4-FFF2-40B4-BE49-F238E27FC236}">
              <a16:creationId xmlns:a16="http://schemas.microsoft.com/office/drawing/2014/main" id="{7674C4F7-DE10-4DCD-8A05-896B5A9C941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52448" y="95251"/>
          <a:ext cx="1081703"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8"/>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9"/>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20"/>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35</xdr:row>
      <xdr:rowOff>0</xdr:rowOff>
    </xdr:from>
    <xdr:to>
      <xdr:col>53</xdr:col>
      <xdr:colOff>19544</xdr:colOff>
      <xdr:row>60</xdr:row>
      <xdr:rowOff>39336</xdr:rowOff>
    </xdr:to>
    <xdr:graphicFrame macro="">
      <xdr:nvGraphicFramePr>
        <xdr:cNvPr id="2" name="Chart 1">
          <a:extLst>
            <a:ext uri="{FF2B5EF4-FFF2-40B4-BE49-F238E27FC236}">
              <a16:creationId xmlns:a16="http://schemas.microsoft.com/office/drawing/2014/main" id="{8EFDA39D-77FD-4406-932F-EA12368E0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595312</xdr:colOff>
      <xdr:row>13</xdr:row>
      <xdr:rowOff>9525</xdr:rowOff>
    </xdr:from>
    <xdr:to>
      <xdr:col>14</xdr:col>
      <xdr:colOff>366712</xdr:colOff>
      <xdr:row>28</xdr:row>
      <xdr:rowOff>38100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314325</xdr:colOff>
      <xdr:row>20</xdr:row>
      <xdr:rowOff>47625</xdr:rowOff>
    </xdr:from>
    <xdr:to>
      <xdr:col>8</xdr:col>
      <xdr:colOff>85725</xdr:colOff>
      <xdr:row>35</xdr:row>
      <xdr:rowOff>76200</xdr:rowOff>
    </xdr:to>
    <xdr:graphicFrame macro="">
      <xdr:nvGraphicFramePr>
        <xdr:cNvPr id="6" name="Chart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LIS-GENERAL-SecuritiesResearch/Shared%20Documents/Research/Heads/Equity%20Research/Model/LIS_Base_Model_Clean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BS"/>
    </sheetNames>
    <sheetDataSet>
      <sheetData sheetId="0">
        <row r="13">
          <cell r="D13" t="str">
            <v>USD</v>
          </cell>
        </row>
        <row r="14">
          <cell r="D14" t="str">
            <v>MLN</v>
          </cell>
        </row>
        <row r="15">
          <cell r="D15" t="str">
            <v>AAPL US Equity</v>
          </cell>
        </row>
      </sheetData>
      <sheetData sheetId="1">
        <row r="15">
          <cell r="D15">
            <v>107162</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https://www.bing.com/financeapi/forcetrigger?t=a1mtf2&amp;q=XNAS%3aACMR&amp;form=skydnc</v>
    <v>Learn more on Bing</v>
  </rv>
  <rv s="1">
    <v>pt-BR</v>
    <v>a1mtf2</v>
    <v>268435456</v>
    <v>1</v>
    <v>Da plataforma Refinitiv</v>
    <v>0</v>
    <v>1</v>
    <v>ACM Rsrch (XNAS:ACMR)</v>
    <v>3</v>
    <v>4</v>
    <v>Finance</v>
    <v>5</v>
    <v>45.12</v>
    <v>13.87</v>
    <v>XNAS</v>
    <v>63864500</v>
    <v>1.5101E-2</v>
    <v>0.63</v>
    <v>42.17</v>
    <v>2016</v>
    <v>40.622</v>
    <v>1.4347000000000001</v>
    <v>Nasdaq Stock Market</v>
    <v>2486245000</v>
    <v>ACM Research, Inc. develops, manufactures and sells semiconductor process equipment spanning cleaning, electroplating, stress-free polishing, vertical furnace processes, track, plasma-enhanced chemical vapor deposition (PECVD), and wafer- and panel-level packaging tools, enabling advanced and semi-critical semiconductor device manufacturing. It has also developed Timely Energized Bubble Oscillation (TEBO) technology for application in wet wafer cleaning during the fabrication of two-dimensional (2D) and three-dimensional wafers with fine feature sizes. It has designed these tools for use in fabricating foundry, logic, and memory chips, including dynamic random-access memory (DRAM), 3D NAND-flash memory chips, and compound semiconductor chips. It also develops, manufactures, and sells a range of advanced packaging tools to wafer assembly and packaging customers. Its other advanced packaging tools include Ultra ECP ap, Ultra C Developer, and Ultra C PR Megasonic-Assisted Stripper.</v>
    <v>XNAS</v>
    <v>40.25</v>
    <v>2023</v>
    <v>45954.948250138281</v>
    <v>0</v>
    <v>1988048</v>
    <v>USD</v>
    <v>ACM Rsrch</v>
    <v>ACM Rsrch</v>
    <v>24.7714</v>
    <v>41.14</v>
    <v>41.72</v>
    <v>42.35</v>
    <v>42307 Osgood Rd, Unit I, FREMONT, CA, 94539 US</v>
    <v>Semiconductors &amp; Semiconductor Equipment</v>
    <v>ACMR</v>
    <v>Ações</v>
    <v>ACM Rsrch (XNAS:ACMR)</v>
    <v>1.47</v>
    <v>3.6521999999999999E-2</v>
    <v>988650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
    <k n="%cvi" t="r"/>
  </s>
</rvStructures>
</file>

<file path=xl/richData/rdsupportingpropertybag.xml><?xml version="1.0" encoding="utf-8"?>
<supportingPropertyBags xmlns="http://schemas.microsoft.com/office/spreadsheetml/2017/richdata2">
  <spbArrays count="1">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6">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0</v>
      <v>Name</v>
      <v>LearnMoreOnLink</v>
    </spb>
    <spb s="2">
      <v>0</v>
      <v>0</v>
      <v>0</v>
    </spb>
    <spb s="3">
      <v>2</v>
      <v>2</v>
      <v>2</v>
      <v>2</v>
    </spb>
    <spb s="4">
      <v>1</v>
      <v>2</v>
      <v>1</v>
      <v>3</v>
      <v>2</v>
      <v>2</v>
      <v>4</v>
      <v>2</v>
      <v>2</v>
      <v>4</v>
      <v>5</v>
      <v>4</v>
      <v>6</v>
      <v>2</v>
      <v>2</v>
      <v>7</v>
      <v>4</v>
      <v>2</v>
      <v>8</v>
      <v>9</v>
      <v>2</v>
      <v>2</v>
      <v>5</v>
    </spb>
    <spb s="5">
      <v xml:space="preserve">no fechamento </v>
      <v xml:space="preserve">do fechamento anterior </v>
      <v>Origem : Nasdaq</v>
      <v xml:space="preserve">do fechamento anterior </v>
      <v>GMT</v>
      <v>Atraso de 15 minutos</v>
      <v xml:space="preserve">do fechamento </v>
      <v xml:space="preserve">do fechamento </v>
    </spb>
  </spbData>
</supportingPropertyBags>
</file>

<file path=xl/richData/rdsupportingpropertybagstructure.xml><?xml version="1.0" encoding="utf-8"?>
<spbStructures xmlns="http://schemas.microsoft.com/office/spreadsheetml/2017/richdata2" count="6">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d\ h:mm"/>
    </x:dxf>
    <x:dxf>
      <x:numFmt numFmtId="14" formatCode="0.00%"/>
    </x:dxf>
    <x:dxf>
      <x:numFmt numFmtId="3" formatCode="#,##0"/>
    </x:dxf>
    <x:dxf>
      <x:numFmt numFmtId="4" formatCode="#,##0.00"/>
    </x:dxf>
    <x:dxf>
      <x:numFmt numFmtId="1" formatCode="0"/>
    </x:dxf>
  </dxfs>
  <richProperties>
    <rPr n="NumberFormat" t="s"/>
    <rPr n="IsTitleField" t="b"/>
  </richProperties>
  <richStyles>
    <rSty dxfid="5">
      <rpv i="0">#,##0.00</rpv>
    </rSty>
    <rSty dxfid="1">
      <rpv i="0">_([$$-en-US]* #,##0.00_);_([$$-en-US]* (#,##0.00);_([$$-en-US]* "-"??_);_(@_)</rpv>
    </rSty>
    <rSty>
      <rpv i="1">1</rpv>
    </rSty>
    <rSty dxfid="4">
      <rpv i="0">#,##0</rpv>
    </rSty>
    <rSty dxfid="3"/>
    <rSty dxfid="0">
      <rpv i="0">0.00</rpv>
    </rSty>
    <rSty dxfid="6">
      <rpv i="0">0</rpv>
    </rSty>
    <rSty dxfid="1">
      <rpv i="0">_([$$-en-US]* #,##0_);_([$$-en-US]* (#,##0);_([$$-en-US]* "-"_);_(@_)</rpv>
    </rSty>
    <rSty dxfid="2"/>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l60456@aln.iseg.ulisboa.pt" TargetMode="External"/><Relationship Id="rId3" Type="http://schemas.openxmlformats.org/officeDocument/2006/relationships/hyperlink" Target="mailto:l63970@aln.iseg.ulisboa.pt" TargetMode="External"/><Relationship Id="rId7" Type="http://schemas.openxmlformats.org/officeDocument/2006/relationships/hyperlink" Target="mailto:raul.vasconcelos@aln.iseg.ulisboa.pt" TargetMode="External"/><Relationship Id="rId12" Type="http://schemas.openxmlformats.org/officeDocument/2006/relationships/drawing" Target="../drawings/drawing2.xml"/><Relationship Id="rId2" Type="http://schemas.openxmlformats.org/officeDocument/2006/relationships/hyperlink" Target="mailto:maria.ana.rocha@aln.iseg.ulisboa.pt" TargetMode="External"/><Relationship Id="rId1" Type="http://schemas.openxmlformats.org/officeDocument/2006/relationships/hyperlink" Target="mailto:raul.vasconcelos@aln.iseg.ulisboa.pt" TargetMode="External"/><Relationship Id="rId6" Type="http://schemas.openxmlformats.org/officeDocument/2006/relationships/hyperlink" Target="mailto:raul.vasconcelos@aln.iseg.ulisboa.pt" TargetMode="External"/><Relationship Id="rId11" Type="http://schemas.openxmlformats.org/officeDocument/2006/relationships/printerSettings" Target="../printerSettings/printerSettings1.bin"/><Relationship Id="rId5" Type="http://schemas.openxmlformats.org/officeDocument/2006/relationships/hyperlink" Target="mailto:raul.vasconcelos@aln.iseg.ulisboa.pt" TargetMode="External"/><Relationship Id="rId10" Type="http://schemas.openxmlformats.org/officeDocument/2006/relationships/hyperlink" Target="mailto:lis@iseg.ulisboa.pt" TargetMode="External"/><Relationship Id="rId4" Type="http://schemas.openxmlformats.org/officeDocument/2006/relationships/hyperlink" Target="mailto:l63847@aln.iseg.ulisboa.pt" TargetMode="External"/><Relationship Id="rId9" Type="http://schemas.openxmlformats.org/officeDocument/2006/relationships/hyperlink" Target="mailto:raul.vasconcelos@aln.iseg.ulisboa.pt"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4.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zoomScale="38" zoomScaleNormal="85" workbookViewId="0">
      <selection activeCell="R8" sqref="R8"/>
    </sheetView>
  </sheetViews>
  <sheetFormatPr defaultColWidth="9" defaultRowHeight="15" customHeight="1" x14ac:dyDescent="0.25"/>
  <cols>
    <col min="1" max="2" width="9" style="568"/>
    <col min="3" max="5" width="10" style="568" bestFit="1" customWidth="1"/>
    <col min="6" max="16384" width="9" style="568"/>
  </cols>
  <sheetData>
    <row r="1" s="563" customFormat="1" ht="15" customHeight="1" x14ac:dyDescent="0.25"/>
    <row r="2" s="563" customFormat="1" ht="15" customHeight="1" x14ac:dyDescent="0.25"/>
    <row r="3" s="563" customFormat="1" ht="15" customHeight="1" x14ac:dyDescent="0.25"/>
    <row r="4" s="563" customFormat="1" ht="15" customHeight="1" x14ac:dyDescent="0.25"/>
    <row r="5" ht="4.05" customHeight="1" x14ac:dyDescent="0.25"/>
    <row r="101" spans="3:3" ht="15" customHeight="1" x14ac:dyDescent="0.25">
      <c r="C101" s="594"/>
    </row>
    <row r="102" spans="3:3" ht="15" customHeight="1" x14ac:dyDescent="0.25">
      <c r="C102" s="594"/>
    </row>
    <row r="103" spans="3:3" ht="15" customHeight="1" x14ac:dyDescent="0.25">
      <c r="C103" s="594"/>
    </row>
    <row r="104" spans="3:3" ht="15" customHeight="1" x14ac:dyDescent="0.25">
      <c r="C104" s="594"/>
    </row>
    <row r="105" spans="3:3" ht="15" customHeight="1" x14ac:dyDescent="0.25">
      <c r="C105" s="594"/>
    </row>
    <row r="106" spans="3:3" ht="15" customHeight="1" x14ac:dyDescent="0.25">
      <c r="C106" s="594"/>
    </row>
    <row r="107" spans="3:3" ht="15" customHeight="1" x14ac:dyDescent="0.25">
      <c r="C107" s="594"/>
    </row>
    <row r="108" spans="3:3" ht="15" customHeight="1" x14ac:dyDescent="0.25">
      <c r="C108" s="594"/>
    </row>
    <row r="109" spans="3:3" ht="15" customHeight="1" x14ac:dyDescent="0.25">
      <c r="C109" s="594"/>
    </row>
    <row r="110" spans="3:3" ht="15" customHeight="1" x14ac:dyDescent="0.25">
      <c r="C110" s="594"/>
    </row>
    <row r="111" spans="3:3" ht="15" customHeight="1" x14ac:dyDescent="0.25">
      <c r="C111" s="594"/>
    </row>
    <row r="112" spans="3:3" ht="15" customHeight="1" x14ac:dyDescent="0.25">
      <c r="C112" s="594"/>
    </row>
    <row r="113" spans="3:3" ht="15" customHeight="1" x14ac:dyDescent="0.25">
      <c r="C113" s="594"/>
    </row>
    <row r="114" spans="3:3" ht="15" customHeight="1" x14ac:dyDescent="0.25">
      <c r="C114" s="594"/>
    </row>
    <row r="115" spans="3:3" ht="15" customHeight="1" x14ac:dyDescent="0.25">
      <c r="C115" s="594"/>
    </row>
    <row r="116" spans="3:3" ht="15" customHeight="1" x14ac:dyDescent="0.25">
      <c r="C116" s="594"/>
    </row>
    <row r="117" spans="3:3" ht="15" customHeight="1" x14ac:dyDescent="0.25">
      <c r="C117" s="594"/>
    </row>
    <row r="118" spans="3:3" ht="15" customHeight="1" x14ac:dyDescent="0.25">
      <c r="C118" s="594"/>
    </row>
    <row r="119" spans="3:3" ht="15" customHeight="1" x14ac:dyDescent="0.25">
      <c r="C119" s="594"/>
    </row>
    <row r="120" spans="3:3" ht="15" customHeight="1" x14ac:dyDescent="0.25">
      <c r="C120" s="594"/>
    </row>
    <row r="121" spans="3:3" ht="15" customHeight="1" x14ac:dyDescent="0.25">
      <c r="C121" s="594"/>
    </row>
    <row r="122" spans="3:3" ht="15" customHeight="1" x14ac:dyDescent="0.25">
      <c r="C122" s="594"/>
    </row>
    <row r="123" spans="3:3" ht="15" customHeight="1" x14ac:dyDescent="0.25">
      <c r="C123" s="594"/>
    </row>
    <row r="124" spans="3:3" ht="15" customHeight="1" x14ac:dyDescent="0.25">
      <c r="C124" s="594"/>
    </row>
    <row r="125" spans="3:3" ht="15" customHeight="1" x14ac:dyDescent="0.25">
      <c r="C125" s="594"/>
    </row>
    <row r="126" spans="3:3" ht="15" customHeight="1" x14ac:dyDescent="0.25">
      <c r="C126" s="594"/>
    </row>
    <row r="127" spans="3:3" ht="15" customHeight="1" x14ac:dyDescent="0.25">
      <c r="C127" s="594"/>
    </row>
    <row r="128" spans="3:3" ht="15" customHeight="1" x14ac:dyDescent="0.25">
      <c r="C128" s="594"/>
    </row>
    <row r="129" spans="3:3" ht="15" customHeight="1" x14ac:dyDescent="0.25">
      <c r="C129" s="594"/>
    </row>
    <row r="130" spans="3:3" ht="15" customHeight="1" x14ac:dyDescent="0.25">
      <c r="C130" s="594"/>
    </row>
    <row r="131" spans="3:3" ht="15" customHeight="1" x14ac:dyDescent="0.25">
      <c r="C131" s="594"/>
    </row>
    <row r="132" spans="3:3" ht="15" customHeight="1" x14ac:dyDescent="0.25">
      <c r="C132" s="594"/>
    </row>
    <row r="133" spans="3:3" ht="15" customHeight="1" x14ac:dyDescent="0.25">
      <c r="C133" s="594"/>
    </row>
    <row r="134" spans="3:3" ht="15" customHeight="1" x14ac:dyDescent="0.25">
      <c r="C134" s="594"/>
    </row>
    <row r="135" spans="3:3" ht="15" customHeight="1" x14ac:dyDescent="0.25">
      <c r="C135" s="594"/>
    </row>
    <row r="136" spans="3:3" ht="15" customHeight="1" x14ac:dyDescent="0.25">
      <c r="C136" s="594"/>
    </row>
    <row r="137" spans="3:3" ht="15" customHeight="1" x14ac:dyDescent="0.25">
      <c r="C137" s="594"/>
    </row>
    <row r="138" spans="3:3" ht="15" customHeight="1" x14ac:dyDescent="0.25">
      <c r="C138" s="594"/>
    </row>
    <row r="139" spans="3:3" ht="15" customHeight="1" x14ac:dyDescent="0.25">
      <c r="C139" s="594"/>
    </row>
    <row r="140" spans="3:3" ht="15" customHeight="1" x14ac:dyDescent="0.25">
      <c r="C140" s="594"/>
    </row>
    <row r="141" spans="3:3" ht="15" customHeight="1" x14ac:dyDescent="0.25">
      <c r="C141" s="594"/>
    </row>
    <row r="142" spans="3:3" ht="15" customHeight="1" x14ac:dyDescent="0.25">
      <c r="C142" s="594"/>
    </row>
    <row r="143" spans="3:3" ht="15" customHeight="1" x14ac:dyDescent="0.25">
      <c r="C143" s="594"/>
    </row>
    <row r="144" spans="3:3" ht="15" customHeight="1" x14ac:dyDescent="0.25">
      <c r="C144" s="594"/>
    </row>
    <row r="145" spans="3:12" ht="15" customHeight="1" x14ac:dyDescent="0.25">
      <c r="C145" s="594"/>
    </row>
    <row r="146" spans="3:12" ht="15" customHeight="1" x14ac:dyDescent="0.25">
      <c r="C146" s="594"/>
    </row>
    <row r="147" spans="3:12" ht="15" customHeight="1" x14ac:dyDescent="0.25">
      <c r="C147" s="594"/>
    </row>
    <row r="148" spans="3:12" ht="15" customHeight="1" x14ac:dyDescent="0.25">
      <c r="C148" s="594"/>
    </row>
    <row r="149" spans="3:12" ht="15" customHeight="1" x14ac:dyDescent="0.25">
      <c r="C149" s="594"/>
    </row>
    <row r="150" spans="3:12" ht="15" customHeight="1" x14ac:dyDescent="0.25">
      <c r="C150" s="594"/>
    </row>
    <row r="151" spans="3:12" ht="15" customHeight="1" x14ac:dyDescent="0.25">
      <c r="C151" s="594"/>
    </row>
    <row r="152" spans="3:12" ht="15" customHeight="1" x14ac:dyDescent="0.25">
      <c r="C152" s="594"/>
    </row>
    <row r="153" spans="3:12" ht="15" customHeight="1" x14ac:dyDescent="0.25">
      <c r="C153" s="594"/>
    </row>
    <row r="154" spans="3:12" ht="15" customHeight="1" x14ac:dyDescent="0.25">
      <c r="C154" s="594">
        <f t="shared" ref="C154:C164" si="0">+C155+1</f>
        <v>45984</v>
      </c>
    </row>
    <row r="155" spans="3:12" ht="15" customHeight="1" x14ac:dyDescent="0.25">
      <c r="C155" s="594">
        <f t="shared" si="0"/>
        <v>45983</v>
      </c>
    </row>
    <row r="156" spans="3:12" ht="15" customHeight="1" x14ac:dyDescent="0.25">
      <c r="C156" s="594">
        <f t="shared" si="0"/>
        <v>45982</v>
      </c>
    </row>
    <row r="157" spans="3:12" ht="15" customHeight="1" x14ac:dyDescent="0.25">
      <c r="C157" s="594">
        <f t="shared" si="0"/>
        <v>45981</v>
      </c>
    </row>
    <row r="158" spans="3:12" ht="15" customHeight="1" x14ac:dyDescent="0.25">
      <c r="C158" s="594">
        <f t="shared" si="0"/>
        <v>45980</v>
      </c>
    </row>
    <row r="159" spans="3:12" ht="15" customHeight="1" x14ac:dyDescent="0.25">
      <c r="C159" s="594">
        <f t="shared" si="0"/>
        <v>45979</v>
      </c>
    </row>
    <row r="160" spans="3:12" ht="15" customHeight="1" x14ac:dyDescent="0.25">
      <c r="C160" s="594">
        <f t="shared" si="0"/>
        <v>45978</v>
      </c>
      <c r="L160" s="568">
        <f ca="1">IF(FCFF!$R$157="Revenue Exit",FCFF!$AF$169,IF(FCFF!$R$157="EBITDA Exit",FCFF!Z169,FCFF!AL169))</f>
        <v>46.16758828537737</v>
      </c>
    </row>
    <row r="161" spans="3:5" ht="15" customHeight="1" x14ac:dyDescent="0.25">
      <c r="C161" s="594">
        <f t="shared" si="0"/>
        <v>45977</v>
      </c>
    </row>
    <row r="162" spans="3:5" ht="15" customHeight="1" x14ac:dyDescent="0.25">
      <c r="C162" s="594">
        <f t="shared" si="0"/>
        <v>45976</v>
      </c>
      <c r="E162" s="568">
        <f ca="1">IF(FCFF!$R$157="Revenue Exit",FCFF!$AF$169,IF(FCFF!$R$157="EBITDA Exit",FCFF!Z169,FCFF!AL169))</f>
        <v>46.16758828537737</v>
      </c>
    </row>
    <row r="163" spans="3:5" ht="15" customHeight="1" x14ac:dyDescent="0.25">
      <c r="C163" s="594">
        <f t="shared" si="0"/>
        <v>45975</v>
      </c>
      <c r="E163" s="568">
        <f t="shared" ref="E163:E192" ca="1" si="1">E164+($E$162-$E$193)/COUNTA($C$162:$C$192)</f>
        <v>48.762827372945821</v>
      </c>
    </row>
    <row r="164" spans="3:5" ht="15" customHeight="1" x14ac:dyDescent="0.25">
      <c r="C164" s="594">
        <f t="shared" si="0"/>
        <v>45974</v>
      </c>
      <c r="E164" s="568">
        <f t="shared" ca="1" si="1"/>
        <v>51.358066460514294</v>
      </c>
    </row>
    <row r="165" spans="3:5" ht="15" customHeight="1" x14ac:dyDescent="0.25">
      <c r="C165" s="594">
        <f t="shared" ref="C165:C191" si="2">+C166+1</f>
        <v>45973</v>
      </c>
      <c r="E165" s="568">
        <f t="shared" ca="1" si="1"/>
        <v>53.953305548082767</v>
      </c>
    </row>
    <row r="166" spans="3:5" ht="15" customHeight="1" x14ac:dyDescent="0.25">
      <c r="C166" s="594">
        <f t="shared" si="2"/>
        <v>45972</v>
      </c>
      <c r="E166" s="568">
        <f t="shared" ca="1" si="1"/>
        <v>56.54854463565124</v>
      </c>
    </row>
    <row r="167" spans="3:5" ht="15" customHeight="1" x14ac:dyDescent="0.25">
      <c r="C167" s="594">
        <f t="shared" si="2"/>
        <v>45971</v>
      </c>
      <c r="E167" s="568">
        <f t="shared" ca="1" si="1"/>
        <v>59.143783723219713</v>
      </c>
    </row>
    <row r="168" spans="3:5" ht="15" customHeight="1" x14ac:dyDescent="0.25">
      <c r="C168" s="594">
        <f t="shared" si="2"/>
        <v>45970</v>
      </c>
      <c r="E168" s="568">
        <f t="shared" ca="1" si="1"/>
        <v>61.739022810788185</v>
      </c>
    </row>
    <row r="169" spans="3:5" ht="15" customHeight="1" x14ac:dyDescent="0.25">
      <c r="C169" s="594">
        <f t="shared" si="2"/>
        <v>45969</v>
      </c>
      <c r="E169" s="568">
        <f t="shared" ca="1" si="1"/>
        <v>64.334261898356658</v>
      </c>
    </row>
    <row r="170" spans="3:5" ht="15" customHeight="1" x14ac:dyDescent="0.25">
      <c r="C170" s="594">
        <f t="shared" si="2"/>
        <v>45968</v>
      </c>
      <c r="E170" s="568">
        <f t="shared" ca="1" si="1"/>
        <v>66.929500985925131</v>
      </c>
    </row>
    <row r="171" spans="3:5" ht="15" customHeight="1" x14ac:dyDescent="0.25">
      <c r="C171" s="594">
        <f t="shared" si="2"/>
        <v>45967</v>
      </c>
      <c r="E171" s="568">
        <f t="shared" ca="1" si="1"/>
        <v>69.524740073493604</v>
      </c>
    </row>
    <row r="172" spans="3:5" ht="15" customHeight="1" x14ac:dyDescent="0.25">
      <c r="C172" s="594">
        <f t="shared" si="2"/>
        <v>45966</v>
      </c>
      <c r="E172" s="568">
        <f t="shared" ca="1" si="1"/>
        <v>72.119979161062076</v>
      </c>
    </row>
    <row r="173" spans="3:5" ht="15" customHeight="1" x14ac:dyDescent="0.25">
      <c r="C173" s="594">
        <f t="shared" si="2"/>
        <v>45965</v>
      </c>
      <c r="E173" s="568">
        <f t="shared" ca="1" si="1"/>
        <v>74.715218248630549</v>
      </c>
    </row>
    <row r="174" spans="3:5" ht="15" customHeight="1" x14ac:dyDescent="0.25">
      <c r="C174" s="594">
        <f t="shared" si="2"/>
        <v>45964</v>
      </c>
      <c r="E174" s="568">
        <f t="shared" ca="1" si="1"/>
        <v>77.310457336199022</v>
      </c>
    </row>
    <row r="175" spans="3:5" ht="15" customHeight="1" x14ac:dyDescent="0.25">
      <c r="C175" s="594">
        <f t="shared" si="2"/>
        <v>45963</v>
      </c>
      <c r="E175" s="568">
        <f t="shared" ca="1" si="1"/>
        <v>79.905696423767495</v>
      </c>
    </row>
    <row r="176" spans="3:5" ht="15" customHeight="1" x14ac:dyDescent="0.25">
      <c r="C176" s="594">
        <f t="shared" si="2"/>
        <v>45962</v>
      </c>
      <c r="E176" s="568">
        <f t="shared" ca="1" si="1"/>
        <v>82.500935511335967</v>
      </c>
    </row>
    <row r="177" spans="3:5" ht="15" customHeight="1" x14ac:dyDescent="0.25">
      <c r="C177" s="594">
        <f t="shared" si="2"/>
        <v>45961</v>
      </c>
      <c r="E177" s="568">
        <f t="shared" ca="1" si="1"/>
        <v>85.09617459890444</v>
      </c>
    </row>
    <row r="178" spans="3:5" ht="15" customHeight="1" x14ac:dyDescent="0.25">
      <c r="C178" s="594">
        <f t="shared" si="2"/>
        <v>45960</v>
      </c>
      <c r="E178" s="568">
        <f t="shared" ca="1" si="1"/>
        <v>87.691413686472913</v>
      </c>
    </row>
    <row r="179" spans="3:5" ht="15" customHeight="1" x14ac:dyDescent="0.25">
      <c r="C179" s="594">
        <f t="shared" si="2"/>
        <v>45959</v>
      </c>
      <c r="E179" s="568">
        <f t="shared" ca="1" si="1"/>
        <v>90.286652774041386</v>
      </c>
    </row>
    <row r="180" spans="3:5" ht="15" customHeight="1" x14ac:dyDescent="0.25">
      <c r="C180" s="594">
        <f t="shared" si="2"/>
        <v>45958</v>
      </c>
      <c r="E180" s="568">
        <f t="shared" ca="1" si="1"/>
        <v>92.881891861609859</v>
      </c>
    </row>
    <row r="181" spans="3:5" ht="15" customHeight="1" x14ac:dyDescent="0.25">
      <c r="C181" s="594">
        <f t="shared" si="2"/>
        <v>45957</v>
      </c>
      <c r="E181" s="568">
        <f t="shared" ca="1" si="1"/>
        <v>95.477130949178331</v>
      </c>
    </row>
    <row r="182" spans="3:5" ht="15" customHeight="1" x14ac:dyDescent="0.25">
      <c r="C182" s="594">
        <f t="shared" si="2"/>
        <v>45956</v>
      </c>
      <c r="E182" s="568">
        <f t="shared" ca="1" si="1"/>
        <v>98.072370036746804</v>
      </c>
    </row>
    <row r="183" spans="3:5" ht="15" customHeight="1" x14ac:dyDescent="0.25">
      <c r="C183" s="594">
        <f t="shared" si="2"/>
        <v>45955</v>
      </c>
      <c r="E183" s="568">
        <f t="shared" ca="1" si="1"/>
        <v>100.66760912431528</v>
      </c>
    </row>
    <row r="184" spans="3:5" ht="15" customHeight="1" x14ac:dyDescent="0.25">
      <c r="C184" s="594">
        <f t="shared" si="2"/>
        <v>45954</v>
      </c>
      <c r="E184" s="568">
        <f t="shared" ca="1" si="1"/>
        <v>103.26284821188375</v>
      </c>
    </row>
    <row r="185" spans="3:5" ht="15" customHeight="1" x14ac:dyDescent="0.25">
      <c r="C185" s="594">
        <f t="shared" si="2"/>
        <v>45953</v>
      </c>
      <c r="E185" s="568">
        <f t="shared" ca="1" si="1"/>
        <v>105.85808729945222</v>
      </c>
    </row>
    <row r="186" spans="3:5" ht="15" customHeight="1" x14ac:dyDescent="0.25">
      <c r="C186" s="594">
        <f t="shared" si="2"/>
        <v>45952</v>
      </c>
      <c r="E186" s="568">
        <f t="shared" ca="1" si="1"/>
        <v>108.4533263870207</v>
      </c>
    </row>
    <row r="187" spans="3:5" ht="15" customHeight="1" x14ac:dyDescent="0.25">
      <c r="C187" s="594">
        <f t="shared" si="2"/>
        <v>45951</v>
      </c>
      <c r="E187" s="568">
        <f t="shared" ca="1" si="1"/>
        <v>111.04856547458917</v>
      </c>
    </row>
    <row r="188" spans="3:5" ht="15" customHeight="1" x14ac:dyDescent="0.25">
      <c r="C188" s="594">
        <f t="shared" si="2"/>
        <v>45950</v>
      </c>
      <c r="E188" s="568">
        <f t="shared" ca="1" si="1"/>
        <v>113.64380456215764</v>
      </c>
    </row>
    <row r="189" spans="3:5" ht="15" customHeight="1" x14ac:dyDescent="0.25">
      <c r="C189" s="594">
        <f t="shared" si="2"/>
        <v>45949</v>
      </c>
      <c r="E189" s="568">
        <f t="shared" ca="1" si="1"/>
        <v>116.23904364972611</v>
      </c>
    </row>
    <row r="190" spans="3:5" ht="15" customHeight="1" x14ac:dyDescent="0.25">
      <c r="C190" s="594">
        <f t="shared" si="2"/>
        <v>45948</v>
      </c>
      <c r="E190" s="568">
        <f t="shared" ca="1" si="1"/>
        <v>118.83428273729459</v>
      </c>
    </row>
    <row r="191" spans="3:5" ht="15" customHeight="1" x14ac:dyDescent="0.25">
      <c r="C191" s="594">
        <f t="shared" si="2"/>
        <v>45947</v>
      </c>
      <c r="E191" s="568">
        <f t="shared" ca="1" si="1"/>
        <v>121.42952182486306</v>
      </c>
    </row>
    <row r="192" spans="3:5" ht="15" customHeight="1" x14ac:dyDescent="0.25">
      <c r="C192" s="594">
        <f>+C193+1</f>
        <v>45946</v>
      </c>
      <c r="E192" s="568">
        <f t="shared" ca="1" si="1"/>
        <v>124.02476091243153</v>
      </c>
    </row>
    <row r="193" spans="2:5" ht="15" customHeight="1" x14ac:dyDescent="0.25">
      <c r="B193" s="568" t="s">
        <v>0</v>
      </c>
      <c r="C193" s="593">
        <f>+'Stock Data'!AM4</f>
        <v>45945</v>
      </c>
      <c r="D193" s="568">
        <f>_xlfn.XLOOKUP(C193,'Stock Data'!$AM$4:$AM$1051,'Stock Data'!$AN$4:$AN$1051)</f>
        <v>126.62</v>
      </c>
      <c r="E193" s="568">
        <f>D193</f>
        <v>126.62</v>
      </c>
    </row>
    <row r="194" spans="2:5" ht="15" customHeight="1" x14ac:dyDescent="0.25">
      <c r="C194" s="593">
        <f>+'Stock Data'!AM5</f>
        <v>45944</v>
      </c>
      <c r="D194" s="568">
        <f>_xlfn.XLOOKUP(C194,'Stock Data'!$AM$4:$AM$1051,'Stock Data'!$AN$4:$AN$1051)</f>
        <v>126.62</v>
      </c>
    </row>
    <row r="195" spans="2:5" ht="15" customHeight="1" x14ac:dyDescent="0.25">
      <c r="C195" s="593">
        <f>+'Stock Data'!AM6</f>
        <v>45943</v>
      </c>
      <c r="D195" s="568">
        <f>_xlfn.XLOOKUP(C195,'Stock Data'!$AM$4:$AM$1051,'Stock Data'!$AN$4:$AN$1051)</f>
        <v>126.62</v>
      </c>
    </row>
    <row r="196" spans="2:5" ht="15" customHeight="1" x14ac:dyDescent="0.25">
      <c r="C196" s="593">
        <f>+'Stock Data'!AM7</f>
        <v>45942</v>
      </c>
      <c r="D196" s="568">
        <f>_xlfn.XLOOKUP(C196,'Stock Data'!$AM$4:$AM$1051,'Stock Data'!$AN$4:$AN$1051)</f>
        <v>126.62</v>
      </c>
    </row>
    <row r="197" spans="2:5" ht="15" customHeight="1" x14ac:dyDescent="0.25">
      <c r="C197" s="593">
        <f>+'Stock Data'!AM8</f>
        <v>45941</v>
      </c>
      <c r="D197" s="568">
        <f>_xlfn.XLOOKUP(C197,'Stock Data'!$AM$4:$AM$1051,'Stock Data'!$AN$4:$AN$1051)</f>
        <v>125.94</v>
      </c>
    </row>
    <row r="198" spans="2:5" ht="15" customHeight="1" x14ac:dyDescent="0.25">
      <c r="C198" s="593">
        <f>+'Stock Data'!AM9</f>
        <v>45940</v>
      </c>
      <c r="D198" s="568">
        <f>_xlfn.XLOOKUP(C198,'Stock Data'!$AM$4:$AM$1051,'Stock Data'!$AN$4:$AN$1051)</f>
        <v>124.08</v>
      </c>
    </row>
    <row r="199" spans="2:5" ht="15" customHeight="1" x14ac:dyDescent="0.25">
      <c r="C199" s="593">
        <f>+'Stock Data'!AM10</f>
        <v>45939</v>
      </c>
      <c r="D199" s="568">
        <f>_xlfn.XLOOKUP(C199,'Stock Data'!$AM$4:$AM$1051,'Stock Data'!$AN$4:$AN$1051)</f>
        <v>124.94</v>
      </c>
    </row>
    <row r="200" spans="2:5" ht="15" customHeight="1" x14ac:dyDescent="0.25">
      <c r="C200" s="593">
        <f>+'Stock Data'!AM11</f>
        <v>45938</v>
      </c>
      <c r="D200" s="568">
        <f>_xlfn.XLOOKUP(C200,'Stock Data'!$AM$4:$AM$1051,'Stock Data'!$AN$4:$AN$1051)</f>
        <v>124.89</v>
      </c>
    </row>
    <row r="201" spans="2:5" ht="15" customHeight="1" x14ac:dyDescent="0.25">
      <c r="C201" s="593">
        <f>+'Stock Data'!AM12</f>
        <v>45937</v>
      </c>
      <c r="D201" s="568">
        <f>_xlfn.XLOOKUP(C201,'Stock Data'!$AM$4:$AM$1051,'Stock Data'!$AN$4:$AN$1051)</f>
        <v>124.89</v>
      </c>
    </row>
    <row r="202" spans="2:5" ht="15" customHeight="1" x14ac:dyDescent="0.25">
      <c r="C202" s="593">
        <f>+'Stock Data'!AM13</f>
        <v>45936</v>
      </c>
      <c r="D202" s="568">
        <f>_xlfn.XLOOKUP(C202,'Stock Data'!$AM$4:$AM$1051,'Stock Data'!$AN$4:$AN$1051)</f>
        <v>124.89</v>
      </c>
    </row>
    <row r="203" spans="2:5" ht="15" customHeight="1" x14ac:dyDescent="0.25">
      <c r="C203" s="593">
        <f>+'Stock Data'!AM14</f>
        <v>45935</v>
      </c>
      <c r="D203" s="568">
        <f>_xlfn.XLOOKUP(C203,'Stock Data'!$AM$4:$AM$1051,'Stock Data'!$AN$4:$AN$1051)</f>
        <v>124.89</v>
      </c>
    </row>
    <row r="204" spans="2:5" ht="15" customHeight="1" x14ac:dyDescent="0.25">
      <c r="C204" s="593">
        <f>+'Stock Data'!AM15</f>
        <v>45934</v>
      </c>
      <c r="D204" s="568">
        <f>_xlfn.XLOOKUP(C204,'Stock Data'!$AM$4:$AM$1051,'Stock Data'!$AN$4:$AN$1051)</f>
        <v>125.74</v>
      </c>
    </row>
    <row r="205" spans="2:5" ht="15" customHeight="1" x14ac:dyDescent="0.25">
      <c r="C205" s="593">
        <f>+'Stock Data'!AM16</f>
        <v>45933</v>
      </c>
      <c r="D205" s="568">
        <f>_xlfn.XLOOKUP(C205,'Stock Data'!$AM$4:$AM$1051,'Stock Data'!$AN$4:$AN$1051)</f>
        <v>125.64</v>
      </c>
    </row>
    <row r="206" spans="2:5" ht="15" customHeight="1" x14ac:dyDescent="0.25">
      <c r="C206" s="593">
        <f>+'Stock Data'!AM17</f>
        <v>45932</v>
      </c>
      <c r="D206" s="568">
        <f>_xlfn.XLOOKUP(C206,'Stock Data'!$AM$4:$AM$1051,'Stock Data'!$AN$4:$AN$1051)</f>
        <v>125.56</v>
      </c>
    </row>
    <row r="207" spans="2:5" ht="15" customHeight="1" x14ac:dyDescent="0.25">
      <c r="C207" s="593">
        <f>+'Stock Data'!AM18</f>
        <v>45931</v>
      </c>
      <c r="D207" s="568">
        <f>_xlfn.XLOOKUP(C207,'Stock Data'!$AM$4:$AM$1051,'Stock Data'!$AN$4:$AN$1051)</f>
        <v>123.13</v>
      </c>
    </row>
    <row r="208" spans="2:5" ht="15" customHeight="1" x14ac:dyDescent="0.25">
      <c r="C208" s="593">
        <f>+'Stock Data'!AM19</f>
        <v>45930</v>
      </c>
      <c r="D208" s="568">
        <f>_xlfn.XLOOKUP(C208,'Stock Data'!$AM$4:$AM$1051,'Stock Data'!$AN$4:$AN$1051)</f>
        <v>122.98</v>
      </c>
    </row>
    <row r="209" spans="3:4" ht="15" customHeight="1" x14ac:dyDescent="0.25">
      <c r="C209" s="593">
        <f>+'Stock Data'!AM20</f>
        <v>45929</v>
      </c>
      <c r="D209" s="568">
        <f>_xlfn.XLOOKUP(C209,'Stock Data'!$AM$4:$AM$1051,'Stock Data'!$AN$4:$AN$1051)</f>
        <v>122.98</v>
      </c>
    </row>
    <row r="210" spans="3:4" ht="15" customHeight="1" x14ac:dyDescent="0.25">
      <c r="C210" s="593">
        <f>+'Stock Data'!AM21</f>
        <v>45928</v>
      </c>
      <c r="D210" s="568">
        <f>_xlfn.XLOOKUP(C210,'Stock Data'!$AM$4:$AM$1051,'Stock Data'!$AN$4:$AN$1051)</f>
        <v>122.98</v>
      </c>
    </row>
    <row r="211" spans="3:4" ht="15" customHeight="1" x14ac:dyDescent="0.25">
      <c r="C211" s="593">
        <f>+'Stock Data'!AM22</f>
        <v>45927</v>
      </c>
      <c r="D211" s="568">
        <f>_xlfn.XLOOKUP(C211,'Stock Data'!$AM$4:$AM$1051,'Stock Data'!$AN$4:$AN$1051)</f>
        <v>121.58</v>
      </c>
    </row>
    <row r="212" spans="3:4" ht="15" customHeight="1" x14ac:dyDescent="0.25">
      <c r="C212" s="593">
        <f>+'Stock Data'!AM23</f>
        <v>45926</v>
      </c>
      <c r="D212" s="568">
        <f>_xlfn.XLOOKUP(C212,'Stock Data'!$AM$4:$AM$1051,'Stock Data'!$AN$4:$AN$1051)</f>
        <v>120.09</v>
      </c>
    </row>
    <row r="213" spans="3:4" ht="15" customHeight="1" x14ac:dyDescent="0.25">
      <c r="C213" s="593">
        <f>+'Stock Data'!AM24</f>
        <v>45925</v>
      </c>
      <c r="D213" s="568">
        <f>_xlfn.XLOOKUP(C213,'Stock Data'!$AM$4:$AM$1051,'Stock Data'!$AN$4:$AN$1051)</f>
        <v>120.77</v>
      </c>
    </row>
    <row r="214" spans="3:4" ht="15" customHeight="1" x14ac:dyDescent="0.25">
      <c r="C214" s="593">
        <f>+'Stock Data'!AM25</f>
        <v>45924</v>
      </c>
      <c r="D214" s="568">
        <f>_xlfn.XLOOKUP(C214,'Stock Data'!$AM$4:$AM$1051,'Stock Data'!$AN$4:$AN$1051)</f>
        <v>120.28</v>
      </c>
    </row>
    <row r="215" spans="3:4" ht="15" customHeight="1" x14ac:dyDescent="0.25">
      <c r="C215" s="593">
        <f>+'Stock Data'!AM26</f>
        <v>45923</v>
      </c>
      <c r="D215" s="568">
        <f>_xlfn.XLOOKUP(C215,'Stock Data'!$AM$4:$AM$1051,'Stock Data'!$AN$4:$AN$1051)</f>
        <v>119.57</v>
      </c>
    </row>
    <row r="216" spans="3:4" ht="15" customHeight="1" x14ac:dyDescent="0.25">
      <c r="C216" s="593">
        <f>+'Stock Data'!AM27</f>
        <v>45922</v>
      </c>
      <c r="D216" s="568">
        <f>_xlfn.XLOOKUP(C216,'Stock Data'!$AM$4:$AM$1051,'Stock Data'!$AN$4:$AN$1051)</f>
        <v>119.57</v>
      </c>
    </row>
    <row r="217" spans="3:4" ht="15" customHeight="1" x14ac:dyDescent="0.25">
      <c r="C217" s="593">
        <f>+'Stock Data'!AM28</f>
        <v>45921</v>
      </c>
      <c r="D217" s="568">
        <f>_xlfn.XLOOKUP(C217,'Stock Data'!$AM$4:$AM$1051,'Stock Data'!$AN$4:$AN$1051)</f>
        <v>119.57</v>
      </c>
    </row>
    <row r="218" spans="3:4" ht="15" customHeight="1" x14ac:dyDescent="0.25">
      <c r="C218" s="593">
        <f>+'Stock Data'!AM29</f>
        <v>45920</v>
      </c>
      <c r="D218" s="568">
        <f>_xlfn.XLOOKUP(C218,'Stock Data'!$AM$4:$AM$1051,'Stock Data'!$AN$4:$AN$1051)</f>
        <v>120.12</v>
      </c>
    </row>
    <row r="219" spans="3:4" ht="15" customHeight="1" x14ac:dyDescent="0.25">
      <c r="C219" s="593">
        <f>+'Stock Data'!AM30</f>
        <v>45919</v>
      </c>
      <c r="D219" s="568">
        <f>_xlfn.XLOOKUP(C219,'Stock Data'!$AM$4:$AM$1051,'Stock Data'!$AN$4:$AN$1051)</f>
        <v>122.02</v>
      </c>
    </row>
    <row r="220" spans="3:4" ht="15" customHeight="1" x14ac:dyDescent="0.25">
      <c r="C220" s="593">
        <f>+'Stock Data'!AM31</f>
        <v>45918</v>
      </c>
      <c r="D220" s="568">
        <f>_xlfn.XLOOKUP(C220,'Stock Data'!$AM$4:$AM$1051,'Stock Data'!$AN$4:$AN$1051)</f>
        <v>120.88</v>
      </c>
    </row>
    <row r="221" spans="3:4" ht="15" customHeight="1" x14ac:dyDescent="0.25">
      <c r="C221" s="593">
        <f>+'Stock Data'!AM32</f>
        <v>45917</v>
      </c>
      <c r="D221" s="568">
        <f>_xlfn.XLOOKUP(C221,'Stock Data'!$AM$4:$AM$1051,'Stock Data'!$AN$4:$AN$1051)</f>
        <v>119.24</v>
      </c>
    </row>
    <row r="222" spans="3:4" ht="15" customHeight="1" x14ac:dyDescent="0.25">
      <c r="C222" s="593">
        <f>+'Stock Data'!AM33</f>
        <v>45916</v>
      </c>
      <c r="D222" s="568">
        <f>_xlfn.XLOOKUP(C222,'Stock Data'!$AM$4:$AM$1051,'Stock Data'!$AN$4:$AN$1051)</f>
        <v>118.43</v>
      </c>
    </row>
    <row r="223" spans="3:4" ht="15" customHeight="1" x14ac:dyDescent="0.25">
      <c r="C223" s="593">
        <f>+'Stock Data'!AM34</f>
        <v>45915</v>
      </c>
      <c r="D223" s="568">
        <f>_xlfn.XLOOKUP(C223,'Stock Data'!$AM$4:$AM$1051,'Stock Data'!$AN$4:$AN$1051)</f>
        <v>118.43</v>
      </c>
    </row>
    <row r="224" spans="3:4" ht="15" customHeight="1" x14ac:dyDescent="0.25">
      <c r="C224" s="593">
        <f>+'Stock Data'!AM35</f>
        <v>45914</v>
      </c>
      <c r="D224" s="568">
        <f>_xlfn.XLOOKUP(C224,'Stock Data'!$AM$4:$AM$1051,'Stock Data'!$AN$4:$AN$1051)</f>
        <v>118.43</v>
      </c>
    </row>
    <row r="225" spans="3:4" ht="15" customHeight="1" x14ac:dyDescent="0.25">
      <c r="C225" s="593">
        <f>+'Stock Data'!AM36</f>
        <v>45913</v>
      </c>
      <c r="D225" s="568">
        <f>_xlfn.XLOOKUP(C225,'Stock Data'!$AM$4:$AM$1051,'Stock Data'!$AN$4:$AN$1051)</f>
        <v>119.21</v>
      </c>
    </row>
    <row r="226" spans="3:4" ht="15" customHeight="1" x14ac:dyDescent="0.25">
      <c r="C226" s="593">
        <f>+'Stock Data'!AM37</f>
        <v>45912</v>
      </c>
      <c r="D226" s="568">
        <f>_xlfn.XLOOKUP(C226,'Stock Data'!$AM$4:$AM$1051,'Stock Data'!$AN$4:$AN$1051)</f>
        <v>118.83</v>
      </c>
    </row>
    <row r="227" spans="3:4" ht="15" customHeight="1" x14ac:dyDescent="0.25">
      <c r="C227" s="593">
        <f>+'Stock Data'!AM38</f>
        <v>45911</v>
      </c>
      <c r="D227" s="568">
        <f>_xlfn.XLOOKUP(C227,'Stock Data'!$AM$4:$AM$1051,'Stock Data'!$AN$4:$AN$1051)</f>
        <v>119</v>
      </c>
    </row>
    <row r="228" spans="3:4" ht="15" customHeight="1" x14ac:dyDescent="0.25">
      <c r="C228" s="593">
        <f>+'Stock Data'!AM39</f>
        <v>45910</v>
      </c>
      <c r="D228" s="568">
        <f>_xlfn.XLOOKUP(C228,'Stock Data'!$AM$4:$AM$1051,'Stock Data'!$AN$4:$AN$1051)</f>
        <v>111.94</v>
      </c>
    </row>
    <row r="229" spans="3:4" ht="15" customHeight="1" x14ac:dyDescent="0.25">
      <c r="C229" s="593">
        <f>+'Stock Data'!AM40</f>
        <v>45909</v>
      </c>
      <c r="D229" s="568">
        <f>_xlfn.XLOOKUP(C229,'Stock Data'!$AM$4:$AM$1051,'Stock Data'!$AN$4:$AN$1051)</f>
        <v>111.08</v>
      </c>
    </row>
    <row r="230" spans="3:4" ht="15" customHeight="1" x14ac:dyDescent="0.25">
      <c r="C230" s="593">
        <f>+'Stock Data'!AM41</f>
        <v>45908</v>
      </c>
      <c r="D230" s="568">
        <f>_xlfn.XLOOKUP(C230,'Stock Data'!$AM$4:$AM$1051,'Stock Data'!$AN$4:$AN$1051)</f>
        <v>111.08</v>
      </c>
    </row>
    <row r="231" spans="3:4" ht="15" customHeight="1" x14ac:dyDescent="0.25">
      <c r="C231" s="593">
        <f>+'Stock Data'!AM42</f>
        <v>45907</v>
      </c>
      <c r="D231" s="568">
        <f>_xlfn.XLOOKUP(C231,'Stock Data'!$AM$4:$AM$1051,'Stock Data'!$AN$4:$AN$1051)</f>
        <v>111.08</v>
      </c>
    </row>
    <row r="232" spans="3:4" ht="15" customHeight="1" x14ac:dyDescent="0.25">
      <c r="C232" s="593">
        <f>+'Stock Data'!AM43</f>
        <v>45906</v>
      </c>
      <c r="D232" s="568">
        <f>_xlfn.XLOOKUP(C232,'Stock Data'!$AM$4:$AM$1051,'Stock Data'!$AN$4:$AN$1051)</f>
        <v>112.74</v>
      </c>
    </row>
    <row r="233" spans="3:4" ht="15" customHeight="1" x14ac:dyDescent="0.25">
      <c r="C233" s="593">
        <f>+'Stock Data'!AM44</f>
        <v>45905</v>
      </c>
      <c r="D233" s="568">
        <f>_xlfn.XLOOKUP(C233,'Stock Data'!$AM$4:$AM$1051,'Stock Data'!$AN$4:$AN$1051)</f>
        <v>112.56</v>
      </c>
    </row>
    <row r="234" spans="3:4" ht="15" customHeight="1" x14ac:dyDescent="0.25">
      <c r="C234" s="593">
        <f>+'Stock Data'!AM45</f>
        <v>45904</v>
      </c>
      <c r="D234" s="568">
        <f>_xlfn.XLOOKUP(C234,'Stock Data'!$AM$4:$AM$1051,'Stock Data'!$AN$4:$AN$1051)</f>
        <v>113</v>
      </c>
    </row>
    <row r="235" spans="3:4" ht="15" customHeight="1" x14ac:dyDescent="0.25">
      <c r="C235" s="593">
        <f>+'Stock Data'!AM46</f>
        <v>45903</v>
      </c>
      <c r="D235" s="568">
        <f>_xlfn.XLOOKUP(C235,'Stock Data'!$AM$4:$AM$1051,'Stock Data'!$AN$4:$AN$1051)</f>
        <v>113.84</v>
      </c>
    </row>
    <row r="236" spans="3:4" ht="15" customHeight="1" x14ac:dyDescent="0.25">
      <c r="C236" s="593">
        <f>+'Stock Data'!AM47</f>
        <v>45902</v>
      </c>
      <c r="D236" s="568">
        <f>_xlfn.XLOOKUP(C236,'Stock Data'!$AM$4:$AM$1051,'Stock Data'!$AN$4:$AN$1051)</f>
        <v>115.36</v>
      </c>
    </row>
    <row r="237" spans="3:4" ht="15" customHeight="1" x14ac:dyDescent="0.25">
      <c r="C237" s="593">
        <f>+'Stock Data'!AM48</f>
        <v>45901</v>
      </c>
      <c r="D237" s="568">
        <f>_xlfn.XLOOKUP(C237,'Stock Data'!$AM$4:$AM$1051,'Stock Data'!$AN$4:$AN$1051)</f>
        <v>115.36</v>
      </c>
    </row>
    <row r="238" spans="3:4" ht="15" customHeight="1" x14ac:dyDescent="0.25">
      <c r="C238" s="593">
        <f>+'Stock Data'!AM49</f>
        <v>45900</v>
      </c>
      <c r="D238" s="568">
        <f>_xlfn.XLOOKUP(C238,'Stock Data'!$AM$4:$AM$1051,'Stock Data'!$AN$4:$AN$1051)</f>
        <v>115.36</v>
      </c>
    </row>
    <row r="239" spans="3:4" ht="15" customHeight="1" x14ac:dyDescent="0.25">
      <c r="C239" s="593">
        <f>+'Stock Data'!AM50</f>
        <v>45899</v>
      </c>
      <c r="D239" s="568">
        <f>_xlfn.XLOOKUP(C239,'Stock Data'!$AM$4:$AM$1051,'Stock Data'!$AN$4:$AN$1051)</f>
        <v>113.08</v>
      </c>
    </row>
    <row r="240" spans="3:4" ht="15" customHeight="1" x14ac:dyDescent="0.25">
      <c r="C240" s="593">
        <f>+'Stock Data'!AM51</f>
        <v>45898</v>
      </c>
      <c r="D240" s="568">
        <f>_xlfn.XLOOKUP(C240,'Stock Data'!$AM$4:$AM$1051,'Stock Data'!$AN$4:$AN$1051)</f>
        <v>113.42</v>
      </c>
    </row>
    <row r="241" spans="3:4" ht="15" customHeight="1" x14ac:dyDescent="0.25">
      <c r="C241" s="593">
        <f>+'Stock Data'!AM52</f>
        <v>45897</v>
      </c>
      <c r="D241" s="568">
        <f>_xlfn.XLOOKUP(C241,'Stock Data'!$AM$4:$AM$1051,'Stock Data'!$AN$4:$AN$1051)</f>
        <v>112.44</v>
      </c>
    </row>
    <row r="242" spans="3:4" ht="15" customHeight="1" x14ac:dyDescent="0.25">
      <c r="C242" s="593">
        <f>+'Stock Data'!AM53</f>
        <v>45896</v>
      </c>
      <c r="D242" s="568">
        <f>_xlfn.XLOOKUP(C242,'Stock Data'!$AM$4:$AM$1051,'Stock Data'!$AN$4:$AN$1051)</f>
        <v>112.16</v>
      </c>
    </row>
    <row r="243" spans="3:4" ht="15" customHeight="1" x14ac:dyDescent="0.25">
      <c r="C243" s="593">
        <f>+'Stock Data'!AM54</f>
        <v>45895</v>
      </c>
      <c r="D243" s="568">
        <f>_xlfn.XLOOKUP(C243,'Stock Data'!$AM$4:$AM$1051,'Stock Data'!$AN$4:$AN$1051)</f>
        <v>113.31</v>
      </c>
    </row>
    <row r="244" spans="3:4" ht="15" customHeight="1" x14ac:dyDescent="0.25">
      <c r="C244" s="593">
        <f>+'Stock Data'!AM55</f>
        <v>45894</v>
      </c>
      <c r="D244" s="568">
        <f>_xlfn.XLOOKUP(C244,'Stock Data'!$AM$4:$AM$1051,'Stock Data'!$AN$4:$AN$1051)</f>
        <v>113.31</v>
      </c>
    </row>
    <row r="245" spans="3:4" ht="15" customHeight="1" x14ac:dyDescent="0.25">
      <c r="C245" s="593">
        <f>+'Stock Data'!AM56</f>
        <v>45893</v>
      </c>
      <c r="D245" s="568">
        <f>_xlfn.XLOOKUP(C245,'Stock Data'!$AM$4:$AM$1051,'Stock Data'!$AN$4:$AN$1051)</f>
        <v>113.31</v>
      </c>
    </row>
    <row r="246" spans="3:4" ht="15" customHeight="1" x14ac:dyDescent="0.25">
      <c r="C246" s="593">
        <f>+'Stock Data'!AM57</f>
        <v>45892</v>
      </c>
      <c r="D246" s="568">
        <f>_xlfn.XLOOKUP(C246,'Stock Data'!$AM$4:$AM$1051,'Stock Data'!$AN$4:$AN$1051)</f>
        <v>114</v>
      </c>
    </row>
    <row r="247" spans="3:4" ht="15" customHeight="1" x14ac:dyDescent="0.25">
      <c r="C247" s="593">
        <f>+'Stock Data'!AM58</f>
        <v>45891</v>
      </c>
      <c r="D247" s="568">
        <f>_xlfn.XLOOKUP(C247,'Stock Data'!$AM$4:$AM$1051,'Stock Data'!$AN$4:$AN$1051)</f>
        <v>113.18</v>
      </c>
    </row>
    <row r="248" spans="3:4" ht="15" customHeight="1" x14ac:dyDescent="0.25">
      <c r="C248" s="593">
        <f>+'Stock Data'!AM59</f>
        <v>45890</v>
      </c>
      <c r="D248" s="568">
        <f>_xlfn.XLOOKUP(C248,'Stock Data'!$AM$4:$AM$1051,'Stock Data'!$AN$4:$AN$1051)</f>
        <v>113.05</v>
      </c>
    </row>
    <row r="249" spans="3:4" ht="15" customHeight="1" x14ac:dyDescent="0.25">
      <c r="C249" s="593">
        <f>+'Stock Data'!AM60</f>
        <v>45889</v>
      </c>
      <c r="D249" s="568">
        <f>_xlfn.XLOOKUP(C249,'Stock Data'!$AM$4:$AM$1051,'Stock Data'!$AN$4:$AN$1051)</f>
        <v>114.55</v>
      </c>
    </row>
    <row r="250" spans="3:4" ht="15" customHeight="1" x14ac:dyDescent="0.25">
      <c r="C250" s="593">
        <f>+'Stock Data'!AM61</f>
        <v>45888</v>
      </c>
      <c r="D250" s="568">
        <f>_xlfn.XLOOKUP(C250,'Stock Data'!$AM$4:$AM$1051,'Stock Data'!$AN$4:$AN$1051)</f>
        <v>114.44</v>
      </c>
    </row>
    <row r="251" spans="3:4" ht="15" customHeight="1" x14ac:dyDescent="0.25">
      <c r="C251" s="593">
        <f>+'Stock Data'!AM62</f>
        <v>45887</v>
      </c>
      <c r="D251" s="568">
        <f>_xlfn.XLOOKUP(C251,'Stock Data'!$AM$4:$AM$1051,'Stock Data'!$AN$4:$AN$1051)</f>
        <v>114.44</v>
      </c>
    </row>
    <row r="252" spans="3:4" ht="15" customHeight="1" x14ac:dyDescent="0.25">
      <c r="C252" s="593">
        <f>+'Stock Data'!AM63</f>
        <v>45886</v>
      </c>
      <c r="D252" s="568">
        <f>_xlfn.XLOOKUP(C252,'Stock Data'!$AM$4:$AM$1051,'Stock Data'!$AN$4:$AN$1051)</f>
        <v>114.44</v>
      </c>
    </row>
    <row r="253" spans="3:4" ht="15" customHeight="1" x14ac:dyDescent="0.25">
      <c r="C253" s="593">
        <f>+'Stock Data'!AM64</f>
        <v>45885</v>
      </c>
      <c r="D253" s="568">
        <f>_xlfn.XLOOKUP(C253,'Stock Data'!$AM$4:$AM$1051,'Stock Data'!$AN$4:$AN$1051)</f>
        <v>115.64</v>
      </c>
    </row>
    <row r="254" spans="3:4" ht="15" customHeight="1" x14ac:dyDescent="0.25">
      <c r="C254" s="593">
        <f>+'Stock Data'!AM65</f>
        <v>45884</v>
      </c>
      <c r="D254" s="568">
        <f>_xlfn.XLOOKUP(C254,'Stock Data'!$AM$4:$AM$1051,'Stock Data'!$AN$4:$AN$1051)</f>
        <v>115.62</v>
      </c>
    </row>
    <row r="255" spans="3:4" ht="15" customHeight="1" x14ac:dyDescent="0.25">
      <c r="C255" s="593">
        <f>+'Stock Data'!AM66</f>
        <v>45883</v>
      </c>
      <c r="D255" s="568">
        <f>_xlfn.XLOOKUP(C255,'Stock Data'!$AM$4:$AM$1051,'Stock Data'!$AN$4:$AN$1051)</f>
        <v>114.94</v>
      </c>
    </row>
    <row r="256" spans="3:4" ht="15" customHeight="1" x14ac:dyDescent="0.25">
      <c r="C256" s="593">
        <f>+'Stock Data'!AM67</f>
        <v>45882</v>
      </c>
      <c r="D256" s="568">
        <f>_xlfn.XLOOKUP(C256,'Stock Data'!$AM$4:$AM$1051,'Stock Data'!$AN$4:$AN$1051)</f>
        <v>115.43</v>
      </c>
    </row>
    <row r="257" spans="3:4" ht="15" customHeight="1" x14ac:dyDescent="0.25">
      <c r="C257" s="593">
        <f>+'Stock Data'!AM68</f>
        <v>45881</v>
      </c>
      <c r="D257" s="568">
        <f>_xlfn.XLOOKUP(C257,'Stock Data'!$AM$4:$AM$1051,'Stock Data'!$AN$4:$AN$1051)</f>
        <v>115.75</v>
      </c>
    </row>
    <row r="258" spans="3:4" ht="15" customHeight="1" x14ac:dyDescent="0.25">
      <c r="C258" s="593">
        <f>+'Stock Data'!AM69</f>
        <v>45880</v>
      </c>
      <c r="D258" s="568">
        <f>_xlfn.XLOOKUP(C258,'Stock Data'!$AM$4:$AM$1051,'Stock Data'!$AN$4:$AN$1051)</f>
        <v>115.75</v>
      </c>
    </row>
    <row r="259" spans="3:4" ht="15" customHeight="1" x14ac:dyDescent="0.25">
      <c r="C259" s="593">
        <f>+'Stock Data'!AM70</f>
        <v>45879</v>
      </c>
      <c r="D259" s="568">
        <f>_xlfn.XLOOKUP(C259,'Stock Data'!$AM$4:$AM$1051,'Stock Data'!$AN$4:$AN$1051)</f>
        <v>115.75</v>
      </c>
    </row>
    <row r="260" spans="3:4" ht="15" customHeight="1" x14ac:dyDescent="0.25">
      <c r="C260" s="593">
        <f>+'Stock Data'!AM71</f>
        <v>45878</v>
      </c>
      <c r="D260" s="568">
        <f>_xlfn.XLOOKUP(C260,'Stock Data'!$AM$4:$AM$1051,'Stock Data'!$AN$4:$AN$1051)</f>
        <v>115.75</v>
      </c>
    </row>
    <row r="261" spans="3:4" ht="15" customHeight="1" x14ac:dyDescent="0.25">
      <c r="C261" s="593">
        <f>+'Stock Data'!AM72</f>
        <v>45877</v>
      </c>
      <c r="D261" s="568">
        <f>_xlfn.XLOOKUP(C261,'Stock Data'!$AM$4:$AM$1051,'Stock Data'!$AN$4:$AN$1051)</f>
        <v>114.46</v>
      </c>
    </row>
    <row r="262" spans="3:4" ht="15" customHeight="1" x14ac:dyDescent="0.25">
      <c r="C262" s="593">
        <f>+'Stock Data'!AM73</f>
        <v>45876</v>
      </c>
      <c r="D262" s="568">
        <f>_xlfn.XLOOKUP(C262,'Stock Data'!$AM$4:$AM$1051,'Stock Data'!$AN$4:$AN$1051)</f>
        <v>113.96</v>
      </c>
    </row>
    <row r="263" spans="3:4" ht="15" customHeight="1" x14ac:dyDescent="0.25">
      <c r="C263" s="593">
        <f>+'Stock Data'!AM74</f>
        <v>45875</v>
      </c>
      <c r="D263" s="568">
        <f>_xlfn.XLOOKUP(C263,'Stock Data'!$AM$4:$AM$1051,'Stock Data'!$AN$4:$AN$1051)</f>
        <v>112.86</v>
      </c>
    </row>
    <row r="264" spans="3:4" ht="15" customHeight="1" x14ac:dyDescent="0.25">
      <c r="C264" s="593">
        <f>+'Stock Data'!AM75</f>
        <v>45874</v>
      </c>
      <c r="D264" s="568">
        <f>_xlfn.XLOOKUP(C264,'Stock Data'!$AM$4:$AM$1051,'Stock Data'!$AN$4:$AN$1051)</f>
        <v>112.79</v>
      </c>
    </row>
    <row r="265" spans="3:4" ht="15" customHeight="1" x14ac:dyDescent="0.25">
      <c r="C265" s="593">
        <f>+'Stock Data'!AM76</f>
        <v>45873</v>
      </c>
      <c r="D265" s="568">
        <f>_xlfn.XLOOKUP(C265,'Stock Data'!$AM$4:$AM$1051,'Stock Data'!$AN$4:$AN$1051)</f>
        <v>112.79</v>
      </c>
    </row>
    <row r="266" spans="3:4" ht="15" customHeight="1" x14ac:dyDescent="0.25">
      <c r="C266" s="593">
        <f>+'Stock Data'!AM77</f>
        <v>45872</v>
      </c>
      <c r="D266" s="568">
        <f>_xlfn.XLOOKUP(C266,'Stock Data'!$AM$4:$AM$1051,'Stock Data'!$AN$4:$AN$1051)</f>
        <v>112.79</v>
      </c>
    </row>
    <row r="267" spans="3:4" ht="15" customHeight="1" x14ac:dyDescent="0.25">
      <c r="C267" s="593">
        <f>+'Stock Data'!AM78</f>
        <v>45871</v>
      </c>
      <c r="D267" s="568">
        <f>_xlfn.XLOOKUP(C267,'Stock Data'!$AM$4:$AM$1051,'Stock Data'!$AN$4:$AN$1051)</f>
        <v>112.21</v>
      </c>
    </row>
    <row r="268" spans="3:4" ht="15" customHeight="1" x14ac:dyDescent="0.25">
      <c r="C268" s="593">
        <f>+'Stock Data'!AM79</f>
        <v>45870</v>
      </c>
      <c r="D268" s="568">
        <f>_xlfn.XLOOKUP(C268,'Stock Data'!$AM$4:$AM$1051,'Stock Data'!$AN$4:$AN$1051)</f>
        <v>111.06</v>
      </c>
    </row>
    <row r="269" spans="3:4" ht="15" customHeight="1" x14ac:dyDescent="0.25">
      <c r="C269" s="593">
        <f>+'Stock Data'!AM80</f>
        <v>45869</v>
      </c>
      <c r="D269" s="568">
        <f>_xlfn.XLOOKUP(C269,'Stock Data'!$AM$4:$AM$1051,'Stock Data'!$AN$4:$AN$1051)</f>
        <v>112.36</v>
      </c>
    </row>
    <row r="270" spans="3:4" ht="15" customHeight="1" x14ac:dyDescent="0.25">
      <c r="C270" s="593">
        <f>+'Stock Data'!AM81</f>
        <v>45868</v>
      </c>
      <c r="D270" s="568">
        <f>_xlfn.XLOOKUP(C270,'Stock Data'!$AM$4:$AM$1051,'Stock Data'!$AN$4:$AN$1051)</f>
        <v>111.54</v>
      </c>
    </row>
    <row r="271" spans="3:4" ht="15" customHeight="1" x14ac:dyDescent="0.25">
      <c r="C271" s="593">
        <f>+'Stock Data'!AM82</f>
        <v>45867</v>
      </c>
      <c r="D271" s="568">
        <f>_xlfn.XLOOKUP(C271,'Stock Data'!$AM$4:$AM$1051,'Stock Data'!$AN$4:$AN$1051)</f>
        <v>109.56</v>
      </c>
    </row>
    <row r="272" spans="3:4" ht="15" customHeight="1" x14ac:dyDescent="0.25">
      <c r="C272" s="593">
        <f>+'Stock Data'!AM83</f>
        <v>45866</v>
      </c>
      <c r="D272" s="568">
        <f>_xlfn.XLOOKUP(C272,'Stock Data'!$AM$4:$AM$1051,'Stock Data'!$AN$4:$AN$1051)</f>
        <v>109.56</v>
      </c>
    </row>
    <row r="273" spans="3:4" ht="15" customHeight="1" x14ac:dyDescent="0.25">
      <c r="C273" s="593">
        <f>+'Stock Data'!AM84</f>
        <v>45865</v>
      </c>
      <c r="D273" s="568">
        <f>_xlfn.XLOOKUP(C273,'Stock Data'!$AM$4:$AM$1051,'Stock Data'!$AN$4:$AN$1051)</f>
        <v>109.56</v>
      </c>
    </row>
    <row r="274" spans="3:4" ht="15" customHeight="1" x14ac:dyDescent="0.25">
      <c r="C274" s="593">
        <f>+'Stock Data'!AM85</f>
        <v>45864</v>
      </c>
      <c r="D274" s="568">
        <f>_xlfn.XLOOKUP(C274,'Stock Data'!$AM$4:$AM$1051,'Stock Data'!$AN$4:$AN$1051)</f>
        <v>110.4</v>
      </c>
    </row>
    <row r="275" spans="3:4" ht="15" customHeight="1" x14ac:dyDescent="0.25">
      <c r="C275" s="593">
        <f>+'Stock Data'!AM86</f>
        <v>45863</v>
      </c>
      <c r="D275" s="568">
        <f>_xlfn.XLOOKUP(C275,'Stock Data'!$AM$4:$AM$1051,'Stock Data'!$AN$4:$AN$1051)</f>
        <v>110.4</v>
      </c>
    </row>
    <row r="276" spans="3:4" ht="15" customHeight="1" x14ac:dyDescent="0.25">
      <c r="C276" s="593">
        <f>+'Stock Data'!AM87</f>
        <v>45862</v>
      </c>
      <c r="D276" s="568">
        <f>_xlfn.XLOOKUP(C276,'Stock Data'!$AM$4:$AM$1051,'Stock Data'!$AN$4:$AN$1051)</f>
        <v>112.19</v>
      </c>
    </row>
    <row r="277" spans="3:4" ht="15" customHeight="1" x14ac:dyDescent="0.25">
      <c r="C277" s="593">
        <f>+'Stock Data'!AM88</f>
        <v>45861</v>
      </c>
      <c r="D277" s="568">
        <f>_xlfn.XLOOKUP(C277,'Stock Data'!$AM$4:$AM$1051,'Stock Data'!$AN$4:$AN$1051)</f>
        <v>113.06</v>
      </c>
    </row>
    <row r="278" spans="3:4" ht="15" customHeight="1" x14ac:dyDescent="0.25">
      <c r="C278" s="593">
        <f>+'Stock Data'!AM89</f>
        <v>45860</v>
      </c>
      <c r="D278" s="568">
        <f>_xlfn.XLOOKUP(C278,'Stock Data'!$AM$4:$AM$1051,'Stock Data'!$AN$4:$AN$1051)</f>
        <v>111.99</v>
      </c>
    </row>
    <row r="279" spans="3:4" ht="15" customHeight="1" x14ac:dyDescent="0.25">
      <c r="C279" s="593">
        <f>+'Stock Data'!AM90</f>
        <v>45859</v>
      </c>
      <c r="D279" s="568">
        <f>_xlfn.XLOOKUP(C279,'Stock Data'!$AM$4:$AM$1051,'Stock Data'!$AN$4:$AN$1051)</f>
        <v>111.99</v>
      </c>
    </row>
    <row r="280" spans="3:4" ht="15" customHeight="1" x14ac:dyDescent="0.25">
      <c r="C280" s="593">
        <f>+'Stock Data'!AM91</f>
        <v>45858</v>
      </c>
      <c r="D280" s="568">
        <f>_xlfn.XLOOKUP(C280,'Stock Data'!$AM$4:$AM$1051,'Stock Data'!$AN$4:$AN$1051)</f>
        <v>111.99</v>
      </c>
    </row>
    <row r="281" spans="3:4" ht="15" customHeight="1" x14ac:dyDescent="0.25">
      <c r="C281" s="593">
        <f>+'Stock Data'!AM92</f>
        <v>45857</v>
      </c>
      <c r="D281" s="568">
        <f>_xlfn.XLOOKUP(C281,'Stock Data'!$AM$4:$AM$1051,'Stock Data'!$AN$4:$AN$1051)</f>
        <v>112.13</v>
      </c>
    </row>
    <row r="282" spans="3:4" ht="15" customHeight="1" x14ac:dyDescent="0.25">
      <c r="C282" s="593">
        <f>+'Stock Data'!AM93</f>
        <v>45856</v>
      </c>
      <c r="D282" s="568">
        <f>_xlfn.XLOOKUP(C282,'Stock Data'!$AM$4:$AM$1051,'Stock Data'!$AN$4:$AN$1051)</f>
        <v>112.2</v>
      </c>
    </row>
    <row r="283" spans="3:4" ht="15" customHeight="1" x14ac:dyDescent="0.25">
      <c r="C283" s="593">
        <f>+'Stock Data'!AM94</f>
        <v>45855</v>
      </c>
      <c r="D283" s="568">
        <f>_xlfn.XLOOKUP(C283,'Stock Data'!$AM$4:$AM$1051,'Stock Data'!$AN$4:$AN$1051)</f>
        <v>111.03</v>
      </c>
    </row>
    <row r="284" spans="3:4" ht="15" customHeight="1" x14ac:dyDescent="0.25">
      <c r="C284" s="593">
        <f>+'Stock Data'!AM95</f>
        <v>45854</v>
      </c>
      <c r="D284" s="568">
        <f>_xlfn.XLOOKUP(C284,'Stock Data'!$AM$4:$AM$1051,'Stock Data'!$AN$4:$AN$1051)</f>
        <v>110.93</v>
      </c>
    </row>
    <row r="285" spans="3:4" ht="15" customHeight="1" x14ac:dyDescent="0.25">
      <c r="C285" s="593">
        <f>+'Stock Data'!AM96</f>
        <v>45853</v>
      </c>
      <c r="D285" s="568">
        <f>_xlfn.XLOOKUP(C285,'Stock Data'!$AM$4:$AM$1051,'Stock Data'!$AN$4:$AN$1051)</f>
        <v>111.35</v>
      </c>
    </row>
    <row r="286" spans="3:4" ht="15" customHeight="1" x14ac:dyDescent="0.25">
      <c r="C286" s="593">
        <f>+'Stock Data'!AM97</f>
        <v>45852</v>
      </c>
      <c r="D286" s="568">
        <f>_xlfn.XLOOKUP(C286,'Stock Data'!$AM$4:$AM$1051,'Stock Data'!$AN$4:$AN$1051)</f>
        <v>111.35</v>
      </c>
    </row>
    <row r="287" spans="3:4" ht="15" customHeight="1" x14ac:dyDescent="0.25">
      <c r="C287" s="593">
        <f>+'Stock Data'!AM98</f>
        <v>45851</v>
      </c>
      <c r="D287" s="568">
        <f>_xlfn.XLOOKUP(C287,'Stock Data'!$AM$4:$AM$1051,'Stock Data'!$AN$4:$AN$1051)</f>
        <v>111.35</v>
      </c>
    </row>
    <row r="288" spans="3:4" ht="15" customHeight="1" x14ac:dyDescent="0.25">
      <c r="C288" s="593">
        <f>+'Stock Data'!AM99</f>
        <v>45850</v>
      </c>
      <c r="D288" s="568">
        <f>_xlfn.XLOOKUP(C288,'Stock Data'!$AM$4:$AM$1051,'Stock Data'!$AN$4:$AN$1051)</f>
        <v>110.64</v>
      </c>
    </row>
    <row r="289" spans="3:4" ht="15" customHeight="1" x14ac:dyDescent="0.25">
      <c r="C289" s="593">
        <f>+'Stock Data'!AM100</f>
        <v>45849</v>
      </c>
      <c r="D289" s="568">
        <f>_xlfn.XLOOKUP(C289,'Stock Data'!$AM$4:$AM$1051,'Stock Data'!$AN$4:$AN$1051)</f>
        <v>110.8</v>
      </c>
    </row>
    <row r="290" spans="3:4" ht="15" customHeight="1" x14ac:dyDescent="0.25">
      <c r="C290" s="593">
        <f>+'Stock Data'!AM101</f>
        <v>45848</v>
      </c>
      <c r="D290" s="568">
        <f>_xlfn.XLOOKUP(C290,'Stock Data'!$AM$4:$AM$1051,'Stock Data'!$AN$4:$AN$1051)</f>
        <v>110.69</v>
      </c>
    </row>
    <row r="291" spans="3:4" ht="15" customHeight="1" x14ac:dyDescent="0.25">
      <c r="C291" s="593">
        <f>+'Stock Data'!AM102</f>
        <v>45847</v>
      </c>
      <c r="D291" s="568">
        <f>_xlfn.XLOOKUP(C291,'Stock Data'!$AM$4:$AM$1051,'Stock Data'!$AN$4:$AN$1051)</f>
        <v>109.09</v>
      </c>
    </row>
    <row r="292" spans="3:4" ht="15" customHeight="1" x14ac:dyDescent="0.25">
      <c r="C292" s="593">
        <f>+'Stock Data'!AM103</f>
        <v>45846</v>
      </c>
      <c r="D292" s="568">
        <f>_xlfn.XLOOKUP(C292,'Stock Data'!$AM$4:$AM$1051,'Stock Data'!$AN$4:$AN$1051)</f>
        <v>109.85</v>
      </c>
    </row>
    <row r="293" spans="3:4" ht="15" customHeight="1" x14ac:dyDescent="0.25">
      <c r="C293" s="593">
        <f>+'Stock Data'!AM104</f>
        <v>45845</v>
      </c>
      <c r="D293" s="568">
        <f>_xlfn.XLOOKUP(C293,'Stock Data'!$AM$4:$AM$1051,'Stock Data'!$AN$4:$AN$1051)</f>
        <v>109.85</v>
      </c>
    </row>
    <row r="294" spans="3:4" ht="15" customHeight="1" x14ac:dyDescent="0.25">
      <c r="C294" s="593">
        <f>+'Stock Data'!AM105</f>
        <v>45844</v>
      </c>
      <c r="D294" s="568">
        <f>_xlfn.XLOOKUP(C294,'Stock Data'!$AM$4:$AM$1051,'Stock Data'!$AN$4:$AN$1051)</f>
        <v>109.85</v>
      </c>
    </row>
    <row r="295" spans="3:4" ht="15" customHeight="1" x14ac:dyDescent="0.25">
      <c r="C295" s="593">
        <f>+'Stock Data'!AM106</f>
        <v>45843</v>
      </c>
      <c r="D295" s="568">
        <f>_xlfn.XLOOKUP(C295,'Stock Data'!$AM$4:$AM$1051,'Stock Data'!$AN$4:$AN$1051)</f>
        <v>108.79</v>
      </c>
    </row>
    <row r="296" spans="3:4" ht="15" customHeight="1" x14ac:dyDescent="0.25">
      <c r="C296" s="593">
        <f>+'Stock Data'!AM107</f>
        <v>45842</v>
      </c>
      <c r="D296" s="568">
        <f>_xlfn.XLOOKUP(C296,'Stock Data'!$AM$4:$AM$1051,'Stock Data'!$AN$4:$AN$1051)</f>
        <v>108.15</v>
      </c>
    </row>
    <row r="297" spans="3:4" ht="15" customHeight="1" x14ac:dyDescent="0.25">
      <c r="C297" s="593">
        <f>+'Stock Data'!AM108</f>
        <v>45841</v>
      </c>
      <c r="D297" s="568">
        <f>_xlfn.XLOOKUP(C297,'Stock Data'!$AM$4:$AM$1051,'Stock Data'!$AN$4:$AN$1051)</f>
        <v>109.37</v>
      </c>
    </row>
    <row r="298" spans="3:4" ht="15" customHeight="1" x14ac:dyDescent="0.25">
      <c r="C298" s="593">
        <f>+'Stock Data'!AM109</f>
        <v>45840</v>
      </c>
      <c r="D298" s="568">
        <f>_xlfn.XLOOKUP(C298,'Stock Data'!$AM$4:$AM$1051,'Stock Data'!$AN$4:$AN$1051)</f>
        <v>107.6</v>
      </c>
    </row>
    <row r="299" spans="3:4" ht="15" customHeight="1" x14ac:dyDescent="0.25">
      <c r="C299" s="593">
        <f>+'Stock Data'!AM110</f>
        <v>45839</v>
      </c>
      <c r="D299" s="568">
        <f>_xlfn.XLOOKUP(C299,'Stock Data'!$AM$4:$AM$1051,'Stock Data'!$AN$4:$AN$1051)</f>
        <v>107.6</v>
      </c>
    </row>
    <row r="300" spans="3:4" ht="15" customHeight="1" x14ac:dyDescent="0.25">
      <c r="C300" s="593">
        <f>+'Stock Data'!AM111</f>
        <v>45838</v>
      </c>
      <c r="D300" s="568">
        <f>_xlfn.XLOOKUP(C300,'Stock Data'!$AM$4:$AM$1051,'Stock Data'!$AN$4:$AN$1051)</f>
        <v>107.6</v>
      </c>
    </row>
    <row r="301" spans="3:4" ht="15" customHeight="1" x14ac:dyDescent="0.25">
      <c r="C301" s="593">
        <f>+'Stock Data'!AM112</f>
        <v>45837</v>
      </c>
      <c r="D301" s="568">
        <f>_xlfn.XLOOKUP(C301,'Stock Data'!$AM$4:$AM$1051,'Stock Data'!$AN$4:$AN$1051)</f>
        <v>107.6</v>
      </c>
    </row>
    <row r="302" spans="3:4" ht="15" customHeight="1" x14ac:dyDescent="0.25">
      <c r="C302" s="593">
        <f>+'Stock Data'!AM113</f>
        <v>45836</v>
      </c>
      <c r="D302" s="568">
        <f>_xlfn.XLOOKUP(C302,'Stock Data'!$AM$4:$AM$1051,'Stock Data'!$AN$4:$AN$1051)</f>
        <v>107.37</v>
      </c>
    </row>
    <row r="303" spans="3:4" ht="15" customHeight="1" x14ac:dyDescent="0.25">
      <c r="C303" s="593">
        <f>+'Stock Data'!AM114</f>
        <v>45835</v>
      </c>
      <c r="D303" s="568">
        <f>_xlfn.XLOOKUP(C303,'Stock Data'!$AM$4:$AM$1051,'Stock Data'!$AN$4:$AN$1051)</f>
        <v>107.44</v>
      </c>
    </row>
    <row r="304" spans="3:4" ht="15" customHeight="1" x14ac:dyDescent="0.25">
      <c r="C304" s="593">
        <f>+'Stock Data'!AM115</f>
        <v>45834</v>
      </c>
      <c r="D304" s="568">
        <f>_xlfn.XLOOKUP(C304,'Stock Data'!$AM$4:$AM$1051,'Stock Data'!$AN$4:$AN$1051)</f>
        <v>108.96</v>
      </c>
    </row>
    <row r="305" spans="3:4" ht="15" customHeight="1" x14ac:dyDescent="0.25">
      <c r="C305" s="593">
        <f>+'Stock Data'!AM116</f>
        <v>45833</v>
      </c>
      <c r="D305" s="568">
        <f>_xlfn.XLOOKUP(C305,'Stock Data'!$AM$4:$AM$1051,'Stock Data'!$AN$4:$AN$1051)</f>
        <v>108.93</v>
      </c>
    </row>
    <row r="306" spans="3:4" ht="15" customHeight="1" x14ac:dyDescent="0.25">
      <c r="C306" s="593">
        <f>+'Stock Data'!AM117</f>
        <v>45832</v>
      </c>
      <c r="D306" s="568">
        <f>_xlfn.XLOOKUP(C306,'Stock Data'!$AM$4:$AM$1051,'Stock Data'!$AN$4:$AN$1051)</f>
        <v>109.37</v>
      </c>
    </row>
    <row r="307" spans="3:4" ht="15" customHeight="1" x14ac:dyDescent="0.25">
      <c r="C307" s="593">
        <f>+'Stock Data'!AM118</f>
        <v>45831</v>
      </c>
      <c r="D307" s="568">
        <f>_xlfn.XLOOKUP(C307,'Stock Data'!$AM$4:$AM$1051,'Stock Data'!$AN$4:$AN$1051)</f>
        <v>109.37</v>
      </c>
    </row>
    <row r="308" spans="3:4" ht="15" customHeight="1" x14ac:dyDescent="0.25">
      <c r="C308" s="593">
        <f>+'Stock Data'!AM119</f>
        <v>45830</v>
      </c>
      <c r="D308" s="568">
        <f>_xlfn.XLOOKUP(C308,'Stock Data'!$AM$4:$AM$1051,'Stock Data'!$AN$4:$AN$1051)</f>
        <v>109.37</v>
      </c>
    </row>
    <row r="309" spans="3:4" ht="15" customHeight="1" x14ac:dyDescent="0.25">
      <c r="C309" s="593">
        <f>+'Stock Data'!AM120</f>
        <v>45829</v>
      </c>
      <c r="D309" s="568">
        <f>_xlfn.XLOOKUP(C309,'Stock Data'!$AM$4:$AM$1051,'Stock Data'!$AN$4:$AN$1051)</f>
        <v>108.28</v>
      </c>
    </row>
    <row r="310" spans="3:4" ht="15" customHeight="1" x14ac:dyDescent="0.25">
      <c r="C310" s="593">
        <f>+'Stock Data'!AM121</f>
        <v>45828</v>
      </c>
      <c r="D310" s="568">
        <f>_xlfn.XLOOKUP(C310,'Stock Data'!$AM$4:$AM$1051,'Stock Data'!$AN$4:$AN$1051)</f>
        <v>107.07</v>
      </c>
    </row>
    <row r="311" spans="3:4" ht="15" customHeight="1" x14ac:dyDescent="0.25">
      <c r="C311" s="593">
        <f>+'Stock Data'!AM122</f>
        <v>45827</v>
      </c>
      <c r="D311" s="568">
        <f>_xlfn.XLOOKUP(C311,'Stock Data'!$AM$4:$AM$1051,'Stock Data'!$AN$4:$AN$1051)</f>
        <v>106.68</v>
      </c>
    </row>
    <row r="312" spans="3:4" ht="15" customHeight="1" x14ac:dyDescent="0.25">
      <c r="C312" s="593">
        <f>+'Stock Data'!AM123</f>
        <v>45826</v>
      </c>
      <c r="D312" s="568">
        <f>_xlfn.XLOOKUP(C312,'Stock Data'!$AM$4:$AM$1051,'Stock Data'!$AN$4:$AN$1051)</f>
        <v>106.33</v>
      </c>
    </row>
    <row r="313" spans="3:4" ht="15" customHeight="1" x14ac:dyDescent="0.25">
      <c r="C313" s="593">
        <f>+'Stock Data'!AM124</f>
        <v>45825</v>
      </c>
      <c r="D313" s="568">
        <f>_xlfn.XLOOKUP(C313,'Stock Data'!$AM$4:$AM$1051,'Stock Data'!$AN$4:$AN$1051)</f>
        <v>104.65</v>
      </c>
    </row>
    <row r="314" spans="3:4" ht="15" customHeight="1" x14ac:dyDescent="0.25">
      <c r="C314" s="593">
        <f>+'Stock Data'!AM125</f>
        <v>45824</v>
      </c>
      <c r="D314" s="568">
        <f>_xlfn.XLOOKUP(C314,'Stock Data'!$AM$4:$AM$1051,'Stock Data'!$AN$4:$AN$1051)</f>
        <v>104.65</v>
      </c>
    </row>
    <row r="315" spans="3:4" ht="15" customHeight="1" x14ac:dyDescent="0.25">
      <c r="C315" s="593">
        <f>+'Stock Data'!AM126</f>
        <v>45823</v>
      </c>
      <c r="D315" s="568">
        <f>_xlfn.XLOOKUP(C315,'Stock Data'!$AM$4:$AM$1051,'Stock Data'!$AN$4:$AN$1051)</f>
        <v>104.65</v>
      </c>
    </row>
    <row r="316" spans="3:4" ht="15" customHeight="1" x14ac:dyDescent="0.25">
      <c r="C316" s="593">
        <f>+'Stock Data'!AM127</f>
        <v>45822</v>
      </c>
      <c r="D316" s="568">
        <f>_xlfn.XLOOKUP(C316,'Stock Data'!$AM$4:$AM$1051,'Stock Data'!$AN$4:$AN$1051)</f>
        <v>104.37</v>
      </c>
    </row>
    <row r="317" spans="3:4" ht="15" customHeight="1" x14ac:dyDescent="0.25">
      <c r="C317" s="593">
        <f>+'Stock Data'!AM128</f>
        <v>45821</v>
      </c>
      <c r="D317" s="568">
        <f>_xlfn.XLOOKUP(C317,'Stock Data'!$AM$4:$AM$1051,'Stock Data'!$AN$4:$AN$1051)</f>
        <v>101.5</v>
      </c>
    </row>
    <row r="318" spans="3:4" ht="15" customHeight="1" x14ac:dyDescent="0.25">
      <c r="C318" s="593">
        <f>+'Stock Data'!AM129</f>
        <v>45820</v>
      </c>
      <c r="D318" s="568">
        <f>_xlfn.XLOOKUP(C318,'Stock Data'!$AM$4:$AM$1051,'Stock Data'!$AN$4:$AN$1051)</f>
        <v>102.93</v>
      </c>
    </row>
    <row r="319" spans="3:4" ht="15" customHeight="1" x14ac:dyDescent="0.25">
      <c r="C319" s="593">
        <f>+'Stock Data'!AM130</f>
        <v>45819</v>
      </c>
      <c r="D319" s="568">
        <f>_xlfn.XLOOKUP(C319,'Stock Data'!$AM$4:$AM$1051,'Stock Data'!$AN$4:$AN$1051)</f>
        <v>102.18</v>
      </c>
    </row>
    <row r="320" spans="3:4" ht="15" customHeight="1" x14ac:dyDescent="0.25">
      <c r="C320" s="593">
        <f>+'Stock Data'!AM131</f>
        <v>45818</v>
      </c>
      <c r="D320" s="568">
        <f>_xlfn.XLOOKUP(C320,'Stock Data'!$AM$4:$AM$1051,'Stock Data'!$AN$4:$AN$1051)</f>
        <v>102.35</v>
      </c>
    </row>
    <row r="321" spans="3:4" ht="15" customHeight="1" x14ac:dyDescent="0.25">
      <c r="C321" s="593">
        <f>+'Stock Data'!AM132</f>
        <v>45817</v>
      </c>
      <c r="D321" s="568">
        <f>_xlfn.XLOOKUP(C321,'Stock Data'!$AM$4:$AM$1051,'Stock Data'!$AN$4:$AN$1051)</f>
        <v>102.35</v>
      </c>
    </row>
    <row r="322" spans="3:4" ht="15" customHeight="1" x14ac:dyDescent="0.25">
      <c r="C322" s="593">
        <f>+'Stock Data'!AM133</f>
        <v>45816</v>
      </c>
      <c r="D322" s="568">
        <f>_xlfn.XLOOKUP(C322,'Stock Data'!$AM$4:$AM$1051,'Stock Data'!$AN$4:$AN$1051)</f>
        <v>102.35</v>
      </c>
    </row>
    <row r="323" spans="3:4" ht="15" customHeight="1" x14ac:dyDescent="0.25">
      <c r="C323" s="593">
        <f>+'Stock Data'!AM134</f>
        <v>45815</v>
      </c>
      <c r="D323" s="568">
        <f>_xlfn.XLOOKUP(C323,'Stock Data'!$AM$4:$AM$1051,'Stock Data'!$AN$4:$AN$1051)</f>
        <v>100.25</v>
      </c>
    </row>
    <row r="324" spans="3:4" ht="15" customHeight="1" x14ac:dyDescent="0.25">
      <c r="C324" s="593">
        <f>+'Stock Data'!AM135</f>
        <v>45814</v>
      </c>
      <c r="D324" s="568">
        <f>_xlfn.XLOOKUP(C324,'Stock Data'!$AM$4:$AM$1051,'Stock Data'!$AN$4:$AN$1051)</f>
        <v>98.65</v>
      </c>
    </row>
    <row r="325" spans="3:4" ht="15" customHeight="1" x14ac:dyDescent="0.25">
      <c r="C325" s="593">
        <f>+'Stock Data'!AM136</f>
        <v>45813</v>
      </c>
      <c r="D325" s="568">
        <f>_xlfn.XLOOKUP(C325,'Stock Data'!$AM$4:$AM$1051,'Stock Data'!$AN$4:$AN$1051)</f>
        <v>98.17</v>
      </c>
    </row>
    <row r="326" spans="3:4" ht="15" customHeight="1" x14ac:dyDescent="0.25">
      <c r="C326" s="593">
        <f>+'Stock Data'!AM137</f>
        <v>45812</v>
      </c>
      <c r="D326" s="568">
        <f>_xlfn.XLOOKUP(C326,'Stock Data'!$AM$4:$AM$1051,'Stock Data'!$AN$4:$AN$1051)</f>
        <v>97.44</v>
      </c>
    </row>
    <row r="327" spans="3:4" ht="15" customHeight="1" x14ac:dyDescent="0.25">
      <c r="C327" s="593">
        <f>+'Stock Data'!AM138</f>
        <v>45811</v>
      </c>
      <c r="D327" s="568">
        <f>_xlfn.XLOOKUP(C327,'Stock Data'!$AM$4:$AM$1051,'Stock Data'!$AN$4:$AN$1051)</f>
        <v>97.34</v>
      </c>
    </row>
    <row r="328" spans="3:4" ht="15" customHeight="1" x14ac:dyDescent="0.25">
      <c r="C328" s="593">
        <f>+'Stock Data'!AM139</f>
        <v>45810</v>
      </c>
      <c r="D328" s="568">
        <f>_xlfn.XLOOKUP(C328,'Stock Data'!$AM$4:$AM$1051,'Stock Data'!$AN$4:$AN$1051)</f>
        <v>97.34</v>
      </c>
    </row>
    <row r="329" spans="3:4" ht="15" customHeight="1" x14ac:dyDescent="0.25">
      <c r="C329" s="593">
        <f>+'Stock Data'!AM140</f>
        <v>45809</v>
      </c>
      <c r="D329" s="568">
        <f>_xlfn.XLOOKUP(C329,'Stock Data'!$AM$4:$AM$1051,'Stock Data'!$AN$4:$AN$1051)</f>
        <v>97.34</v>
      </c>
    </row>
    <row r="330" spans="3:4" ht="15" customHeight="1" x14ac:dyDescent="0.25">
      <c r="C330" s="593">
        <f>+'Stock Data'!AM141</f>
        <v>45808</v>
      </c>
      <c r="D330" s="568">
        <f>_xlfn.XLOOKUP(C330,'Stock Data'!$AM$4:$AM$1051,'Stock Data'!$AN$4:$AN$1051)</f>
        <v>97.65</v>
      </c>
    </row>
    <row r="331" spans="3:4" ht="15" customHeight="1" x14ac:dyDescent="0.25">
      <c r="C331" s="593">
        <f>+'Stock Data'!AM142</f>
        <v>45807</v>
      </c>
      <c r="D331" s="568">
        <f>_xlfn.XLOOKUP(C331,'Stock Data'!$AM$4:$AM$1051,'Stock Data'!$AN$4:$AN$1051)</f>
        <v>95.2</v>
      </c>
    </row>
    <row r="332" spans="3:4" ht="15" customHeight="1" x14ac:dyDescent="0.25">
      <c r="C332" s="593">
        <f>+'Stock Data'!AM143</f>
        <v>45806</v>
      </c>
      <c r="D332" s="568">
        <f>_xlfn.XLOOKUP(C332,'Stock Data'!$AM$4:$AM$1051,'Stock Data'!$AN$4:$AN$1051)</f>
        <v>94</v>
      </c>
    </row>
    <row r="333" spans="3:4" ht="15" customHeight="1" x14ac:dyDescent="0.25">
      <c r="C333" s="593">
        <f>+'Stock Data'!AM144</f>
        <v>45805</v>
      </c>
      <c r="D333" s="568">
        <f>_xlfn.XLOOKUP(C333,'Stock Data'!$AM$4:$AM$1051,'Stock Data'!$AN$4:$AN$1051)</f>
        <v>92.25</v>
      </c>
    </row>
    <row r="334" spans="3:4" ht="15" customHeight="1" x14ac:dyDescent="0.25">
      <c r="C334" s="593">
        <f>+'Stock Data'!AM145</f>
        <v>45804</v>
      </c>
      <c r="D334" s="568">
        <f>_xlfn.XLOOKUP(C334,'Stock Data'!$AM$4:$AM$1051,'Stock Data'!$AN$4:$AN$1051)</f>
        <v>94.36</v>
      </c>
    </row>
    <row r="335" spans="3:4" ht="15" customHeight="1" x14ac:dyDescent="0.25">
      <c r="C335" s="593">
        <f>+'Stock Data'!AM146</f>
        <v>45803</v>
      </c>
      <c r="D335" s="568">
        <f>_xlfn.XLOOKUP(C335,'Stock Data'!$AM$4:$AM$1051,'Stock Data'!$AN$4:$AN$1051)</f>
        <v>94.36</v>
      </c>
    </row>
    <row r="336" spans="3:4" ht="15" customHeight="1" x14ac:dyDescent="0.25">
      <c r="C336" s="593">
        <f>+'Stock Data'!AM147</f>
        <v>45802</v>
      </c>
      <c r="D336" s="568">
        <f>_xlfn.XLOOKUP(C336,'Stock Data'!$AM$4:$AM$1051,'Stock Data'!$AN$4:$AN$1051)</f>
        <v>94.36</v>
      </c>
    </row>
    <row r="337" spans="3:4" ht="15" customHeight="1" x14ac:dyDescent="0.25">
      <c r="C337" s="593">
        <f>+'Stock Data'!AM148</f>
        <v>45801</v>
      </c>
      <c r="D337" s="568">
        <f>_xlfn.XLOOKUP(C337,'Stock Data'!$AM$4:$AM$1051,'Stock Data'!$AN$4:$AN$1051)</f>
        <v>94.36</v>
      </c>
    </row>
    <row r="338" spans="3:4" ht="15" customHeight="1" x14ac:dyDescent="0.25">
      <c r="C338" s="593">
        <f>+'Stock Data'!AM149</f>
        <v>45800</v>
      </c>
      <c r="D338" s="568">
        <f>_xlfn.XLOOKUP(C338,'Stock Data'!$AM$4:$AM$1051,'Stock Data'!$AN$4:$AN$1051)</f>
        <v>93.23</v>
      </c>
    </row>
    <row r="339" spans="3:4" ht="15" customHeight="1" x14ac:dyDescent="0.25">
      <c r="C339" s="593">
        <f>+'Stock Data'!AM150</f>
        <v>45799</v>
      </c>
      <c r="D339" s="568">
        <f>_xlfn.XLOOKUP(C339,'Stock Data'!$AM$4:$AM$1051,'Stock Data'!$AN$4:$AN$1051)</f>
        <v>93.96</v>
      </c>
    </row>
    <row r="340" spans="3:4" ht="15" customHeight="1" x14ac:dyDescent="0.25">
      <c r="C340" s="593">
        <f>+'Stock Data'!AM151</f>
        <v>45798</v>
      </c>
      <c r="D340" s="568">
        <f>_xlfn.XLOOKUP(C340,'Stock Data'!$AM$4:$AM$1051,'Stock Data'!$AN$4:$AN$1051)</f>
        <v>94.31</v>
      </c>
    </row>
    <row r="341" spans="3:4" ht="15" customHeight="1" x14ac:dyDescent="0.25">
      <c r="C341" s="593">
        <f>+'Stock Data'!AM152</f>
        <v>45797</v>
      </c>
      <c r="D341" s="568">
        <f>_xlfn.XLOOKUP(C341,'Stock Data'!$AM$4:$AM$1051,'Stock Data'!$AN$4:$AN$1051)</f>
        <v>93.71</v>
      </c>
    </row>
    <row r="342" spans="3:4" ht="15" customHeight="1" x14ac:dyDescent="0.25">
      <c r="C342" s="593">
        <f>+'Stock Data'!AM153</f>
        <v>45796</v>
      </c>
      <c r="D342" s="568">
        <f>_xlfn.XLOOKUP(C342,'Stock Data'!$AM$4:$AM$1051,'Stock Data'!$AN$4:$AN$1051)</f>
        <v>93.71</v>
      </c>
    </row>
    <row r="343" spans="3:4" ht="15" customHeight="1" x14ac:dyDescent="0.25">
      <c r="C343" s="593">
        <f>+'Stock Data'!AM154</f>
        <v>45795</v>
      </c>
      <c r="D343" s="568">
        <f>_xlfn.XLOOKUP(C343,'Stock Data'!$AM$4:$AM$1051,'Stock Data'!$AN$4:$AN$1051)</f>
        <v>93.71</v>
      </c>
    </row>
    <row r="344" spans="3:4" ht="15" customHeight="1" x14ac:dyDescent="0.25">
      <c r="C344" s="593">
        <f>+'Stock Data'!AM155</f>
        <v>45794</v>
      </c>
      <c r="D344" s="568">
        <f>_xlfn.XLOOKUP(C344,'Stock Data'!$AM$4:$AM$1051,'Stock Data'!$AN$4:$AN$1051)</f>
        <v>93.17</v>
      </c>
    </row>
    <row r="345" spans="3:4" ht="15" customHeight="1" x14ac:dyDescent="0.25">
      <c r="C345" s="593">
        <f>+'Stock Data'!AM156</f>
        <v>45793</v>
      </c>
      <c r="D345" s="568">
        <f>_xlfn.XLOOKUP(C345,'Stock Data'!$AM$4:$AM$1051,'Stock Data'!$AN$4:$AN$1051)</f>
        <v>94.99</v>
      </c>
    </row>
    <row r="346" spans="3:4" ht="15" customHeight="1" x14ac:dyDescent="0.25">
      <c r="C346" s="593">
        <f>+'Stock Data'!AM157</f>
        <v>45792</v>
      </c>
      <c r="D346" s="568">
        <f>_xlfn.XLOOKUP(C346,'Stock Data'!$AM$4:$AM$1051,'Stock Data'!$AN$4:$AN$1051)</f>
        <v>87.19</v>
      </c>
    </row>
    <row r="347" spans="3:4" ht="15" customHeight="1" x14ac:dyDescent="0.25">
      <c r="C347" s="593">
        <f>+'Stock Data'!AM158</f>
        <v>45791</v>
      </c>
      <c r="D347" s="568">
        <f>_xlfn.XLOOKUP(C347,'Stock Data'!$AM$4:$AM$1051,'Stock Data'!$AN$4:$AN$1051)</f>
        <v>87.34</v>
      </c>
    </row>
    <row r="348" spans="3:4" ht="15" customHeight="1" x14ac:dyDescent="0.25">
      <c r="C348" s="593">
        <f>+'Stock Data'!AM159</f>
        <v>45790</v>
      </c>
      <c r="D348" s="568">
        <f>_xlfn.XLOOKUP(C348,'Stock Data'!$AM$4:$AM$1051,'Stock Data'!$AN$4:$AN$1051)</f>
        <v>89.25</v>
      </c>
    </row>
    <row r="349" spans="3:4" ht="15" customHeight="1" x14ac:dyDescent="0.25">
      <c r="C349" s="593">
        <f>+'Stock Data'!AM160</f>
        <v>45789</v>
      </c>
      <c r="D349" s="568">
        <f>_xlfn.XLOOKUP(C349,'Stock Data'!$AM$4:$AM$1051,'Stock Data'!$AN$4:$AN$1051)</f>
        <v>89.25</v>
      </c>
    </row>
    <row r="350" spans="3:4" ht="15" customHeight="1" x14ac:dyDescent="0.25">
      <c r="C350" s="593">
        <f>+'Stock Data'!AM161</f>
        <v>45788</v>
      </c>
      <c r="D350" s="568">
        <f>_xlfn.XLOOKUP(C350,'Stock Data'!$AM$4:$AM$1051,'Stock Data'!$AN$4:$AN$1051)</f>
        <v>89.25</v>
      </c>
    </row>
    <row r="351" spans="3:4" ht="15" customHeight="1" x14ac:dyDescent="0.25">
      <c r="C351" s="593">
        <f>+'Stock Data'!AM162</f>
        <v>45787</v>
      </c>
      <c r="D351" s="568">
        <f>_xlfn.XLOOKUP(C351,'Stock Data'!$AM$4:$AM$1051,'Stock Data'!$AN$4:$AN$1051)</f>
        <v>92.73</v>
      </c>
    </row>
    <row r="352" spans="3:4" ht="15" customHeight="1" x14ac:dyDescent="0.25">
      <c r="C352" s="593">
        <f>+'Stock Data'!AM163</f>
        <v>45786</v>
      </c>
      <c r="D352" s="568">
        <f>_xlfn.XLOOKUP(C352,'Stock Data'!$AM$4:$AM$1051,'Stock Data'!$AN$4:$AN$1051)</f>
        <v>95.84</v>
      </c>
    </row>
    <row r="353" spans="3:4" ht="15" customHeight="1" x14ac:dyDescent="0.25">
      <c r="C353" s="593">
        <f>+'Stock Data'!AM164</f>
        <v>45785</v>
      </c>
      <c r="D353" s="568">
        <f>_xlfn.XLOOKUP(C353,'Stock Data'!$AM$4:$AM$1051,'Stock Data'!$AN$4:$AN$1051)</f>
        <v>94.12</v>
      </c>
    </row>
    <row r="354" spans="3:4" ht="15" customHeight="1" x14ac:dyDescent="0.25">
      <c r="C354" s="593">
        <f>+'Stock Data'!AM165</f>
        <v>45784</v>
      </c>
      <c r="D354" s="568">
        <f>_xlfn.XLOOKUP(C354,'Stock Data'!$AM$4:$AM$1051,'Stock Data'!$AN$4:$AN$1051)</f>
        <v>92.73</v>
      </c>
    </row>
    <row r="355" spans="3:4" ht="15" customHeight="1" x14ac:dyDescent="0.25">
      <c r="C355" s="593">
        <f>+'Stock Data'!AM166</f>
        <v>45783</v>
      </c>
      <c r="D355" s="568">
        <f>_xlfn.XLOOKUP(C355,'Stock Data'!$AM$4:$AM$1051,'Stock Data'!$AN$4:$AN$1051)</f>
        <v>92.54</v>
      </c>
    </row>
    <row r="356" spans="3:4" ht="15" customHeight="1" x14ac:dyDescent="0.25">
      <c r="C356" s="593">
        <f>+'Stock Data'!AM167</f>
        <v>45782</v>
      </c>
      <c r="D356" s="568">
        <f>_xlfn.XLOOKUP(C356,'Stock Data'!$AM$4:$AM$1051,'Stock Data'!$AN$4:$AN$1051)</f>
        <v>92.54</v>
      </c>
    </row>
    <row r="357" spans="3:4" ht="15" customHeight="1" x14ac:dyDescent="0.25">
      <c r="C357" s="593">
        <f>+'Stock Data'!AM168</f>
        <v>45781</v>
      </c>
      <c r="D357" s="568">
        <f>_xlfn.XLOOKUP(C357,'Stock Data'!$AM$4:$AM$1051,'Stock Data'!$AN$4:$AN$1051)</f>
        <v>92.54</v>
      </c>
    </row>
    <row r="358" spans="3:4" ht="15" customHeight="1" x14ac:dyDescent="0.25">
      <c r="C358" s="593">
        <f>+'Stock Data'!AM169</f>
        <v>45780</v>
      </c>
      <c r="D358" s="568">
        <f>_xlfn.XLOOKUP(C358,'Stock Data'!$AM$4:$AM$1051,'Stock Data'!$AN$4:$AN$1051)</f>
        <v>94.57</v>
      </c>
    </row>
    <row r="359" spans="3:4" ht="15" customHeight="1" x14ac:dyDescent="0.25">
      <c r="C359" s="593">
        <f>+'Stock Data'!AM170</f>
        <v>45779</v>
      </c>
      <c r="D359" s="568">
        <f>_xlfn.XLOOKUP(C359,'Stock Data'!$AM$4:$AM$1051,'Stock Data'!$AN$4:$AN$1051)</f>
        <v>94.6</v>
      </c>
    </row>
    <row r="360" spans="3:4" ht="15" customHeight="1" x14ac:dyDescent="0.25">
      <c r="C360" s="593">
        <f>+'Stock Data'!AM171</f>
        <v>45778</v>
      </c>
      <c r="D360" s="568">
        <f>_xlfn.XLOOKUP(C360,'Stock Data'!$AM$4:$AM$1051,'Stock Data'!$AN$4:$AN$1051)</f>
        <v>94.76</v>
      </c>
    </row>
    <row r="361" spans="3:4" ht="15" customHeight="1" x14ac:dyDescent="0.25">
      <c r="C361" s="593">
        <f>+'Stock Data'!AM172</f>
        <v>45777</v>
      </c>
      <c r="D361" s="568">
        <f>_xlfn.XLOOKUP(C361,'Stock Data'!$AM$4:$AM$1051,'Stock Data'!$AN$4:$AN$1051)</f>
        <v>95.82</v>
      </c>
    </row>
    <row r="362" spans="3:4" ht="15" customHeight="1" x14ac:dyDescent="0.25">
      <c r="C362" s="593">
        <f>+'Stock Data'!AM173</f>
        <v>45776</v>
      </c>
      <c r="D362" s="568">
        <f>_xlfn.XLOOKUP(C362,'Stock Data'!$AM$4:$AM$1051,'Stock Data'!$AN$4:$AN$1051)</f>
        <v>94.1</v>
      </c>
    </row>
    <row r="363" spans="3:4" ht="15" customHeight="1" x14ac:dyDescent="0.25">
      <c r="C363" s="593">
        <f>+'Stock Data'!AM174</f>
        <v>45775</v>
      </c>
      <c r="D363" s="568">
        <f>_xlfn.XLOOKUP(C363,'Stock Data'!$AM$4:$AM$1051,'Stock Data'!$AN$4:$AN$1051)</f>
        <v>94.1</v>
      </c>
    </row>
    <row r="364" spans="3:4" ht="15" customHeight="1" x14ac:dyDescent="0.25">
      <c r="C364" s="593">
        <f>+'Stock Data'!AM175</f>
        <v>45774</v>
      </c>
      <c r="D364" s="568">
        <f>_xlfn.XLOOKUP(C364,'Stock Data'!$AM$4:$AM$1051,'Stock Data'!$AN$4:$AN$1051)</f>
        <v>94.1</v>
      </c>
    </row>
    <row r="365" spans="3:4" ht="15" customHeight="1" x14ac:dyDescent="0.25">
      <c r="C365" s="593">
        <f>+'Stock Data'!AM176</f>
        <v>45773</v>
      </c>
      <c r="D365" s="568">
        <f>_xlfn.XLOOKUP(C365,'Stock Data'!$AM$4:$AM$1051,'Stock Data'!$AN$4:$AN$1051)</f>
        <v>94.99</v>
      </c>
    </row>
    <row r="366" spans="3:4" ht="15" customHeight="1" x14ac:dyDescent="0.25">
      <c r="C366" s="593">
        <f>+'Stock Data'!AM177</f>
        <v>45772</v>
      </c>
      <c r="D366" s="568">
        <f>_xlfn.XLOOKUP(C366,'Stock Data'!$AM$4:$AM$1051,'Stock Data'!$AN$4:$AN$1051)</f>
        <v>96.15</v>
      </c>
    </row>
    <row r="367" spans="3:4" ht="15" customHeight="1" x14ac:dyDescent="0.25">
      <c r="C367" s="593">
        <f>+'Stock Data'!AM178</f>
        <v>45771</v>
      </c>
      <c r="D367" s="568">
        <f>_xlfn.XLOOKUP(C367,'Stock Data'!$AM$4:$AM$1051,'Stock Data'!$AN$4:$AN$1051)</f>
        <v>95.37</v>
      </c>
    </row>
    <row r="368" spans="3:4" ht="15" customHeight="1" x14ac:dyDescent="0.25">
      <c r="C368" s="593">
        <f>+'Stock Data'!AM179</f>
        <v>45770</v>
      </c>
      <c r="D368" s="568">
        <f>_xlfn.XLOOKUP(C368,'Stock Data'!$AM$4:$AM$1051,'Stock Data'!$AN$4:$AN$1051)</f>
        <v>95.59</v>
      </c>
    </row>
    <row r="369" spans="3:4" ht="15" customHeight="1" x14ac:dyDescent="0.25">
      <c r="C369" s="593">
        <f>+'Stock Data'!AM180</f>
        <v>45769</v>
      </c>
      <c r="D369" s="568">
        <f>_xlfn.XLOOKUP(C369,'Stock Data'!$AM$4:$AM$1051,'Stock Data'!$AN$4:$AN$1051)</f>
        <v>95.08</v>
      </c>
    </row>
    <row r="370" spans="3:4" ht="15" customHeight="1" x14ac:dyDescent="0.25">
      <c r="C370" s="593">
        <f>+'Stock Data'!AM181</f>
        <v>45768</v>
      </c>
      <c r="D370" s="568">
        <f>_xlfn.XLOOKUP(C370,'Stock Data'!$AM$4:$AM$1051,'Stock Data'!$AN$4:$AN$1051)</f>
        <v>95.08</v>
      </c>
    </row>
    <row r="371" spans="3:4" ht="15" customHeight="1" x14ac:dyDescent="0.25">
      <c r="C371" s="593">
        <f>+'Stock Data'!AM182</f>
        <v>45767</v>
      </c>
      <c r="D371" s="568">
        <f>_xlfn.XLOOKUP(C371,'Stock Data'!$AM$4:$AM$1051,'Stock Data'!$AN$4:$AN$1051)</f>
        <v>95.08</v>
      </c>
    </row>
    <row r="372" spans="3:4" ht="15" customHeight="1" x14ac:dyDescent="0.25">
      <c r="C372" s="593">
        <f>+'Stock Data'!AM183</f>
        <v>45766</v>
      </c>
      <c r="D372" s="568">
        <f>_xlfn.XLOOKUP(C372,'Stock Data'!$AM$4:$AM$1051,'Stock Data'!$AN$4:$AN$1051)</f>
        <v>93.12</v>
      </c>
    </row>
    <row r="373" spans="3:4" ht="15" customHeight="1" x14ac:dyDescent="0.25">
      <c r="C373" s="593">
        <f>+'Stock Data'!AM184</f>
        <v>45765</v>
      </c>
      <c r="D373" s="568">
        <f>_xlfn.XLOOKUP(C373,'Stock Data'!$AM$4:$AM$1051,'Stock Data'!$AN$4:$AN$1051)</f>
        <v>94.61</v>
      </c>
    </row>
    <row r="374" spans="3:4" ht="15" customHeight="1" x14ac:dyDescent="0.25">
      <c r="C374" s="593">
        <f>+'Stock Data'!AM185</f>
        <v>45764</v>
      </c>
      <c r="D374" s="568">
        <f>_xlfn.XLOOKUP(C374,'Stock Data'!$AM$4:$AM$1051,'Stock Data'!$AN$4:$AN$1051)</f>
        <v>94.38</v>
      </c>
    </row>
    <row r="375" spans="3:4" ht="15" customHeight="1" x14ac:dyDescent="0.25">
      <c r="C375" s="593">
        <f>+'Stock Data'!AM186</f>
        <v>45763</v>
      </c>
      <c r="D375" s="568">
        <f>_xlfn.XLOOKUP(C375,'Stock Data'!$AM$4:$AM$1051,'Stock Data'!$AN$4:$AN$1051)</f>
        <v>96.01</v>
      </c>
    </row>
    <row r="376" spans="3:4" ht="15" customHeight="1" x14ac:dyDescent="0.25">
      <c r="C376" s="593">
        <f>+'Stock Data'!AM187</f>
        <v>45762</v>
      </c>
      <c r="D376" s="568">
        <f>_xlfn.XLOOKUP(C376,'Stock Data'!$AM$4:$AM$1051,'Stock Data'!$AN$4:$AN$1051)</f>
        <v>97.05</v>
      </c>
    </row>
    <row r="377" spans="3:4" ht="15" customHeight="1" x14ac:dyDescent="0.25">
      <c r="C377" s="593">
        <f>+'Stock Data'!AM188</f>
        <v>45761</v>
      </c>
      <c r="D377" s="568">
        <f>_xlfn.XLOOKUP(C377,'Stock Data'!$AM$4:$AM$1051,'Stock Data'!$AN$4:$AN$1051)</f>
        <v>97.05</v>
      </c>
    </row>
    <row r="378" spans="3:4" ht="15" customHeight="1" x14ac:dyDescent="0.25">
      <c r="C378" s="593">
        <f>+'Stock Data'!AM189</f>
        <v>45760</v>
      </c>
      <c r="D378" s="568">
        <f>_xlfn.XLOOKUP(C378,'Stock Data'!$AM$4:$AM$1051,'Stock Data'!$AN$4:$AN$1051)</f>
        <v>97.05</v>
      </c>
    </row>
    <row r="379" spans="3:4" ht="15" customHeight="1" x14ac:dyDescent="0.25">
      <c r="C379" s="593">
        <f>+'Stock Data'!AM190</f>
        <v>45759</v>
      </c>
      <c r="D379" s="568">
        <f>_xlfn.XLOOKUP(C379,'Stock Data'!$AM$4:$AM$1051,'Stock Data'!$AN$4:$AN$1051)</f>
        <v>96.73</v>
      </c>
    </row>
    <row r="380" spans="3:4" ht="15" customHeight="1" x14ac:dyDescent="0.25">
      <c r="C380" s="593">
        <f>+'Stock Data'!AM191</f>
        <v>45758</v>
      </c>
      <c r="D380" s="568">
        <f>_xlfn.XLOOKUP(C380,'Stock Data'!$AM$4:$AM$1051,'Stock Data'!$AN$4:$AN$1051)</f>
        <v>96</v>
      </c>
    </row>
    <row r="381" spans="3:4" ht="15" customHeight="1" x14ac:dyDescent="0.25">
      <c r="C381" s="593">
        <f>+'Stock Data'!AM192</f>
        <v>45757</v>
      </c>
      <c r="D381" s="568">
        <f>_xlfn.XLOOKUP(C381,'Stock Data'!$AM$4:$AM$1051,'Stock Data'!$AN$4:$AN$1051)</f>
        <v>94.08</v>
      </c>
    </row>
    <row r="382" spans="3:4" ht="15" customHeight="1" x14ac:dyDescent="0.25">
      <c r="C382" s="593">
        <f>+'Stock Data'!AM193</f>
        <v>45756</v>
      </c>
      <c r="D382" s="568">
        <f>_xlfn.XLOOKUP(C382,'Stock Data'!$AM$4:$AM$1051,'Stock Data'!$AN$4:$AN$1051)</f>
        <v>97.17</v>
      </c>
    </row>
    <row r="383" spans="3:4" ht="15" customHeight="1" x14ac:dyDescent="0.25">
      <c r="C383" s="593">
        <f>+'Stock Data'!AM194</f>
        <v>45755</v>
      </c>
      <c r="D383" s="568">
        <f>_xlfn.XLOOKUP(C383,'Stock Data'!$AM$4:$AM$1051,'Stock Data'!$AN$4:$AN$1051)</f>
        <v>100.05</v>
      </c>
    </row>
    <row r="384" spans="3:4" ht="15" customHeight="1" x14ac:dyDescent="0.25">
      <c r="C384" s="593">
        <f>+'Stock Data'!AM195</f>
        <v>45754</v>
      </c>
      <c r="D384" s="568">
        <f>_xlfn.XLOOKUP(C384,'Stock Data'!$AM$4:$AM$1051,'Stock Data'!$AN$4:$AN$1051)</f>
        <v>100.05</v>
      </c>
    </row>
    <row r="385" spans="3:4" ht="15" customHeight="1" x14ac:dyDescent="0.25">
      <c r="C385" s="593">
        <f>+'Stock Data'!AM196</f>
        <v>45753</v>
      </c>
      <c r="D385" s="568">
        <f>_xlfn.XLOOKUP(C385,'Stock Data'!$AM$4:$AM$1051,'Stock Data'!$AN$4:$AN$1051)</f>
        <v>100.05</v>
      </c>
    </row>
    <row r="386" spans="3:4" ht="15" customHeight="1" x14ac:dyDescent="0.25">
      <c r="C386" s="593">
        <f>+'Stock Data'!AM197</f>
        <v>45752</v>
      </c>
      <c r="D386" s="568">
        <f>_xlfn.XLOOKUP(C386,'Stock Data'!$AM$4:$AM$1051,'Stock Data'!$AN$4:$AN$1051)</f>
        <v>97.26</v>
      </c>
    </row>
    <row r="387" spans="3:4" ht="15" customHeight="1" x14ac:dyDescent="0.25">
      <c r="C387" s="593">
        <f>+'Stock Data'!AM198</f>
        <v>45751</v>
      </c>
      <c r="D387" s="568">
        <f>_xlfn.XLOOKUP(C387,'Stock Data'!$AM$4:$AM$1051,'Stock Data'!$AN$4:$AN$1051)</f>
        <v>98.39</v>
      </c>
    </row>
    <row r="388" spans="3:4" ht="15" customHeight="1" x14ac:dyDescent="0.25">
      <c r="C388" s="593">
        <f>+'Stock Data'!AM199</f>
        <v>45750</v>
      </c>
      <c r="D388" s="568">
        <f>_xlfn.XLOOKUP(C388,'Stock Data'!$AM$4:$AM$1051,'Stock Data'!$AN$4:$AN$1051)</f>
        <v>97.52</v>
      </c>
    </row>
    <row r="389" spans="3:4" ht="15" customHeight="1" x14ac:dyDescent="0.25">
      <c r="C389" s="593">
        <f>+'Stock Data'!AM200</f>
        <v>45749</v>
      </c>
      <c r="D389" s="568">
        <f>_xlfn.XLOOKUP(C389,'Stock Data'!$AM$4:$AM$1051,'Stock Data'!$AN$4:$AN$1051)</f>
        <v>95.69</v>
      </c>
    </row>
    <row r="390" spans="3:4" ht="15" customHeight="1" x14ac:dyDescent="0.25">
      <c r="C390" s="593">
        <f>+'Stock Data'!AM201</f>
        <v>45748</v>
      </c>
      <c r="D390" s="568">
        <f>_xlfn.XLOOKUP(C390,'Stock Data'!$AM$4:$AM$1051,'Stock Data'!$AN$4:$AN$1051)</f>
        <v>97.52</v>
      </c>
    </row>
    <row r="391" spans="3:4" ht="15" customHeight="1" x14ac:dyDescent="0.25">
      <c r="C391" s="593">
        <f>+'Stock Data'!AM202</f>
        <v>45747</v>
      </c>
      <c r="D391" s="568">
        <f>_xlfn.XLOOKUP(C391,'Stock Data'!$AM$4:$AM$1051,'Stock Data'!$AN$4:$AN$1051)</f>
        <v>97.52</v>
      </c>
    </row>
    <row r="392" spans="3:4" ht="15" customHeight="1" x14ac:dyDescent="0.25">
      <c r="C392" s="593">
        <f>+'Stock Data'!AM203</f>
        <v>45746</v>
      </c>
      <c r="D392" s="568">
        <f>_xlfn.XLOOKUP(C392,'Stock Data'!$AM$4:$AM$1051,'Stock Data'!$AN$4:$AN$1051)</f>
        <v>97.52</v>
      </c>
    </row>
    <row r="393" spans="3:4" ht="15" customHeight="1" x14ac:dyDescent="0.25">
      <c r="C393" s="593">
        <f>+'Stock Data'!AM204</f>
        <v>45745</v>
      </c>
      <c r="D393" s="568">
        <f>_xlfn.XLOOKUP(C393,'Stock Data'!$AM$4:$AM$1051,'Stock Data'!$AN$4:$AN$1051)</f>
        <v>99.7</v>
      </c>
    </row>
    <row r="394" spans="3:4" ht="15" customHeight="1" x14ac:dyDescent="0.25">
      <c r="C394" s="593">
        <f>+'Stock Data'!AM205</f>
        <v>45744</v>
      </c>
      <c r="D394" s="568">
        <f>_xlfn.XLOOKUP(C394,'Stock Data'!$AM$4:$AM$1051,'Stock Data'!$AN$4:$AN$1051)</f>
        <v>101</v>
      </c>
    </row>
    <row r="395" spans="3:4" ht="15" customHeight="1" x14ac:dyDescent="0.25">
      <c r="C395" s="593">
        <f>+'Stock Data'!AM206</f>
        <v>45743</v>
      </c>
      <c r="D395" s="568">
        <f>_xlfn.XLOOKUP(C395,'Stock Data'!$AM$4:$AM$1051,'Stock Data'!$AN$4:$AN$1051)</f>
        <v>101.6</v>
      </c>
    </row>
    <row r="396" spans="3:4" ht="15" customHeight="1" x14ac:dyDescent="0.25">
      <c r="C396" s="593">
        <f>+'Stock Data'!AM207</f>
        <v>45742</v>
      </c>
      <c r="D396" s="568">
        <f>_xlfn.XLOOKUP(C396,'Stock Data'!$AM$4:$AM$1051,'Stock Data'!$AN$4:$AN$1051)</f>
        <v>100.41</v>
      </c>
    </row>
    <row r="397" spans="3:4" ht="15" customHeight="1" x14ac:dyDescent="0.25">
      <c r="C397" s="593">
        <f>+'Stock Data'!AM208</f>
        <v>45741</v>
      </c>
      <c r="D397" s="568">
        <f>_xlfn.XLOOKUP(C397,'Stock Data'!$AM$4:$AM$1051,'Stock Data'!$AN$4:$AN$1051)</f>
        <v>100.41</v>
      </c>
    </row>
    <row r="398" spans="3:4" ht="15" customHeight="1" x14ac:dyDescent="0.25">
      <c r="C398" s="593">
        <f>+'Stock Data'!AM209</f>
        <v>45740</v>
      </c>
      <c r="D398" s="568">
        <f>_xlfn.XLOOKUP(C398,'Stock Data'!$AM$4:$AM$1051,'Stock Data'!$AN$4:$AN$1051)</f>
        <v>100.41</v>
      </c>
    </row>
    <row r="399" spans="3:4" ht="15" customHeight="1" x14ac:dyDescent="0.25">
      <c r="C399" s="593">
        <f>+'Stock Data'!AM210</f>
        <v>45739</v>
      </c>
      <c r="D399" s="568">
        <f>_xlfn.XLOOKUP(C399,'Stock Data'!$AM$4:$AM$1051,'Stock Data'!$AN$4:$AN$1051)</f>
        <v>100.41</v>
      </c>
    </row>
    <row r="400" spans="3:4" ht="15" customHeight="1" x14ac:dyDescent="0.25">
      <c r="C400" s="593">
        <f>+'Stock Data'!AM211</f>
        <v>45738</v>
      </c>
      <c r="D400" s="568">
        <f>_xlfn.XLOOKUP(C400,'Stock Data'!$AM$4:$AM$1051,'Stock Data'!$AN$4:$AN$1051)</f>
        <v>102.19</v>
      </c>
    </row>
    <row r="401" spans="3:4" ht="15" customHeight="1" x14ac:dyDescent="0.25">
      <c r="C401" s="593">
        <f>+'Stock Data'!AM212</f>
        <v>45737</v>
      </c>
      <c r="D401" s="568">
        <f>_xlfn.XLOOKUP(C401,'Stock Data'!$AM$4:$AM$1051,'Stock Data'!$AN$4:$AN$1051)</f>
        <v>103.79</v>
      </c>
    </row>
    <row r="402" spans="3:4" ht="15" customHeight="1" x14ac:dyDescent="0.25">
      <c r="C402" s="593">
        <f>+'Stock Data'!AM213</f>
        <v>45736</v>
      </c>
      <c r="D402" s="568">
        <f>_xlfn.XLOOKUP(C402,'Stock Data'!$AM$4:$AM$1051,'Stock Data'!$AN$4:$AN$1051)</f>
        <v>106.52</v>
      </c>
    </row>
    <row r="403" spans="3:4" ht="15" customHeight="1" x14ac:dyDescent="0.25">
      <c r="C403" s="593">
        <f>+'Stock Data'!AM214</f>
        <v>45735</v>
      </c>
      <c r="D403" s="568">
        <f>_xlfn.XLOOKUP(C403,'Stock Data'!$AM$4:$AM$1051,'Stock Data'!$AN$4:$AN$1051)</f>
        <v>107.99</v>
      </c>
    </row>
    <row r="404" spans="3:4" ht="15" customHeight="1" x14ac:dyDescent="0.25">
      <c r="C404" s="593">
        <f>+'Stock Data'!AM215</f>
        <v>45734</v>
      </c>
      <c r="D404" s="568">
        <f>_xlfn.XLOOKUP(C404,'Stock Data'!$AM$4:$AM$1051,'Stock Data'!$AN$4:$AN$1051)</f>
        <v>107.16</v>
      </c>
    </row>
    <row r="405" spans="3:4" ht="15" customHeight="1" x14ac:dyDescent="0.25">
      <c r="C405" s="593">
        <f>+'Stock Data'!AM216</f>
        <v>45733</v>
      </c>
      <c r="D405" s="568">
        <f>_xlfn.XLOOKUP(C405,'Stock Data'!$AM$4:$AM$1051,'Stock Data'!$AN$4:$AN$1051)</f>
        <v>107.16</v>
      </c>
    </row>
    <row r="406" spans="3:4" ht="15" customHeight="1" x14ac:dyDescent="0.25">
      <c r="C406" s="593">
        <f>+'Stock Data'!AM217</f>
        <v>45732</v>
      </c>
      <c r="D406" s="568">
        <f>_xlfn.XLOOKUP(C406,'Stock Data'!$AM$4:$AM$1051,'Stock Data'!$AN$4:$AN$1051)</f>
        <v>107.16</v>
      </c>
    </row>
    <row r="407" spans="3:4" ht="15" customHeight="1" x14ac:dyDescent="0.25">
      <c r="C407" s="593">
        <f>+'Stock Data'!AM218</f>
        <v>45731</v>
      </c>
      <c r="D407" s="568">
        <f>_xlfn.XLOOKUP(C407,'Stock Data'!$AM$4:$AM$1051,'Stock Data'!$AN$4:$AN$1051)</f>
        <v>108.27</v>
      </c>
    </row>
    <row r="408" spans="3:4" ht="15" customHeight="1" x14ac:dyDescent="0.25">
      <c r="C408" s="593">
        <f>+'Stock Data'!AM219</f>
        <v>45730</v>
      </c>
      <c r="D408" s="568">
        <f>_xlfn.XLOOKUP(C408,'Stock Data'!$AM$4:$AM$1051,'Stock Data'!$AN$4:$AN$1051)</f>
        <v>104.93</v>
      </c>
    </row>
    <row r="409" spans="3:4" ht="15" customHeight="1" x14ac:dyDescent="0.25">
      <c r="C409" s="593">
        <f>+'Stock Data'!AM220</f>
        <v>45729</v>
      </c>
      <c r="D409" s="568">
        <f>_xlfn.XLOOKUP(C409,'Stock Data'!$AM$4:$AM$1051,'Stock Data'!$AN$4:$AN$1051)</f>
        <v>104.18</v>
      </c>
    </row>
    <row r="410" spans="3:4" ht="15" customHeight="1" x14ac:dyDescent="0.25">
      <c r="C410" s="593">
        <f>+'Stock Data'!AM221</f>
        <v>45728</v>
      </c>
      <c r="D410" s="568">
        <f>_xlfn.XLOOKUP(C410,'Stock Data'!$AM$4:$AM$1051,'Stock Data'!$AN$4:$AN$1051)</f>
        <v>103.85</v>
      </c>
    </row>
    <row r="411" spans="3:4" ht="15" customHeight="1" x14ac:dyDescent="0.25">
      <c r="C411" s="593">
        <f>+'Stock Data'!AM222</f>
        <v>45727</v>
      </c>
      <c r="D411" s="568">
        <f>_xlfn.XLOOKUP(C411,'Stock Data'!$AM$4:$AM$1051,'Stock Data'!$AN$4:$AN$1051)</f>
        <v>105.44</v>
      </c>
    </row>
    <row r="412" spans="3:4" ht="15" customHeight="1" x14ac:dyDescent="0.25">
      <c r="C412" s="593">
        <f>+'Stock Data'!AM223</f>
        <v>45726</v>
      </c>
      <c r="D412" s="568">
        <f>_xlfn.XLOOKUP(C412,'Stock Data'!$AM$4:$AM$1051,'Stock Data'!$AN$4:$AN$1051)</f>
        <v>105.44</v>
      </c>
    </row>
    <row r="413" spans="3:4" ht="15" customHeight="1" x14ac:dyDescent="0.25">
      <c r="C413" s="593">
        <f>+'Stock Data'!AM224</f>
        <v>45725</v>
      </c>
      <c r="D413" s="568">
        <f>_xlfn.XLOOKUP(C413,'Stock Data'!$AM$4:$AM$1051,'Stock Data'!$AN$4:$AN$1051)</f>
        <v>105.44</v>
      </c>
    </row>
    <row r="414" spans="3:4" ht="15" customHeight="1" x14ac:dyDescent="0.25">
      <c r="C414" s="593">
        <f>+'Stock Data'!AM225</f>
        <v>45724</v>
      </c>
      <c r="D414" s="568">
        <f>_xlfn.XLOOKUP(C414,'Stock Data'!$AM$4:$AM$1051,'Stock Data'!$AN$4:$AN$1051)</f>
        <v>105.55</v>
      </c>
    </row>
    <row r="415" spans="3:4" ht="15" customHeight="1" x14ac:dyDescent="0.25">
      <c r="C415" s="593">
        <f>+'Stock Data'!AM226</f>
        <v>45723</v>
      </c>
      <c r="D415" s="568">
        <f>_xlfn.XLOOKUP(C415,'Stock Data'!$AM$4:$AM$1051,'Stock Data'!$AN$4:$AN$1051)</f>
        <v>104.6</v>
      </c>
    </row>
    <row r="416" spans="3:4" ht="15" customHeight="1" x14ac:dyDescent="0.25">
      <c r="C416" s="593">
        <f>+'Stock Data'!AM227</f>
        <v>45722</v>
      </c>
      <c r="D416" s="568">
        <f>_xlfn.XLOOKUP(C416,'Stock Data'!$AM$4:$AM$1051,'Stock Data'!$AN$4:$AN$1051)</f>
        <v>105.42</v>
      </c>
    </row>
    <row r="417" spans="3:4" ht="15" customHeight="1" x14ac:dyDescent="0.25">
      <c r="C417" s="593">
        <f>+'Stock Data'!AM228</f>
        <v>45721</v>
      </c>
      <c r="D417" s="568">
        <f>_xlfn.XLOOKUP(C417,'Stock Data'!$AM$4:$AM$1051,'Stock Data'!$AN$4:$AN$1051)</f>
        <v>106.69</v>
      </c>
    </row>
    <row r="418" spans="3:4" ht="15" customHeight="1" x14ac:dyDescent="0.25">
      <c r="C418" s="593">
        <f>+'Stock Data'!AM229</f>
        <v>45720</v>
      </c>
      <c r="D418" s="568">
        <f>_xlfn.XLOOKUP(C418,'Stock Data'!$AM$4:$AM$1051,'Stock Data'!$AN$4:$AN$1051)</f>
        <v>109.15</v>
      </c>
    </row>
    <row r="419" spans="3:4" ht="15" customHeight="1" x14ac:dyDescent="0.25">
      <c r="C419" s="593">
        <f>+'Stock Data'!AM230</f>
        <v>45719</v>
      </c>
      <c r="D419" s="568">
        <f>_xlfn.XLOOKUP(C419,'Stock Data'!$AM$4:$AM$1051,'Stock Data'!$AN$4:$AN$1051)</f>
        <v>109.15</v>
      </c>
    </row>
    <row r="420" spans="3:4" ht="15" customHeight="1" x14ac:dyDescent="0.25">
      <c r="C420" s="593">
        <f>+'Stock Data'!AM231</f>
        <v>45718</v>
      </c>
      <c r="D420" s="568">
        <f>_xlfn.XLOOKUP(C420,'Stock Data'!$AM$4:$AM$1051,'Stock Data'!$AN$4:$AN$1051)</f>
        <v>109.15</v>
      </c>
    </row>
    <row r="421" spans="3:4" ht="15" customHeight="1" x14ac:dyDescent="0.25">
      <c r="C421" s="593">
        <f>+'Stock Data'!AM232</f>
        <v>45717</v>
      </c>
      <c r="D421" s="568">
        <f>_xlfn.XLOOKUP(C421,'Stock Data'!$AM$4:$AM$1051,'Stock Data'!$AN$4:$AN$1051)</f>
        <v>108.33</v>
      </c>
    </row>
    <row r="422" spans="3:4" ht="15" customHeight="1" x14ac:dyDescent="0.25">
      <c r="C422" s="593">
        <f>+'Stock Data'!AM233</f>
        <v>45716</v>
      </c>
      <c r="D422" s="568">
        <f>_xlfn.XLOOKUP(C422,'Stock Data'!$AM$4:$AM$1051,'Stock Data'!$AN$4:$AN$1051)</f>
        <v>110.6</v>
      </c>
    </row>
    <row r="423" spans="3:4" ht="15" customHeight="1" x14ac:dyDescent="0.25">
      <c r="C423" s="593">
        <f>+'Stock Data'!AM234</f>
        <v>45715</v>
      </c>
      <c r="D423" s="568">
        <f>_xlfn.XLOOKUP(C423,'Stock Data'!$AM$4:$AM$1051,'Stock Data'!$AN$4:$AN$1051)</f>
        <v>111.05</v>
      </c>
    </row>
    <row r="424" spans="3:4" ht="15" customHeight="1" x14ac:dyDescent="0.25">
      <c r="C424" s="593">
        <f>+'Stock Data'!AM235</f>
        <v>45714</v>
      </c>
      <c r="D424" s="568">
        <f>_xlfn.XLOOKUP(C424,'Stock Data'!$AM$4:$AM$1051,'Stock Data'!$AN$4:$AN$1051)</f>
        <v>108.93</v>
      </c>
    </row>
    <row r="425" spans="3:4" ht="15" customHeight="1" x14ac:dyDescent="0.25">
      <c r="C425" s="593">
        <f>+'Stock Data'!AM236</f>
        <v>45713</v>
      </c>
      <c r="D425" s="568">
        <f>_xlfn.XLOOKUP(C425,'Stock Data'!$AM$4:$AM$1051,'Stock Data'!$AN$4:$AN$1051)</f>
        <v>108.93</v>
      </c>
    </row>
    <row r="426" spans="3:4" ht="15" customHeight="1" x14ac:dyDescent="0.25">
      <c r="C426" s="593">
        <f>+'Stock Data'!AM237</f>
        <v>45712</v>
      </c>
      <c r="D426" s="568">
        <f>_xlfn.XLOOKUP(C426,'Stock Data'!$AM$4:$AM$1051,'Stock Data'!$AN$4:$AN$1051)</f>
        <v>108.93</v>
      </c>
    </row>
    <row r="427" spans="3:4" ht="15" customHeight="1" x14ac:dyDescent="0.25">
      <c r="C427" s="593">
        <f>+'Stock Data'!AM238</f>
        <v>45711</v>
      </c>
      <c r="D427" s="568">
        <f>_xlfn.XLOOKUP(C427,'Stock Data'!$AM$4:$AM$1051,'Stock Data'!$AN$4:$AN$1051)</f>
        <v>108.93</v>
      </c>
    </row>
    <row r="428" spans="3:4" ht="15" customHeight="1" x14ac:dyDescent="0.25">
      <c r="C428" s="593">
        <f>+'Stock Data'!AM239</f>
        <v>45710</v>
      </c>
      <c r="D428" s="568">
        <f>_xlfn.XLOOKUP(C428,'Stock Data'!$AM$4:$AM$1051,'Stock Data'!$AN$4:$AN$1051)</f>
        <v>107.85</v>
      </c>
    </row>
    <row r="429" spans="3:4" ht="15" customHeight="1" x14ac:dyDescent="0.25">
      <c r="C429" s="593">
        <f>+'Stock Data'!AM240</f>
        <v>45709</v>
      </c>
      <c r="D429" s="568">
        <f>_xlfn.XLOOKUP(C429,'Stock Data'!$AM$4:$AM$1051,'Stock Data'!$AN$4:$AN$1051)</f>
        <v>109.25</v>
      </c>
    </row>
    <row r="430" spans="3:4" ht="15" customHeight="1" x14ac:dyDescent="0.25">
      <c r="C430" s="593">
        <f>+'Stock Data'!AM241</f>
        <v>45708</v>
      </c>
      <c r="D430" s="568">
        <f>_xlfn.XLOOKUP(C430,'Stock Data'!$AM$4:$AM$1051,'Stock Data'!$AN$4:$AN$1051)</f>
        <v>109.89</v>
      </c>
    </row>
    <row r="431" spans="3:4" ht="15" customHeight="1" x14ac:dyDescent="0.25">
      <c r="C431" s="593">
        <f>+'Stock Data'!AM242</f>
        <v>45707</v>
      </c>
      <c r="D431" s="568">
        <f>_xlfn.XLOOKUP(C431,'Stock Data'!$AM$4:$AM$1051,'Stock Data'!$AN$4:$AN$1051)</f>
        <v>108.47</v>
      </c>
    </row>
    <row r="432" spans="3:4" ht="15" customHeight="1" x14ac:dyDescent="0.25">
      <c r="C432" s="593">
        <f>+'Stock Data'!AM243</f>
        <v>45706</v>
      </c>
      <c r="D432" s="568">
        <f>_xlfn.XLOOKUP(C432,'Stock Data'!$AM$4:$AM$1051,'Stock Data'!$AN$4:$AN$1051)</f>
        <v>105.87</v>
      </c>
    </row>
    <row r="433" spans="3:4" ht="15" customHeight="1" x14ac:dyDescent="0.25">
      <c r="C433" s="593">
        <f>+'Stock Data'!AM244</f>
        <v>45705</v>
      </c>
      <c r="D433" s="568">
        <f>_xlfn.XLOOKUP(C433,'Stock Data'!$AM$4:$AM$1051,'Stock Data'!$AN$4:$AN$1051)</f>
        <v>105.87</v>
      </c>
    </row>
    <row r="434" spans="3:4" ht="15" customHeight="1" x14ac:dyDescent="0.25">
      <c r="C434" s="593">
        <f>+'Stock Data'!AM245</f>
        <v>45704</v>
      </c>
      <c r="D434" s="568">
        <f>_xlfn.XLOOKUP(C434,'Stock Data'!$AM$4:$AM$1051,'Stock Data'!$AN$4:$AN$1051)</f>
        <v>105.87</v>
      </c>
    </row>
    <row r="435" spans="3:4" ht="15" customHeight="1" x14ac:dyDescent="0.25">
      <c r="C435" s="593">
        <f>+'Stock Data'!AM246</f>
        <v>45703</v>
      </c>
      <c r="D435" s="568">
        <f>_xlfn.XLOOKUP(C435,'Stock Data'!$AM$4:$AM$1051,'Stock Data'!$AN$4:$AN$1051)</f>
        <v>107.32</v>
      </c>
    </row>
    <row r="436" spans="3:4" ht="15" customHeight="1" x14ac:dyDescent="0.25">
      <c r="C436" s="593">
        <f>+'Stock Data'!AM247</f>
        <v>45702</v>
      </c>
      <c r="D436" s="568">
        <f>_xlfn.XLOOKUP(C436,'Stock Data'!$AM$4:$AM$1051,'Stock Data'!$AN$4:$AN$1051)</f>
        <v>107.32</v>
      </c>
    </row>
    <row r="437" spans="3:4" ht="15" customHeight="1" x14ac:dyDescent="0.25">
      <c r="C437" s="593">
        <f>+'Stock Data'!AM248</f>
        <v>45701</v>
      </c>
      <c r="D437" s="568">
        <f>_xlfn.XLOOKUP(C437,'Stock Data'!$AM$4:$AM$1051,'Stock Data'!$AN$4:$AN$1051)</f>
        <v>107.14</v>
      </c>
    </row>
    <row r="438" spans="3:4" ht="15" customHeight="1" x14ac:dyDescent="0.25">
      <c r="C438" s="593">
        <f>+'Stock Data'!AM249</f>
        <v>45700</v>
      </c>
      <c r="D438" s="568">
        <f>_xlfn.XLOOKUP(C438,'Stock Data'!$AM$4:$AM$1051,'Stock Data'!$AN$4:$AN$1051)</f>
        <v>107.24</v>
      </c>
    </row>
    <row r="439" spans="3:4" ht="15" customHeight="1" x14ac:dyDescent="0.25">
      <c r="C439" s="593">
        <f>+'Stock Data'!AM250</f>
        <v>45699</v>
      </c>
      <c r="D439" s="568">
        <f>_xlfn.XLOOKUP(C439,'Stock Data'!$AM$4:$AM$1051,'Stock Data'!$AN$4:$AN$1051)</f>
        <v>107.75</v>
      </c>
    </row>
    <row r="440" spans="3:4" ht="15" customHeight="1" x14ac:dyDescent="0.25">
      <c r="C440" s="593">
        <f>+'Stock Data'!AM251</f>
        <v>45698</v>
      </c>
      <c r="D440" s="568">
        <f>_xlfn.XLOOKUP(C440,'Stock Data'!$AM$4:$AM$1051,'Stock Data'!$AN$4:$AN$1051)</f>
        <v>107.75</v>
      </c>
    </row>
    <row r="441" spans="3:4" ht="15" customHeight="1" x14ac:dyDescent="0.25">
      <c r="C441" s="593">
        <f>+'Stock Data'!AM252</f>
        <v>45697</v>
      </c>
      <c r="D441" s="568">
        <f>_xlfn.XLOOKUP(C441,'Stock Data'!$AM$4:$AM$1051,'Stock Data'!$AN$4:$AN$1051)</f>
        <v>107.75</v>
      </c>
    </row>
    <row r="442" spans="3:4" ht="15" customHeight="1" x14ac:dyDescent="0.25">
      <c r="C442" s="593">
        <f>+'Stock Data'!AM253</f>
        <v>45696</v>
      </c>
      <c r="D442" s="568">
        <f>_xlfn.XLOOKUP(C442,'Stock Data'!$AM$4:$AM$1051,'Stock Data'!$AN$4:$AN$1051)</f>
        <v>106.3</v>
      </c>
    </row>
    <row r="443" spans="3:4" ht="15" customHeight="1" x14ac:dyDescent="0.25">
      <c r="C443" s="593">
        <f>+'Stock Data'!AM254</f>
        <v>45695</v>
      </c>
      <c r="D443" s="568">
        <f>_xlfn.XLOOKUP(C443,'Stock Data'!$AM$4:$AM$1051,'Stock Data'!$AN$4:$AN$1051)</f>
        <v>106.82</v>
      </c>
    </row>
    <row r="444" spans="3:4" ht="15" customHeight="1" x14ac:dyDescent="0.25">
      <c r="C444" s="593">
        <f>+'Stock Data'!AM255</f>
        <v>45694</v>
      </c>
      <c r="D444" s="568">
        <f>_xlfn.XLOOKUP(C444,'Stock Data'!$AM$4:$AM$1051,'Stock Data'!$AN$4:$AN$1051)</f>
        <v>106.82</v>
      </c>
    </row>
    <row r="445" spans="3:4" ht="15" customHeight="1" x14ac:dyDescent="0.25">
      <c r="C445" s="593">
        <f>+'Stock Data'!AM256</f>
        <v>45693</v>
      </c>
      <c r="D445" s="568">
        <f>_xlfn.XLOOKUP(C445,'Stock Data'!$AM$4:$AM$1051,'Stock Data'!$AN$4:$AN$1051)</f>
        <v>107.05</v>
      </c>
    </row>
    <row r="446" spans="3:4" ht="15" customHeight="1" x14ac:dyDescent="0.25">
      <c r="C446" s="593">
        <f>+'Stock Data'!AM257</f>
        <v>45692</v>
      </c>
      <c r="D446" s="568">
        <f>_xlfn.XLOOKUP(C446,'Stock Data'!$AM$4:$AM$1051,'Stock Data'!$AN$4:$AN$1051)</f>
        <v>107.68</v>
      </c>
    </row>
    <row r="447" spans="3:4" ht="15" customHeight="1" x14ac:dyDescent="0.25">
      <c r="C447" s="593">
        <f>+'Stock Data'!AM258</f>
        <v>45691</v>
      </c>
      <c r="D447" s="568">
        <f>_xlfn.XLOOKUP(C447,'Stock Data'!$AM$4:$AM$1051,'Stock Data'!$AN$4:$AN$1051)</f>
        <v>107.68</v>
      </c>
    </row>
    <row r="448" spans="3:4" ht="15" customHeight="1" x14ac:dyDescent="0.25">
      <c r="C448" s="593">
        <f>+'Stock Data'!AM259</f>
        <v>45690</v>
      </c>
      <c r="D448" s="568">
        <f>_xlfn.XLOOKUP(C448,'Stock Data'!$AM$4:$AM$1051,'Stock Data'!$AN$4:$AN$1051)</f>
        <v>107.68</v>
      </c>
    </row>
    <row r="449" spans="3:4" ht="15" customHeight="1" x14ac:dyDescent="0.25">
      <c r="C449" s="593">
        <f>+'Stock Data'!AM260</f>
        <v>45689</v>
      </c>
      <c r="D449" s="568">
        <f>_xlfn.XLOOKUP(C449,'Stock Data'!$AM$4:$AM$1051,'Stock Data'!$AN$4:$AN$1051)</f>
        <v>108.59</v>
      </c>
    </row>
    <row r="450" spans="3:4" ht="15" customHeight="1" x14ac:dyDescent="0.25">
      <c r="C450" s="593">
        <f>+'Stock Data'!AM261</f>
        <v>45688</v>
      </c>
      <c r="D450" s="568">
        <f>_xlfn.XLOOKUP(C450,'Stock Data'!$AM$4:$AM$1051,'Stock Data'!$AN$4:$AN$1051)</f>
        <v>108.41</v>
      </c>
    </row>
    <row r="451" spans="3:4" ht="15" customHeight="1" x14ac:dyDescent="0.25">
      <c r="C451" s="593">
        <f>+'Stock Data'!AM262</f>
        <v>45687</v>
      </c>
      <c r="D451" s="568">
        <f>_xlfn.XLOOKUP(C451,'Stock Data'!$AM$4:$AM$1051,'Stock Data'!$AN$4:$AN$1051)</f>
        <v>108.41</v>
      </c>
    </row>
    <row r="452" spans="3:4" ht="15" customHeight="1" x14ac:dyDescent="0.25">
      <c r="C452" s="593">
        <f>+'Stock Data'!AM263</f>
        <v>45686</v>
      </c>
      <c r="D452" s="568">
        <f>_xlfn.XLOOKUP(C452,'Stock Data'!$AM$4:$AM$1051,'Stock Data'!$AN$4:$AN$1051)</f>
        <v>107.92</v>
      </c>
    </row>
    <row r="453" spans="3:4" ht="15" customHeight="1" x14ac:dyDescent="0.25">
      <c r="C453" s="593">
        <f>+'Stock Data'!AM264</f>
        <v>45685</v>
      </c>
      <c r="D453" s="568">
        <f>_xlfn.XLOOKUP(C453,'Stock Data'!$AM$4:$AM$1051,'Stock Data'!$AN$4:$AN$1051)</f>
        <v>107.99</v>
      </c>
    </row>
    <row r="454" spans="3:4" ht="15" customHeight="1" x14ac:dyDescent="0.25">
      <c r="C454" s="593">
        <f>+'Stock Data'!AM265</f>
        <v>45684</v>
      </c>
      <c r="D454" s="568">
        <f>_xlfn.XLOOKUP(C454,'Stock Data'!$AM$4:$AM$1051,'Stock Data'!$AN$4:$AN$1051)</f>
        <v>107.99</v>
      </c>
    </row>
    <row r="455" spans="3:4" ht="15" customHeight="1" x14ac:dyDescent="0.25">
      <c r="C455" s="593">
        <f>+'Stock Data'!AM266</f>
        <v>45683</v>
      </c>
      <c r="D455" s="568">
        <f>_xlfn.XLOOKUP(C455,'Stock Data'!$AM$4:$AM$1051,'Stock Data'!$AN$4:$AN$1051)</f>
        <v>107.99</v>
      </c>
    </row>
    <row r="456" spans="3:4" ht="15" customHeight="1" x14ac:dyDescent="0.25">
      <c r="C456" s="593">
        <f>+'Stock Data'!AM267</f>
        <v>45682</v>
      </c>
      <c r="D456" s="568">
        <f>_xlfn.XLOOKUP(C456,'Stock Data'!$AM$4:$AM$1051,'Stock Data'!$AN$4:$AN$1051)</f>
        <v>107.04</v>
      </c>
    </row>
    <row r="457" spans="3:4" ht="15" customHeight="1" x14ac:dyDescent="0.25">
      <c r="C457" s="593">
        <f>+'Stock Data'!AM268</f>
        <v>45681</v>
      </c>
      <c r="D457" s="568">
        <f>_xlfn.XLOOKUP(C457,'Stock Data'!$AM$4:$AM$1051,'Stock Data'!$AN$4:$AN$1051)</f>
        <v>106.93</v>
      </c>
    </row>
    <row r="458" spans="3:4" ht="15" customHeight="1" x14ac:dyDescent="0.25">
      <c r="C458" s="593">
        <f>+'Stock Data'!AM269</f>
        <v>45680</v>
      </c>
      <c r="D458" s="568">
        <f>_xlfn.XLOOKUP(C458,'Stock Data'!$AM$4:$AM$1051,'Stock Data'!$AN$4:$AN$1051)</f>
        <v>110.4</v>
      </c>
    </row>
    <row r="459" spans="3:4" ht="15" customHeight="1" x14ac:dyDescent="0.25">
      <c r="C459" s="593">
        <f>+'Stock Data'!AM270</f>
        <v>45679</v>
      </c>
      <c r="D459" s="568">
        <f>_xlfn.XLOOKUP(C459,'Stock Data'!$AM$4:$AM$1051,'Stock Data'!$AN$4:$AN$1051)</f>
        <v>110.69</v>
      </c>
    </row>
    <row r="460" spans="3:4" ht="15" customHeight="1" x14ac:dyDescent="0.25">
      <c r="C460" s="593">
        <f>+'Stock Data'!AM271</f>
        <v>45678</v>
      </c>
      <c r="D460" s="568">
        <f>_xlfn.XLOOKUP(C460,'Stock Data'!$AM$4:$AM$1051,'Stock Data'!$AN$4:$AN$1051)</f>
        <v>111.51</v>
      </c>
    </row>
    <row r="461" spans="3:4" ht="15" customHeight="1" x14ac:dyDescent="0.25">
      <c r="C461" s="593">
        <f>+'Stock Data'!AM272</f>
        <v>45677</v>
      </c>
      <c r="D461" s="568">
        <f>_xlfn.XLOOKUP(C461,'Stock Data'!$AM$4:$AM$1051,'Stock Data'!$AN$4:$AN$1051)</f>
        <v>111.51</v>
      </c>
    </row>
    <row r="462" spans="3:4" ht="15" customHeight="1" x14ac:dyDescent="0.25">
      <c r="C462" s="593">
        <f>+'Stock Data'!AM273</f>
        <v>45676</v>
      </c>
      <c r="D462" s="568">
        <f>_xlfn.XLOOKUP(C462,'Stock Data'!$AM$4:$AM$1051,'Stock Data'!$AN$4:$AN$1051)</f>
        <v>111.51</v>
      </c>
    </row>
    <row r="463" spans="3:4" ht="15" customHeight="1" x14ac:dyDescent="0.25">
      <c r="C463" s="593">
        <f>+'Stock Data'!AM274</f>
        <v>45675</v>
      </c>
      <c r="D463" s="568">
        <f>_xlfn.XLOOKUP(C463,'Stock Data'!$AM$4:$AM$1051,'Stock Data'!$AN$4:$AN$1051)</f>
        <v>112.03</v>
      </c>
    </row>
    <row r="464" spans="3:4" ht="15" customHeight="1" x14ac:dyDescent="0.25">
      <c r="C464" s="593">
        <f>+'Stock Data'!AM275</f>
        <v>45674</v>
      </c>
      <c r="D464" s="568">
        <f>_xlfn.XLOOKUP(C464,'Stock Data'!$AM$4:$AM$1051,'Stock Data'!$AN$4:$AN$1051)</f>
        <v>112.77</v>
      </c>
    </row>
    <row r="465" spans="3:4" ht="15" customHeight="1" x14ac:dyDescent="0.25">
      <c r="C465" s="593">
        <f>+'Stock Data'!AM276</f>
        <v>45673</v>
      </c>
      <c r="D465" s="568">
        <f>_xlfn.XLOOKUP(C465,'Stock Data'!$AM$4:$AM$1051,'Stock Data'!$AN$4:$AN$1051)</f>
        <v>112.47</v>
      </c>
    </row>
    <row r="466" spans="3:4" ht="15" customHeight="1" x14ac:dyDescent="0.25">
      <c r="C466" s="593">
        <f>+'Stock Data'!AM277</f>
        <v>45672</v>
      </c>
      <c r="D466" s="568">
        <f>_xlfn.XLOOKUP(C466,'Stock Data'!$AM$4:$AM$1051,'Stock Data'!$AN$4:$AN$1051)</f>
        <v>112.51</v>
      </c>
    </row>
    <row r="467" spans="3:4" ht="15" customHeight="1" x14ac:dyDescent="0.25">
      <c r="C467" s="593">
        <f>+'Stock Data'!AM278</f>
        <v>45671</v>
      </c>
      <c r="D467" s="568">
        <f>_xlfn.XLOOKUP(C467,'Stock Data'!$AM$4:$AM$1051,'Stock Data'!$AN$4:$AN$1051)</f>
        <v>113.75</v>
      </c>
    </row>
    <row r="468" spans="3:4" ht="15" customHeight="1" x14ac:dyDescent="0.25">
      <c r="C468" s="593">
        <f>+'Stock Data'!AM279</f>
        <v>45670</v>
      </c>
      <c r="D468" s="568">
        <f>_xlfn.XLOOKUP(C468,'Stock Data'!$AM$4:$AM$1051,'Stock Data'!$AN$4:$AN$1051)</f>
        <v>113.75</v>
      </c>
    </row>
    <row r="469" spans="3:4" ht="15" customHeight="1" x14ac:dyDescent="0.25">
      <c r="C469" s="593">
        <f>+'Stock Data'!AM280</f>
        <v>45669</v>
      </c>
      <c r="D469" s="568">
        <f>_xlfn.XLOOKUP(C469,'Stock Data'!$AM$4:$AM$1051,'Stock Data'!$AN$4:$AN$1051)</f>
        <v>113.75</v>
      </c>
    </row>
    <row r="470" spans="3:4" ht="15" customHeight="1" x14ac:dyDescent="0.25">
      <c r="C470" s="593">
        <f>+'Stock Data'!AM281</f>
        <v>45668</v>
      </c>
      <c r="D470" s="568">
        <f>_xlfn.XLOOKUP(C470,'Stock Data'!$AM$4:$AM$1051,'Stock Data'!$AN$4:$AN$1051)</f>
        <v>114.22</v>
      </c>
    </row>
    <row r="471" spans="3:4" ht="15" customHeight="1" x14ac:dyDescent="0.25">
      <c r="C471" s="593">
        <f>+'Stock Data'!AM282</f>
        <v>45667</v>
      </c>
      <c r="D471" s="568">
        <f>_xlfn.XLOOKUP(C471,'Stock Data'!$AM$4:$AM$1051,'Stock Data'!$AN$4:$AN$1051)</f>
        <v>114.93</v>
      </c>
    </row>
    <row r="472" spans="3:4" ht="15" customHeight="1" x14ac:dyDescent="0.25">
      <c r="C472" s="593">
        <f>+'Stock Data'!AM283</f>
        <v>45666</v>
      </c>
      <c r="D472" s="568">
        <f>_xlfn.XLOOKUP(C472,'Stock Data'!$AM$4:$AM$1051,'Stock Data'!$AN$4:$AN$1051)</f>
        <v>114.66</v>
      </c>
    </row>
    <row r="473" spans="3:4" ht="15" customHeight="1" x14ac:dyDescent="0.25">
      <c r="C473" s="593">
        <f>+'Stock Data'!AM284</f>
        <v>45665</v>
      </c>
      <c r="D473" s="568">
        <f>_xlfn.XLOOKUP(C473,'Stock Data'!$AM$4:$AM$1051,'Stock Data'!$AN$4:$AN$1051)</f>
        <v>115.94</v>
      </c>
    </row>
    <row r="474" spans="3:4" ht="15" customHeight="1" x14ac:dyDescent="0.25">
      <c r="C474" s="593">
        <f>+'Stock Data'!AM285</f>
        <v>45664</v>
      </c>
      <c r="D474" s="568">
        <f>_xlfn.XLOOKUP(C474,'Stock Data'!$AM$4:$AM$1051,'Stock Data'!$AN$4:$AN$1051)</f>
        <v>116.97</v>
      </c>
    </row>
    <row r="475" spans="3:4" ht="15" customHeight="1" x14ac:dyDescent="0.25">
      <c r="C475" s="593">
        <f>+'Stock Data'!AM286</f>
        <v>45663</v>
      </c>
      <c r="D475" s="568">
        <f>_xlfn.XLOOKUP(C475,'Stock Data'!$AM$4:$AM$1051,'Stock Data'!$AN$4:$AN$1051)</f>
        <v>116.97</v>
      </c>
    </row>
    <row r="476" spans="3:4" ht="15" customHeight="1" x14ac:dyDescent="0.25">
      <c r="C476" s="593">
        <f>+'Stock Data'!AM287</f>
        <v>45662</v>
      </c>
      <c r="D476" s="568">
        <f>_xlfn.XLOOKUP(C476,'Stock Data'!$AM$4:$AM$1051,'Stock Data'!$AN$4:$AN$1051)</f>
        <v>116.97</v>
      </c>
    </row>
    <row r="477" spans="3:4" ht="15" customHeight="1" x14ac:dyDescent="0.25">
      <c r="C477" s="593">
        <f>+'Stock Data'!AM288</f>
        <v>45661</v>
      </c>
      <c r="D477" s="568">
        <f>_xlfn.XLOOKUP(C477,'Stock Data'!$AM$4:$AM$1051,'Stock Data'!$AN$4:$AN$1051)</f>
        <v>116.74</v>
      </c>
    </row>
    <row r="478" spans="3:4" ht="15" customHeight="1" x14ac:dyDescent="0.25">
      <c r="C478" s="593">
        <f>+'Stock Data'!AM289</f>
        <v>45660</v>
      </c>
      <c r="D478" s="568">
        <f>_xlfn.XLOOKUP(C478,'Stock Data'!$AM$4:$AM$1051,'Stock Data'!$AN$4:$AN$1051)</f>
        <v>116.74</v>
      </c>
    </row>
    <row r="479" spans="3:4" ht="15" customHeight="1" x14ac:dyDescent="0.25">
      <c r="C479" s="593">
        <f>+'Stock Data'!AM290</f>
        <v>45659</v>
      </c>
      <c r="D479" s="568">
        <f>_xlfn.XLOOKUP(C479,'Stock Data'!$AM$4:$AM$1051,'Stock Data'!$AN$4:$AN$1051)</f>
        <v>116.74</v>
      </c>
    </row>
    <row r="480" spans="3:4" ht="15" customHeight="1" x14ac:dyDescent="0.25">
      <c r="C480" s="593">
        <f>+'Stock Data'!AM291</f>
        <v>45658</v>
      </c>
      <c r="D480" s="568">
        <f>_xlfn.XLOOKUP(C480,'Stock Data'!$AM$4:$AM$1051,'Stock Data'!$AN$4:$AN$1051)</f>
        <v>116.89</v>
      </c>
    </row>
    <row r="481" spans="3:4" ht="15" customHeight="1" x14ac:dyDescent="0.25">
      <c r="C481" s="593">
        <f>+'Stock Data'!AM292</f>
        <v>45657</v>
      </c>
      <c r="D481" s="568">
        <f>_xlfn.XLOOKUP(C481,'Stock Data'!$AM$4:$AM$1051,'Stock Data'!$AN$4:$AN$1051)</f>
        <v>116.31</v>
      </c>
    </row>
    <row r="482" spans="3:4" ht="15" customHeight="1" x14ac:dyDescent="0.25">
      <c r="C482" s="593">
        <f>+'Stock Data'!AM293</f>
        <v>45656</v>
      </c>
      <c r="D482" s="568">
        <f>_xlfn.XLOOKUP(C482,'Stock Data'!$AM$4:$AM$1051,'Stock Data'!$AN$4:$AN$1051)</f>
        <v>116.31</v>
      </c>
    </row>
    <row r="483" spans="3:4" ht="15" customHeight="1" x14ac:dyDescent="0.25">
      <c r="C483" s="593">
        <f>+'Stock Data'!AM294</f>
        <v>45655</v>
      </c>
      <c r="D483" s="568">
        <f>_xlfn.XLOOKUP(C483,'Stock Data'!$AM$4:$AM$1051,'Stock Data'!$AN$4:$AN$1051)</f>
        <v>116.31</v>
      </c>
    </row>
    <row r="484" spans="3:4" ht="15" customHeight="1" x14ac:dyDescent="0.25">
      <c r="C484" s="593">
        <f>+'Stock Data'!AM295</f>
        <v>45654</v>
      </c>
      <c r="D484" s="568">
        <f>_xlfn.XLOOKUP(C484,'Stock Data'!$AM$4:$AM$1051,'Stock Data'!$AN$4:$AN$1051)</f>
        <v>112.56</v>
      </c>
    </row>
    <row r="485" spans="3:4" ht="15" customHeight="1" x14ac:dyDescent="0.25">
      <c r="C485" s="593">
        <f>+'Stock Data'!AM296</f>
        <v>45653</v>
      </c>
      <c r="D485" s="568">
        <f>_xlfn.XLOOKUP(C485,'Stock Data'!$AM$4:$AM$1051,'Stock Data'!$AN$4:$AN$1051)</f>
        <v>109.47</v>
      </c>
    </row>
    <row r="486" spans="3:4" ht="15" customHeight="1" x14ac:dyDescent="0.25">
      <c r="C486" s="593">
        <f>+'Stock Data'!AM297</f>
        <v>45652</v>
      </c>
      <c r="D486" s="568">
        <f>_xlfn.XLOOKUP(C486,'Stock Data'!$AM$4:$AM$1051,'Stock Data'!$AN$4:$AN$1051)</f>
        <v>108.83</v>
      </c>
    </row>
    <row r="487" spans="3:4" ht="15" customHeight="1" x14ac:dyDescent="0.25">
      <c r="C487" s="593">
        <f>+'Stock Data'!AM298</f>
        <v>45651</v>
      </c>
      <c r="D487" s="568">
        <f>_xlfn.XLOOKUP(C487,'Stock Data'!$AM$4:$AM$1051,'Stock Data'!$AN$4:$AN$1051)</f>
        <v>109.13</v>
      </c>
    </row>
    <row r="488" spans="3:4" ht="15" customHeight="1" x14ac:dyDescent="0.25">
      <c r="C488" s="593">
        <f>+'Stock Data'!AM299</f>
        <v>45650</v>
      </c>
      <c r="D488" s="568">
        <f>_xlfn.XLOOKUP(C488,'Stock Data'!$AM$4:$AM$1051,'Stock Data'!$AN$4:$AN$1051)</f>
        <v>106.93</v>
      </c>
    </row>
    <row r="489" spans="3:4" ht="15" customHeight="1" x14ac:dyDescent="0.25">
      <c r="C489" s="593">
        <f>+'Stock Data'!AM300</f>
        <v>45649</v>
      </c>
      <c r="D489" s="568">
        <f>_xlfn.XLOOKUP(C489,'Stock Data'!$AM$4:$AM$1051,'Stock Data'!$AN$4:$AN$1051)</f>
        <v>106.93</v>
      </c>
    </row>
    <row r="490" spans="3:4" ht="15" customHeight="1" x14ac:dyDescent="0.25">
      <c r="C490" s="593">
        <f>+'Stock Data'!AM301</f>
        <v>45648</v>
      </c>
      <c r="D490" s="568">
        <f>_xlfn.XLOOKUP(C490,'Stock Data'!$AM$4:$AM$1051,'Stock Data'!$AN$4:$AN$1051)</f>
        <v>106.93</v>
      </c>
    </row>
    <row r="491" spans="3:4" ht="15" customHeight="1" x14ac:dyDescent="0.25">
      <c r="C491" s="593">
        <f>+'Stock Data'!AM302</f>
        <v>45647</v>
      </c>
      <c r="D491" s="568">
        <f>_xlfn.XLOOKUP(C491,'Stock Data'!$AM$4:$AM$1051,'Stock Data'!$AN$4:$AN$1051)</f>
        <v>107.2</v>
      </c>
    </row>
    <row r="492" spans="3:4" ht="15" customHeight="1" x14ac:dyDescent="0.25">
      <c r="C492" s="593">
        <f>+'Stock Data'!AM303</f>
        <v>45646</v>
      </c>
      <c r="D492" s="568">
        <f>_xlfn.XLOOKUP(C492,'Stock Data'!$AM$4:$AM$1051,'Stock Data'!$AN$4:$AN$1051)</f>
        <v>112.51</v>
      </c>
    </row>
    <row r="493" spans="3:4" ht="15" customHeight="1" x14ac:dyDescent="0.25">
      <c r="C493" s="593">
        <f>+'Stock Data'!AM304</f>
        <v>45645</v>
      </c>
      <c r="D493" s="568">
        <f>_xlfn.XLOOKUP(C493,'Stock Data'!$AM$4:$AM$1051,'Stock Data'!$AN$4:$AN$1051)</f>
        <v>112.16</v>
      </c>
    </row>
    <row r="494" spans="3:4" ht="15" customHeight="1" x14ac:dyDescent="0.25">
      <c r="C494" s="593">
        <f>+'Stock Data'!AM305</f>
        <v>45644</v>
      </c>
      <c r="D494" s="568">
        <f>_xlfn.XLOOKUP(C494,'Stock Data'!$AM$4:$AM$1051,'Stock Data'!$AN$4:$AN$1051)</f>
        <v>111.58</v>
      </c>
    </row>
    <row r="495" spans="3:4" ht="15" customHeight="1" x14ac:dyDescent="0.25">
      <c r="C495" s="593">
        <f>+'Stock Data'!AM306</f>
        <v>45643</v>
      </c>
      <c r="D495" s="568">
        <f>_xlfn.XLOOKUP(C495,'Stock Data'!$AM$4:$AM$1051,'Stock Data'!$AN$4:$AN$1051)</f>
        <v>110.39</v>
      </c>
    </row>
    <row r="496" spans="3:4" ht="15" customHeight="1" x14ac:dyDescent="0.25">
      <c r="C496" s="593">
        <f>+'Stock Data'!AM307</f>
        <v>45642</v>
      </c>
      <c r="D496" s="568">
        <f>_xlfn.XLOOKUP(C496,'Stock Data'!$AM$4:$AM$1051,'Stock Data'!$AN$4:$AN$1051)</f>
        <v>110.39</v>
      </c>
    </row>
    <row r="497" spans="3:4" ht="15" customHeight="1" x14ac:dyDescent="0.25">
      <c r="C497" s="593">
        <f>+'Stock Data'!AM308</f>
        <v>45641</v>
      </c>
      <c r="D497" s="568">
        <f>_xlfn.XLOOKUP(C497,'Stock Data'!$AM$4:$AM$1051,'Stock Data'!$AN$4:$AN$1051)</f>
        <v>110.39</v>
      </c>
    </row>
    <row r="498" spans="3:4" ht="15" customHeight="1" x14ac:dyDescent="0.25">
      <c r="C498" s="593">
        <f>+'Stock Data'!AM309</f>
        <v>45640</v>
      </c>
      <c r="D498" s="568">
        <f>_xlfn.XLOOKUP(C498,'Stock Data'!$AM$4:$AM$1051,'Stock Data'!$AN$4:$AN$1051)</f>
        <v>110.72</v>
      </c>
    </row>
    <row r="499" spans="3:4" ht="15" customHeight="1" x14ac:dyDescent="0.25">
      <c r="C499" s="593">
        <f>+'Stock Data'!AM310</f>
        <v>45639</v>
      </c>
      <c r="D499" s="568">
        <f>_xlfn.XLOOKUP(C499,'Stock Data'!$AM$4:$AM$1051,'Stock Data'!$AN$4:$AN$1051)</f>
        <v>114.12</v>
      </c>
    </row>
    <row r="500" spans="3:4" ht="15" customHeight="1" x14ac:dyDescent="0.25">
      <c r="C500" s="593">
        <f>+'Stock Data'!AM311</f>
        <v>45638</v>
      </c>
      <c r="D500" s="568">
        <f>_xlfn.XLOOKUP(C500,'Stock Data'!$AM$4:$AM$1051,'Stock Data'!$AN$4:$AN$1051)</f>
        <v>109.91</v>
      </c>
    </row>
    <row r="501" spans="3:4" ht="15" customHeight="1" x14ac:dyDescent="0.25">
      <c r="C501" s="593">
        <f>+'Stock Data'!AM312</f>
        <v>45637</v>
      </c>
      <c r="D501" s="568">
        <f>_xlfn.XLOOKUP(C501,'Stock Data'!$AM$4:$AM$1051,'Stock Data'!$AN$4:$AN$1051)</f>
        <v>108.04</v>
      </c>
    </row>
    <row r="502" spans="3:4" ht="15" customHeight="1" x14ac:dyDescent="0.25">
      <c r="C502" s="593">
        <f>+'Stock Data'!AM313</f>
        <v>45636</v>
      </c>
      <c r="D502" s="568">
        <f>_xlfn.XLOOKUP(C502,'Stock Data'!$AM$4:$AM$1051,'Stock Data'!$AN$4:$AN$1051)</f>
        <v>108.4</v>
      </c>
    </row>
    <row r="503" spans="3:4" ht="15" customHeight="1" x14ac:dyDescent="0.25">
      <c r="C503" s="593">
        <f>+'Stock Data'!AM314</f>
        <v>45635</v>
      </c>
      <c r="D503" s="568">
        <f>_xlfn.XLOOKUP(C503,'Stock Data'!$AM$4:$AM$1051,'Stock Data'!$AN$4:$AN$1051)</f>
        <v>108.4</v>
      </c>
    </row>
    <row r="504" spans="3:4" ht="15" customHeight="1" x14ac:dyDescent="0.25">
      <c r="C504" s="593">
        <f>+'Stock Data'!AM315</f>
        <v>45634</v>
      </c>
      <c r="D504" s="568">
        <f>_xlfn.XLOOKUP(C504,'Stock Data'!$AM$4:$AM$1051,'Stock Data'!$AN$4:$AN$1051)</f>
        <v>108.4</v>
      </c>
    </row>
    <row r="505" spans="3:4" ht="15" customHeight="1" x14ac:dyDescent="0.25">
      <c r="C505" s="593">
        <f>+'Stock Data'!AM316</f>
        <v>45633</v>
      </c>
      <c r="D505" s="568">
        <f>_xlfn.XLOOKUP(C505,'Stock Data'!$AM$4:$AM$1051,'Stock Data'!$AN$4:$AN$1051)</f>
        <v>106.8</v>
      </c>
    </row>
    <row r="506" spans="3:4" ht="15" customHeight="1" x14ac:dyDescent="0.25">
      <c r="C506" s="593">
        <f>+'Stock Data'!AM317</f>
        <v>45632</v>
      </c>
      <c r="D506" s="568">
        <f>_xlfn.XLOOKUP(C506,'Stock Data'!$AM$4:$AM$1051,'Stock Data'!$AN$4:$AN$1051)</f>
        <v>107.37</v>
      </c>
    </row>
    <row r="507" spans="3:4" ht="15" customHeight="1" x14ac:dyDescent="0.25">
      <c r="C507" s="593">
        <f>+'Stock Data'!AM318</f>
        <v>45631</v>
      </c>
      <c r="D507" s="568">
        <f>_xlfn.XLOOKUP(C507,'Stock Data'!$AM$4:$AM$1051,'Stock Data'!$AN$4:$AN$1051)</f>
        <v>108.46</v>
      </c>
    </row>
    <row r="508" spans="3:4" ht="15" customHeight="1" x14ac:dyDescent="0.25">
      <c r="C508" s="593">
        <f>+'Stock Data'!AM319</f>
        <v>45630</v>
      </c>
      <c r="D508" s="568">
        <f>_xlfn.XLOOKUP(C508,'Stock Data'!$AM$4:$AM$1051,'Stock Data'!$AN$4:$AN$1051)</f>
        <v>105.93</v>
      </c>
    </row>
    <row r="509" spans="3:4" ht="15" customHeight="1" x14ac:dyDescent="0.25">
      <c r="C509" s="593">
        <f>+'Stock Data'!AM320</f>
        <v>45629</v>
      </c>
      <c r="D509" s="568">
        <f>_xlfn.XLOOKUP(C509,'Stock Data'!$AM$4:$AM$1051,'Stock Data'!$AN$4:$AN$1051)</f>
        <v>104.49</v>
      </c>
    </row>
    <row r="510" spans="3:4" ht="15" customHeight="1" x14ac:dyDescent="0.25">
      <c r="C510" s="593">
        <f>+'Stock Data'!AM321</f>
        <v>45628</v>
      </c>
      <c r="D510" s="568">
        <f>_xlfn.XLOOKUP(C510,'Stock Data'!$AM$4:$AM$1051,'Stock Data'!$AN$4:$AN$1051)</f>
        <v>104.49</v>
      </c>
    </row>
    <row r="511" spans="3:4" ht="15" customHeight="1" x14ac:dyDescent="0.25">
      <c r="C511" s="593">
        <f>+'Stock Data'!AM322</f>
        <v>45627</v>
      </c>
      <c r="D511" s="568">
        <f>_xlfn.XLOOKUP(C511,'Stock Data'!$AM$4:$AM$1051,'Stock Data'!$AN$4:$AN$1051)</f>
        <v>104.49</v>
      </c>
    </row>
    <row r="512" spans="3:4" ht="15" customHeight="1" x14ac:dyDescent="0.25">
      <c r="C512" s="593">
        <f>+'Stock Data'!AM323</f>
        <v>45626</v>
      </c>
      <c r="D512" s="568">
        <f>_xlfn.XLOOKUP(C512,'Stock Data'!$AM$4:$AM$1051,'Stock Data'!$AN$4:$AN$1051)</f>
        <v>104.89</v>
      </c>
    </row>
    <row r="513" spans="3:4" ht="15" customHeight="1" x14ac:dyDescent="0.25">
      <c r="C513" s="593">
        <f>+'Stock Data'!AM324</f>
        <v>45625</v>
      </c>
      <c r="D513" s="568">
        <f>_xlfn.XLOOKUP(C513,'Stock Data'!$AM$4:$AM$1051,'Stock Data'!$AN$4:$AN$1051)</f>
        <v>105.37</v>
      </c>
    </row>
    <row r="514" spans="3:4" ht="15" customHeight="1" x14ac:dyDescent="0.25">
      <c r="C514" s="593">
        <f>+'Stock Data'!AM325</f>
        <v>45624</v>
      </c>
      <c r="D514" s="568">
        <f>_xlfn.XLOOKUP(C514,'Stock Data'!$AM$4:$AM$1051,'Stock Data'!$AN$4:$AN$1051)</f>
        <v>106.38</v>
      </c>
    </row>
    <row r="515" spans="3:4" ht="15" customHeight="1" x14ac:dyDescent="0.25">
      <c r="C515" s="593">
        <f>+'Stock Data'!AM326</f>
        <v>45623</v>
      </c>
      <c r="D515" s="568">
        <f>_xlfn.XLOOKUP(C515,'Stock Data'!$AM$4:$AM$1051,'Stock Data'!$AN$4:$AN$1051)</f>
        <v>107.49</v>
      </c>
    </row>
    <row r="516" spans="3:4" ht="15" customHeight="1" x14ac:dyDescent="0.25">
      <c r="C516" s="593">
        <f>+'Stock Data'!AM327</f>
        <v>45622</v>
      </c>
      <c r="D516" s="568">
        <f>_xlfn.XLOOKUP(C516,'Stock Data'!$AM$4:$AM$1051,'Stock Data'!$AN$4:$AN$1051)</f>
        <v>107.89</v>
      </c>
    </row>
    <row r="517" spans="3:4" ht="15" customHeight="1" x14ac:dyDescent="0.25">
      <c r="C517" s="593">
        <f>+'Stock Data'!AM328</f>
        <v>45621</v>
      </c>
      <c r="D517" s="568">
        <f>_xlfn.XLOOKUP(C517,'Stock Data'!$AM$4:$AM$1051,'Stock Data'!$AN$4:$AN$1051)</f>
        <v>107.89</v>
      </c>
    </row>
    <row r="518" spans="3:4" ht="15" customHeight="1" x14ac:dyDescent="0.25">
      <c r="C518" s="593">
        <f>+'Stock Data'!AM329</f>
        <v>45620</v>
      </c>
      <c r="D518" s="568">
        <f>_xlfn.XLOOKUP(C518,'Stock Data'!$AM$4:$AM$1051,'Stock Data'!$AN$4:$AN$1051)</f>
        <v>107.89</v>
      </c>
    </row>
    <row r="519" spans="3:4" ht="15" customHeight="1" x14ac:dyDescent="0.25">
      <c r="C519" s="593">
        <f>+'Stock Data'!AM330</f>
        <v>45619</v>
      </c>
      <c r="D519" s="568">
        <f>_xlfn.XLOOKUP(C519,'Stock Data'!$AM$4:$AM$1051,'Stock Data'!$AN$4:$AN$1051)</f>
        <v>107.55</v>
      </c>
    </row>
    <row r="520" spans="3:4" ht="15" customHeight="1" x14ac:dyDescent="0.25">
      <c r="C520" s="593">
        <f>+'Stock Data'!AM331</f>
        <v>45618</v>
      </c>
      <c r="D520" s="568">
        <f>_xlfn.XLOOKUP(C520,'Stock Data'!$AM$4:$AM$1051,'Stock Data'!$AN$4:$AN$1051)</f>
        <v>107.26</v>
      </c>
    </row>
    <row r="521" spans="3:4" ht="15" customHeight="1" x14ac:dyDescent="0.25">
      <c r="C521" s="593">
        <f>+'Stock Data'!AM332</f>
        <v>45617</v>
      </c>
      <c r="D521" s="568">
        <f>_xlfn.XLOOKUP(C521,'Stock Data'!$AM$4:$AM$1051,'Stock Data'!$AN$4:$AN$1051)</f>
        <v>106.21</v>
      </c>
    </row>
    <row r="522" spans="3:4" ht="15" customHeight="1" x14ac:dyDescent="0.25">
      <c r="C522" s="593">
        <f>+'Stock Data'!AM333</f>
        <v>45616</v>
      </c>
      <c r="D522" s="568">
        <f>_xlfn.XLOOKUP(C522,'Stock Data'!$AM$4:$AM$1051,'Stock Data'!$AN$4:$AN$1051)</f>
        <v>106.36</v>
      </c>
    </row>
    <row r="523" spans="3:4" ht="15" customHeight="1" x14ac:dyDescent="0.25">
      <c r="C523" s="593">
        <f>+'Stock Data'!AM334</f>
        <v>45615</v>
      </c>
      <c r="D523" s="568">
        <f>_xlfn.XLOOKUP(C523,'Stock Data'!$AM$4:$AM$1051,'Stock Data'!$AN$4:$AN$1051)</f>
        <v>105.82</v>
      </c>
    </row>
    <row r="524" spans="3:4" ht="15" customHeight="1" x14ac:dyDescent="0.25">
      <c r="C524" s="593">
        <f>+'Stock Data'!AM335</f>
        <v>45614</v>
      </c>
      <c r="D524" s="568">
        <f>_xlfn.XLOOKUP(C524,'Stock Data'!$AM$4:$AM$1051,'Stock Data'!$AN$4:$AN$1051)</f>
        <v>105.82</v>
      </c>
    </row>
    <row r="525" spans="3:4" ht="15" customHeight="1" x14ac:dyDescent="0.25">
      <c r="C525" s="593">
        <f>+'Stock Data'!AM336</f>
        <v>45613</v>
      </c>
      <c r="D525" s="568">
        <f>_xlfn.XLOOKUP(C525,'Stock Data'!$AM$4:$AM$1051,'Stock Data'!$AN$4:$AN$1051)</f>
        <v>105.82</v>
      </c>
    </row>
    <row r="526" spans="3:4" ht="15" customHeight="1" x14ac:dyDescent="0.25">
      <c r="C526" s="593">
        <f>+'Stock Data'!AM337</f>
        <v>45612</v>
      </c>
      <c r="D526" s="568">
        <f>_xlfn.XLOOKUP(C526,'Stock Data'!$AM$4:$AM$1051,'Stock Data'!$AN$4:$AN$1051)</f>
        <v>104.14</v>
      </c>
    </row>
    <row r="527" spans="3:4" ht="15" customHeight="1" x14ac:dyDescent="0.25">
      <c r="C527" s="593">
        <f>+'Stock Data'!AM338</f>
        <v>45611</v>
      </c>
      <c r="D527" s="568">
        <f>_xlfn.XLOOKUP(C527,'Stock Data'!$AM$4:$AM$1051,'Stock Data'!$AN$4:$AN$1051)</f>
        <v>105.04</v>
      </c>
    </row>
    <row r="528" spans="3:4" ht="15" customHeight="1" x14ac:dyDescent="0.25">
      <c r="C528" s="593">
        <f>+'Stock Data'!AM339</f>
        <v>45610</v>
      </c>
      <c r="D528" s="568">
        <f>_xlfn.XLOOKUP(C528,'Stock Data'!$AM$4:$AM$1051,'Stock Data'!$AN$4:$AN$1051)</f>
        <v>104.65</v>
      </c>
    </row>
    <row r="529" spans="3:4" ht="15" customHeight="1" x14ac:dyDescent="0.25">
      <c r="C529" s="593">
        <f>+'Stock Data'!AM340</f>
        <v>45609</v>
      </c>
      <c r="D529" s="568">
        <f>_xlfn.XLOOKUP(C529,'Stock Data'!$AM$4:$AM$1051,'Stock Data'!$AN$4:$AN$1051)</f>
        <v>105.2</v>
      </c>
    </row>
    <row r="530" spans="3:4" ht="15" customHeight="1" x14ac:dyDescent="0.25">
      <c r="C530" s="593">
        <f>+'Stock Data'!AM341</f>
        <v>45608</v>
      </c>
      <c r="D530" s="568">
        <f>_xlfn.XLOOKUP(C530,'Stock Data'!$AM$4:$AM$1051,'Stock Data'!$AN$4:$AN$1051)</f>
        <v>103.74</v>
      </c>
    </row>
    <row r="531" spans="3:4" ht="15" customHeight="1" x14ac:dyDescent="0.25">
      <c r="C531" s="593">
        <f>+'Stock Data'!AM342</f>
        <v>45607</v>
      </c>
      <c r="D531" s="568">
        <f>_xlfn.XLOOKUP(C531,'Stock Data'!$AM$4:$AM$1051,'Stock Data'!$AN$4:$AN$1051)</f>
        <v>103.74</v>
      </c>
    </row>
    <row r="532" spans="3:4" ht="15" customHeight="1" x14ac:dyDescent="0.25">
      <c r="C532" s="593">
        <f>+'Stock Data'!AM343</f>
        <v>45606</v>
      </c>
      <c r="D532" s="568">
        <f>_xlfn.XLOOKUP(C532,'Stock Data'!$AM$4:$AM$1051,'Stock Data'!$AN$4:$AN$1051)</f>
        <v>103.74</v>
      </c>
    </row>
    <row r="533" spans="3:4" ht="15" customHeight="1" x14ac:dyDescent="0.25">
      <c r="C533" s="593">
        <f>+'Stock Data'!AM344</f>
        <v>45605</v>
      </c>
      <c r="D533" s="568">
        <f>_xlfn.XLOOKUP(C533,'Stock Data'!$AM$4:$AM$1051,'Stock Data'!$AN$4:$AN$1051)</f>
        <v>102.57</v>
      </c>
    </row>
    <row r="534" spans="3:4" ht="15" customHeight="1" x14ac:dyDescent="0.25">
      <c r="C534" s="593">
        <f>+'Stock Data'!AM345</f>
        <v>45604</v>
      </c>
      <c r="D534" s="568">
        <f>_xlfn.XLOOKUP(C534,'Stock Data'!$AM$4:$AM$1051,'Stock Data'!$AN$4:$AN$1051)</f>
        <v>101.97</v>
      </c>
    </row>
    <row r="535" spans="3:4" ht="15" customHeight="1" x14ac:dyDescent="0.25">
      <c r="C535" s="593">
        <f>+'Stock Data'!AM346</f>
        <v>45603</v>
      </c>
      <c r="D535" s="568">
        <f>_xlfn.XLOOKUP(C535,'Stock Data'!$AM$4:$AM$1051,'Stock Data'!$AN$4:$AN$1051)</f>
        <v>102.59</v>
      </c>
    </row>
    <row r="536" spans="3:4" ht="15" customHeight="1" x14ac:dyDescent="0.25">
      <c r="C536" s="593">
        <f>+'Stock Data'!AM347</f>
        <v>45602</v>
      </c>
      <c r="D536" s="568">
        <f>_xlfn.XLOOKUP(C536,'Stock Data'!$AM$4:$AM$1051,'Stock Data'!$AN$4:$AN$1051)</f>
        <v>103.27</v>
      </c>
    </row>
    <row r="537" spans="3:4" ht="15" customHeight="1" x14ac:dyDescent="0.25">
      <c r="C537" s="593">
        <f>+'Stock Data'!AM348</f>
        <v>45601</v>
      </c>
      <c r="D537" s="568">
        <f>_xlfn.XLOOKUP(C537,'Stock Data'!$AM$4:$AM$1051,'Stock Data'!$AN$4:$AN$1051)</f>
        <v>103.23</v>
      </c>
    </row>
    <row r="538" spans="3:4" ht="15" customHeight="1" x14ac:dyDescent="0.25">
      <c r="C538" s="593">
        <f>+'Stock Data'!AM349</f>
        <v>45600</v>
      </c>
      <c r="D538" s="568">
        <f>_xlfn.XLOOKUP(C538,'Stock Data'!$AM$4:$AM$1051,'Stock Data'!$AN$4:$AN$1051)</f>
        <v>103.23</v>
      </c>
    </row>
    <row r="539" spans="3:4" ht="15" customHeight="1" x14ac:dyDescent="0.25">
      <c r="C539" s="593">
        <f>+'Stock Data'!AM350</f>
        <v>45599</v>
      </c>
      <c r="D539" s="568">
        <f>_xlfn.XLOOKUP(C539,'Stock Data'!$AM$4:$AM$1051,'Stock Data'!$AN$4:$AN$1051)</f>
        <v>103.23</v>
      </c>
    </row>
    <row r="540" spans="3:4" ht="15" customHeight="1" x14ac:dyDescent="0.25">
      <c r="C540" s="593">
        <f>+'Stock Data'!AM351</f>
        <v>45598</v>
      </c>
      <c r="D540" s="568">
        <f>_xlfn.XLOOKUP(C540,'Stock Data'!$AM$4:$AM$1051,'Stock Data'!$AN$4:$AN$1051)</f>
        <v>103.19</v>
      </c>
    </row>
    <row r="541" spans="3:4" ht="15" customHeight="1" x14ac:dyDescent="0.25">
      <c r="C541" s="593">
        <f>+'Stock Data'!AM352</f>
        <v>45597</v>
      </c>
      <c r="D541" s="568">
        <f>_xlfn.XLOOKUP(C541,'Stock Data'!$AM$4:$AM$1051,'Stock Data'!$AN$4:$AN$1051)</f>
        <v>101.06</v>
      </c>
    </row>
    <row r="542" spans="3:4" ht="15" customHeight="1" x14ac:dyDescent="0.25">
      <c r="C542" s="593">
        <f>+'Stock Data'!AM353</f>
        <v>45596</v>
      </c>
      <c r="D542" s="568">
        <f>_xlfn.XLOOKUP(C542,'Stock Data'!$AM$4:$AM$1051,'Stock Data'!$AN$4:$AN$1051)</f>
        <v>102.24</v>
      </c>
    </row>
    <row r="543" spans="3:4" ht="15" customHeight="1" x14ac:dyDescent="0.25">
      <c r="C543" s="593">
        <f>+'Stock Data'!AM354</f>
        <v>45595</v>
      </c>
      <c r="D543" s="568">
        <f>_xlfn.XLOOKUP(C543,'Stock Data'!$AM$4:$AM$1051,'Stock Data'!$AN$4:$AN$1051)</f>
        <v>101.97</v>
      </c>
    </row>
    <row r="544" spans="3:4" ht="15" customHeight="1" x14ac:dyDescent="0.25">
      <c r="C544" s="593">
        <f>+'Stock Data'!AM355</f>
        <v>45594</v>
      </c>
      <c r="D544" s="568">
        <f>_xlfn.XLOOKUP(C544,'Stock Data'!$AM$4:$AM$1051,'Stock Data'!$AN$4:$AN$1051)</f>
        <v>101.19</v>
      </c>
    </row>
    <row r="545" spans="3:4" ht="15" customHeight="1" x14ac:dyDescent="0.25">
      <c r="C545" s="593">
        <f>+'Stock Data'!AM356</f>
        <v>45593</v>
      </c>
      <c r="D545" s="568">
        <f>_xlfn.XLOOKUP(C545,'Stock Data'!$AM$4:$AM$1051,'Stock Data'!$AN$4:$AN$1051)</f>
        <v>101.19</v>
      </c>
    </row>
    <row r="546" spans="3:4" ht="15" customHeight="1" x14ac:dyDescent="0.25">
      <c r="C546" s="593">
        <f>+'Stock Data'!AM357</f>
        <v>45592</v>
      </c>
      <c r="D546" s="568">
        <f>_xlfn.XLOOKUP(C546,'Stock Data'!$AM$4:$AM$1051,'Stock Data'!$AN$4:$AN$1051)</f>
        <v>101.19</v>
      </c>
    </row>
    <row r="547" spans="3:4" ht="15" customHeight="1" x14ac:dyDescent="0.25">
      <c r="C547" s="593">
        <f>+'Stock Data'!AM358</f>
        <v>45591</v>
      </c>
      <c r="D547" s="568">
        <f>_xlfn.XLOOKUP(C547,'Stock Data'!$AM$4:$AM$1051,'Stock Data'!$AN$4:$AN$1051)</f>
        <v>101.24</v>
      </c>
    </row>
    <row r="548" spans="3:4" ht="15" customHeight="1" x14ac:dyDescent="0.25">
      <c r="C548" s="593">
        <f>+'Stock Data'!AM359</f>
        <v>45590</v>
      </c>
      <c r="D548" s="568">
        <f>_xlfn.XLOOKUP(C548,'Stock Data'!$AM$4:$AM$1051,'Stock Data'!$AN$4:$AN$1051)</f>
        <v>98.24</v>
      </c>
    </row>
    <row r="549" spans="3:4" ht="15" customHeight="1" x14ac:dyDescent="0.25">
      <c r="C549" s="593">
        <f>+'Stock Data'!AM360</f>
        <v>45589</v>
      </c>
      <c r="D549" s="568">
        <f>_xlfn.XLOOKUP(C549,'Stock Data'!$AM$4:$AM$1051,'Stock Data'!$AN$4:$AN$1051)</f>
        <v>97.54</v>
      </c>
    </row>
    <row r="550" spans="3:4" ht="15" customHeight="1" x14ac:dyDescent="0.25">
      <c r="C550" s="593">
        <f>+'Stock Data'!AM361</f>
        <v>45588</v>
      </c>
      <c r="D550" s="568">
        <f>_xlfn.XLOOKUP(C550,'Stock Data'!$AM$4:$AM$1051,'Stock Data'!$AN$4:$AN$1051)</f>
        <v>98.41</v>
      </c>
    </row>
    <row r="551" spans="3:4" ht="15" customHeight="1" x14ac:dyDescent="0.25">
      <c r="C551" s="593">
        <f>+'Stock Data'!AM362</f>
        <v>45587</v>
      </c>
      <c r="D551" s="568">
        <f>_xlfn.XLOOKUP(C551,'Stock Data'!$AM$4:$AM$1051,'Stock Data'!$AN$4:$AN$1051)</f>
        <v>97.82</v>
      </c>
    </row>
    <row r="552" spans="3:4" ht="15" customHeight="1" x14ac:dyDescent="0.25">
      <c r="C552" s="593">
        <f>+'Stock Data'!AM363</f>
        <v>45586</v>
      </c>
      <c r="D552" s="568">
        <f>_xlfn.XLOOKUP(C552,'Stock Data'!$AM$4:$AM$1051,'Stock Data'!$AN$4:$AN$1051)</f>
        <v>97.82</v>
      </c>
    </row>
    <row r="553" spans="3:4" ht="15" customHeight="1" x14ac:dyDescent="0.25">
      <c r="C553" s="593">
        <f>+'Stock Data'!AM364</f>
        <v>45585</v>
      </c>
      <c r="D553" s="568">
        <f>_xlfn.XLOOKUP(C553,'Stock Data'!$AM$4:$AM$1051,'Stock Data'!$AN$4:$AN$1051)</f>
        <v>97.82</v>
      </c>
    </row>
    <row r="554" spans="3:4" ht="15" customHeight="1" x14ac:dyDescent="0.25">
      <c r="C554" s="593">
        <f>+'Stock Data'!AM365</f>
        <v>45584</v>
      </c>
      <c r="D554" s="568">
        <f>_xlfn.XLOOKUP(C554,'Stock Data'!$AM$4:$AM$1051,'Stock Data'!$AN$4:$AN$1051)</f>
        <v>96.53</v>
      </c>
    </row>
    <row r="555" spans="3:4" ht="15" customHeight="1" x14ac:dyDescent="0.25">
      <c r="C555" s="593">
        <f>+'Stock Data'!AM366</f>
        <v>45583</v>
      </c>
      <c r="D555" s="568">
        <f>_xlfn.XLOOKUP(C555,'Stock Data'!$AM$4:$AM$1051,'Stock Data'!$AN$4:$AN$1051)</f>
        <v>95.82</v>
      </c>
    </row>
    <row r="556" spans="3:4" ht="15" customHeight="1" x14ac:dyDescent="0.25">
      <c r="C556" s="593">
        <f>+'Stock Data'!AM367</f>
        <v>45582</v>
      </c>
      <c r="D556" s="568">
        <f>_xlfn.XLOOKUP(C556,'Stock Data'!$AM$4:$AM$1051,'Stock Data'!$AN$4:$AN$1051)</f>
        <v>95</v>
      </c>
    </row>
    <row r="557" spans="3:4" ht="15" customHeight="1" x14ac:dyDescent="0.25">
      <c r="C557" s="593">
        <f>+'Stock Data'!AM368</f>
        <v>45581</v>
      </c>
      <c r="D557" s="568">
        <f>_xlfn.XLOOKUP(C557,'Stock Data'!$AM$4:$AM$1051,'Stock Data'!$AN$4:$AN$1051)</f>
        <v>94.44</v>
      </c>
    </row>
    <row r="558" spans="3:4" ht="15" customHeight="1" x14ac:dyDescent="0.25">
      <c r="C558" s="593">
        <f>+'Stock Data'!AM369</f>
        <v>45580</v>
      </c>
      <c r="D558" s="568">
        <f>_xlfn.XLOOKUP(C558,'Stock Data'!$AM$4:$AM$1051,'Stock Data'!$AN$4:$AN$1051)</f>
        <v>94.05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zoomScale="57" zoomScaleNormal="259" workbookViewId="0">
      <selection activeCell="F28" sqref="F28"/>
    </sheetView>
  </sheetViews>
  <sheetFormatPr defaultColWidth="9" defaultRowHeight="15" customHeight="1" x14ac:dyDescent="0.25"/>
  <cols>
    <col min="1" max="1" width="2" style="24" customWidth="1"/>
    <col min="2" max="2" width="25.5" style="24" customWidth="1"/>
    <col min="3" max="4" width="11.5" style="24" customWidth="1"/>
    <col min="5" max="5" width="18.296875" style="24" customWidth="1"/>
    <col min="6" max="6" width="25.5" style="24" customWidth="1"/>
    <col min="7" max="8" width="11.5" style="24" customWidth="1"/>
    <col min="9" max="9" width="10.296875" style="24" customWidth="1"/>
    <col min="10" max="10" width="27" style="24" customWidth="1"/>
    <col min="11" max="12" width="11.5" style="24" customWidth="1"/>
    <col min="13" max="13" width="10.296875" style="24" customWidth="1"/>
    <col min="14" max="14" width="25.5" style="24" customWidth="1"/>
    <col min="15" max="16" width="11.5" style="24" customWidth="1"/>
    <col min="17" max="16384" width="9" style="24"/>
  </cols>
  <sheetData>
    <row r="1" spans="2:16" s="569" customFormat="1" ht="15" customHeight="1" x14ac:dyDescent="0.25"/>
    <row r="2" spans="2:16" s="569" customFormat="1" ht="15" customHeight="1" x14ac:dyDescent="0.25"/>
    <row r="3" spans="2:16" s="569" customFormat="1" ht="15" customHeight="1" x14ac:dyDescent="0.25"/>
    <row r="4" spans="2:16" s="569" customFormat="1" ht="15" customHeight="1" x14ac:dyDescent="0.25"/>
    <row r="5" spans="2:16" s="37" customFormat="1" ht="4.05" customHeight="1" x14ac:dyDescent="0.25"/>
    <row r="7" spans="2:16" ht="15" customHeight="1" x14ac:dyDescent="0.25">
      <c r="B7" s="358" t="s">
        <v>1</v>
      </c>
      <c r="C7" s="172"/>
      <c r="D7" s="172"/>
      <c r="F7" s="358" t="s">
        <v>2</v>
      </c>
      <c r="G7" s="172"/>
      <c r="H7" s="172"/>
      <c r="J7" s="358" t="s">
        <v>3</v>
      </c>
      <c r="K7" s="172"/>
      <c r="L7" s="172"/>
      <c r="M7" s="172"/>
      <c r="N7" s="172"/>
      <c r="O7" s="172"/>
      <c r="P7" s="172"/>
    </row>
    <row r="8" spans="2:16" ht="15" customHeight="1" x14ac:dyDescent="0.25">
      <c r="B8" s="358"/>
      <c r="C8" s="172"/>
      <c r="D8" s="172"/>
      <c r="F8" s="358"/>
      <c r="G8" s="172"/>
      <c r="H8" s="172"/>
      <c r="J8" s="172"/>
      <c r="K8" s="172"/>
      <c r="L8" s="172"/>
      <c r="M8" s="172"/>
      <c r="N8" s="172"/>
      <c r="O8" s="172"/>
      <c r="P8" s="172"/>
    </row>
    <row r="9" spans="2:16" ht="15" customHeight="1" x14ac:dyDescent="0.25">
      <c r="B9" s="172"/>
      <c r="C9" s="172"/>
      <c r="D9" s="172"/>
      <c r="F9" s="172"/>
      <c r="G9" s="172"/>
      <c r="H9" s="172"/>
      <c r="J9" s="172"/>
      <c r="K9" s="172"/>
      <c r="L9" s="172"/>
      <c r="M9" s="172"/>
      <c r="N9" s="172"/>
      <c r="O9" s="172"/>
      <c r="P9" s="172"/>
    </row>
    <row r="10" spans="2:16" ht="4.05" customHeight="1" x14ac:dyDescent="0.25">
      <c r="B10" s="37"/>
      <c r="C10" s="37"/>
      <c r="D10" s="37"/>
      <c r="F10" s="37"/>
      <c r="G10" s="37"/>
      <c r="H10" s="37"/>
      <c r="J10" s="37"/>
      <c r="K10" s="37"/>
      <c r="L10" s="37"/>
      <c r="M10" s="37"/>
      <c r="N10" s="37"/>
      <c r="O10" s="37"/>
      <c r="P10" s="37"/>
    </row>
    <row r="11" spans="2:16" ht="4.05" customHeight="1" x14ac:dyDescent="0.25"/>
    <row r="12" spans="2:16" ht="15" customHeight="1" x14ac:dyDescent="0.3">
      <c r="B12" s="540" t="s">
        <v>4</v>
      </c>
      <c r="F12" s="359" t="s">
        <v>5</v>
      </c>
      <c r="H12" s="547" t="s">
        <v>815</v>
      </c>
      <c r="J12" s="521"/>
    </row>
    <row r="13" spans="2:16" ht="15" customHeight="1" x14ac:dyDescent="0.25">
      <c r="B13" s="560" t="s">
        <v>6</v>
      </c>
      <c r="E13" s="406" t="e" vm="1">
        <v>#VALUE!</v>
      </c>
      <c r="F13" s="359" t="s">
        <v>7</v>
      </c>
      <c r="J13" s="521"/>
    </row>
    <row r="14" spans="2:16" ht="15" customHeight="1" x14ac:dyDescent="0.25">
      <c r="B14" s="700" t="s">
        <v>8</v>
      </c>
      <c r="F14" s="359" t="s">
        <v>9</v>
      </c>
      <c r="J14" s="521"/>
    </row>
    <row r="15" spans="2:16" ht="15" customHeight="1" x14ac:dyDescent="0.25">
      <c r="B15" s="359" t="s">
        <v>10</v>
      </c>
      <c r="J15" s="521"/>
    </row>
    <row r="16" spans="2:16" ht="15" customHeight="1" x14ac:dyDescent="0.25">
      <c r="B16" s="560" t="s">
        <v>11</v>
      </c>
      <c r="F16" s="359" t="s">
        <v>12</v>
      </c>
      <c r="H16" s="577" t="str" cm="1">
        <f t="array" aca="1" ref="H16" ca="1">_FV(E13,"Nome")</f>
        <v>ACM Rsrch</v>
      </c>
      <c r="J16" s="521"/>
    </row>
    <row r="17" spans="2:8" ht="15" customHeight="1" x14ac:dyDescent="0.25">
      <c r="B17" s="561" t="s">
        <v>13</v>
      </c>
      <c r="F17" s="359" t="s">
        <v>14</v>
      </c>
      <c r="G17" s="541"/>
      <c r="H17" s="577" t="str" cm="1">
        <f t="array" aca="1" ref="H17" ca="1">_FV(E13,"Bolsa")</f>
        <v>Nasdaq Stock Market</v>
      </c>
    </row>
    <row r="18" spans="2:8" ht="15" customHeight="1" x14ac:dyDescent="0.25">
      <c r="B18" s="359" t="s">
        <v>15</v>
      </c>
    </row>
    <row r="19" spans="2:8" ht="15" customHeight="1" x14ac:dyDescent="0.25">
      <c r="B19" s="560" t="s">
        <v>16</v>
      </c>
      <c r="F19" s="359" t="s">
        <v>17</v>
      </c>
      <c r="H19" s="744">
        <v>38.119999999999997</v>
      </c>
    </row>
    <row r="20" spans="2:8" ht="15" customHeight="1" x14ac:dyDescent="0.25">
      <c r="B20" s="561" t="s">
        <v>18</v>
      </c>
      <c r="F20" s="359" t="str">
        <f>"Market Cap (in "&amp;IF(Inputs!$D$14="BLN","billions",IF(Inputs!$D$14="MLN","millions","thousands"))&amp;")"</f>
        <v>Market Cap (in millions)</v>
      </c>
      <c r="H20" s="744">
        <v>2443.6999999999998</v>
      </c>
    </row>
    <row r="21" spans="2:8" ht="15" customHeight="1" x14ac:dyDescent="0.25">
      <c r="B21" s="361" t="s">
        <v>19</v>
      </c>
      <c r="F21" s="361" t="s">
        <v>20</v>
      </c>
      <c r="G21" s="541"/>
      <c r="H21" s="573">
        <v>1.52</v>
      </c>
    </row>
    <row r="22" spans="2:8" ht="15" customHeight="1" x14ac:dyDescent="0.25">
      <c r="B22" s="560" t="s">
        <v>11</v>
      </c>
      <c r="F22" s="361" t="s">
        <v>21</v>
      </c>
      <c r="H22" s="574">
        <v>0.45119999999999999</v>
      </c>
    </row>
    <row r="23" spans="2:8" ht="15" customHeight="1" x14ac:dyDescent="0.25">
      <c r="B23" s="700" t="s">
        <v>22</v>
      </c>
      <c r="F23" s="361" t="s">
        <v>23</v>
      </c>
      <c r="H23" s="744">
        <v>29.42</v>
      </c>
    </row>
    <row r="24" spans="2:8" ht="15" customHeight="1" x14ac:dyDescent="0.25">
      <c r="B24" s="546"/>
      <c r="F24" s="359"/>
      <c r="H24" s="575"/>
    </row>
    <row r="25" spans="2:8" ht="15" customHeight="1" x14ac:dyDescent="0.25">
      <c r="B25" s="359" t="s">
        <v>24</v>
      </c>
      <c r="F25" s="361" t="s">
        <v>25</v>
      </c>
      <c r="H25" s="576">
        <v>156927</v>
      </c>
    </row>
    <row r="26" spans="2:8" ht="15" customHeight="1" x14ac:dyDescent="0.25">
      <c r="B26" s="359" t="s">
        <v>26</v>
      </c>
      <c r="F26" s="361" t="s">
        <v>27</v>
      </c>
      <c r="H26" s="576">
        <v>59.2</v>
      </c>
    </row>
    <row r="27" spans="2:8" ht="15" customHeight="1" x14ac:dyDescent="0.25">
      <c r="B27" s="545" t="s">
        <v>28</v>
      </c>
      <c r="F27" s="361" t="s">
        <v>29</v>
      </c>
      <c r="H27" s="574">
        <f>50.2/59.2</f>
        <v>0.84797297297297303</v>
      </c>
    </row>
    <row r="28" spans="2:8" ht="15" customHeight="1" x14ac:dyDescent="0.25">
      <c r="B28" s="561" t="s">
        <v>30</v>
      </c>
      <c r="F28" s="361" t="s">
        <v>31</v>
      </c>
      <c r="H28" s="574">
        <v>9.5899999999999999E-2</v>
      </c>
    </row>
    <row r="29" spans="2:8" ht="15" customHeight="1" x14ac:dyDescent="0.25">
      <c r="F29" s="359"/>
      <c r="H29" s="575"/>
    </row>
    <row r="30" spans="2:8" ht="15" customHeight="1" x14ac:dyDescent="0.25">
      <c r="B30" s="534" t="s">
        <v>32</v>
      </c>
      <c r="F30" s="361" t="s">
        <v>33</v>
      </c>
      <c r="H30" s="760">
        <v>0.15260000000000001</v>
      </c>
    </row>
    <row r="31" spans="2:8" ht="15" customHeight="1" x14ac:dyDescent="0.25">
      <c r="B31" s="545" t="s">
        <v>34</v>
      </c>
      <c r="F31" s="361" t="s">
        <v>35</v>
      </c>
      <c r="H31" s="574">
        <v>0.7036</v>
      </c>
    </row>
    <row r="32" spans="2:8" ht="15" customHeight="1" x14ac:dyDescent="0.25">
      <c r="B32" s="546" t="s">
        <v>36</v>
      </c>
    </row>
    <row r="34" spans="2:16" ht="15" customHeight="1" x14ac:dyDescent="0.25">
      <c r="B34" s="766" t="s">
        <v>37</v>
      </c>
      <c r="C34" s="766"/>
      <c r="D34" s="766"/>
      <c r="E34" s="766"/>
      <c r="F34" s="766"/>
      <c r="G34" s="766"/>
      <c r="H34" s="766"/>
      <c r="I34" s="766"/>
      <c r="J34" s="766"/>
      <c r="K34" s="766"/>
      <c r="L34" s="766"/>
      <c r="M34" s="766"/>
      <c r="N34" s="766"/>
      <c r="O34" s="766"/>
      <c r="P34" s="766"/>
    </row>
    <row r="35" spans="2:16" ht="15" customHeight="1" x14ac:dyDescent="0.25">
      <c r="B35" s="766"/>
      <c r="C35" s="766"/>
      <c r="D35" s="766"/>
      <c r="E35" s="766"/>
      <c r="F35" s="766"/>
      <c r="G35" s="766"/>
      <c r="H35" s="766"/>
      <c r="I35" s="766"/>
      <c r="J35" s="766"/>
      <c r="K35" s="766"/>
      <c r="L35" s="766"/>
      <c r="M35" s="766"/>
      <c r="N35" s="766"/>
      <c r="O35" s="766"/>
      <c r="P35" s="766"/>
    </row>
    <row r="36" spans="2:16" ht="15" customHeight="1" x14ac:dyDescent="0.25">
      <c r="B36" s="766"/>
      <c r="C36" s="766"/>
      <c r="D36" s="766"/>
      <c r="E36" s="766"/>
      <c r="F36" s="766"/>
      <c r="G36" s="766"/>
      <c r="H36" s="766"/>
      <c r="I36" s="766"/>
      <c r="J36" s="766"/>
      <c r="K36" s="766"/>
      <c r="L36" s="766"/>
      <c r="M36" s="766"/>
      <c r="N36" s="766"/>
      <c r="O36" s="766"/>
      <c r="P36" s="766"/>
    </row>
    <row r="37" spans="2:16" ht="15" customHeight="1" x14ac:dyDescent="0.25">
      <c r="B37" s="766"/>
      <c r="C37" s="766"/>
      <c r="D37" s="766"/>
      <c r="E37" s="766"/>
      <c r="F37" s="766"/>
      <c r="G37" s="766"/>
      <c r="H37" s="766"/>
      <c r="I37" s="766"/>
      <c r="J37" s="766"/>
      <c r="K37" s="766"/>
      <c r="L37" s="766"/>
      <c r="M37" s="766"/>
      <c r="N37" s="766"/>
      <c r="O37" s="766"/>
      <c r="P37" s="766"/>
    </row>
    <row r="38" spans="2:16" ht="15" customHeight="1" x14ac:dyDescent="0.25">
      <c r="B38" s="766"/>
      <c r="C38" s="766"/>
      <c r="D38" s="766"/>
      <c r="E38" s="766"/>
      <c r="F38" s="766"/>
      <c r="G38" s="766"/>
      <c r="H38" s="766"/>
      <c r="I38" s="766"/>
      <c r="J38" s="766"/>
      <c r="K38" s="766"/>
      <c r="L38" s="766"/>
      <c r="M38" s="766"/>
      <c r="N38" s="766"/>
      <c r="O38" s="766"/>
      <c r="P38" s="766"/>
    </row>
    <row r="39" spans="2:16" ht="15" customHeight="1" x14ac:dyDescent="0.25">
      <c r="B39" s="766"/>
      <c r="C39" s="766"/>
      <c r="D39" s="766"/>
      <c r="E39" s="766"/>
      <c r="F39" s="766"/>
      <c r="G39" s="766"/>
      <c r="H39" s="766"/>
      <c r="I39" s="766"/>
      <c r="J39" s="766"/>
      <c r="K39" s="766"/>
      <c r="L39" s="766"/>
      <c r="M39" s="766"/>
      <c r="N39" s="766"/>
      <c r="O39" s="766"/>
      <c r="P39" s="766"/>
    </row>
    <row r="40" spans="2:16" ht="15" customHeight="1" x14ac:dyDescent="0.25">
      <c r="B40" s="766"/>
      <c r="C40" s="766"/>
      <c r="D40" s="766"/>
      <c r="E40" s="766"/>
      <c r="F40" s="766"/>
      <c r="G40" s="766"/>
      <c r="H40" s="766"/>
      <c r="I40" s="766"/>
      <c r="J40" s="766"/>
      <c r="K40" s="766"/>
      <c r="L40" s="766"/>
      <c r="M40" s="766"/>
      <c r="N40" s="766"/>
      <c r="O40" s="766"/>
      <c r="P40" s="766"/>
    </row>
    <row r="41" spans="2:16" ht="15" customHeight="1" x14ac:dyDescent="0.25">
      <c r="B41" s="766"/>
      <c r="C41" s="766"/>
      <c r="D41" s="766"/>
      <c r="E41" s="766"/>
      <c r="F41" s="766"/>
      <c r="G41" s="766"/>
      <c r="H41" s="766"/>
      <c r="I41" s="766"/>
      <c r="J41" s="766"/>
      <c r="K41" s="766"/>
      <c r="L41" s="766"/>
      <c r="M41" s="766"/>
      <c r="N41" s="766"/>
      <c r="O41" s="766"/>
      <c r="P41" s="766"/>
    </row>
    <row r="42" spans="2:16" ht="15" customHeight="1" x14ac:dyDescent="0.25">
      <c r="B42" s="766"/>
      <c r="C42" s="766"/>
      <c r="D42" s="766"/>
      <c r="E42" s="766"/>
      <c r="F42" s="766"/>
      <c r="G42" s="766"/>
      <c r="H42" s="766"/>
      <c r="I42" s="766"/>
      <c r="J42" s="766"/>
      <c r="K42" s="766"/>
      <c r="L42" s="766"/>
      <c r="M42" s="766"/>
      <c r="N42" s="766"/>
      <c r="O42" s="766"/>
      <c r="P42" s="766"/>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disablePrompts="1" count="1">
    <dataValidation type="list" allowBlank="1" showInputMessage="1" showErrorMessage="1" sqref="H12" xr:uid="{00000000-0002-0000-0100-000000000000}">
      <formula1>"Strong Buy, Buy, Hold, Sell, Strong Sell"</formula1>
    </dataValidation>
  </dataValidations>
  <hyperlinks>
    <hyperlink ref="B13" r:id="rId1" display="raul.vasconcelos@aln.iseg.ulisboa.pt" xr:uid="{00000000-0004-0000-0100-000000000000}"/>
    <hyperlink ref="B17" r:id="rId2" xr:uid="{00000000-0004-0000-0100-000001000000}"/>
    <hyperlink ref="B20" r:id="rId3" xr:uid="{00000000-0004-0000-0100-000002000000}"/>
    <hyperlink ref="B23" r:id="rId4" xr:uid="{00000000-0004-0000-0100-000003000000}"/>
    <hyperlink ref="B16" r:id="rId5" display="raul.vasconcelos@aln.iseg.ulisboa.pt" xr:uid="{00000000-0004-0000-0100-000004000000}"/>
    <hyperlink ref="B19" r:id="rId6" display="raul.vasconcelos@aln.iseg.ulisboa.pt" xr:uid="{00000000-0004-0000-0100-000005000000}"/>
    <hyperlink ref="B22" r:id="rId7" display="raul.vasconcelos@aln.iseg.ulisboa.pt" xr:uid="{00000000-0004-0000-0100-000006000000}"/>
    <hyperlink ref="B28" r:id="rId8" xr:uid="{00000000-0004-0000-0100-000007000000}"/>
    <hyperlink ref="B27" r:id="rId9" display="raul.vasconcelos@aln.iseg.ulisboa.pt" xr:uid="{00000000-0004-0000-0100-000008000000}"/>
    <hyperlink ref="B32" r:id="rId10" xr:uid="{068F08CB-A223-45FB-9A9F-060ED37D18D0}"/>
  </hyperlinks>
  <pageMargins left="0.7" right="0.7" top="0.75" bottom="0.75" header="0.3" footer="0.3"/>
  <pageSetup paperSize="9" orientation="portrait" r:id="rId11"/>
  <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36"/>
  <sheetViews>
    <sheetView showGridLines="0" zoomScale="101" zoomScaleNormal="93" workbookViewId="0">
      <selection activeCell="W9" sqref="W9"/>
    </sheetView>
  </sheetViews>
  <sheetFormatPr defaultColWidth="11.5" defaultRowHeight="15" customHeight="1" x14ac:dyDescent="0.25"/>
  <cols>
    <col min="1" max="1" width="2" style="24" customWidth="1"/>
    <col min="2" max="2" width="46.796875" style="24" customWidth="1"/>
    <col min="3" max="3" width="3.5" style="24" customWidth="1"/>
    <col min="4" max="6" width="11.5" style="24"/>
    <col min="7" max="9" width="11.5" style="24" bestFit="1" customWidth="1"/>
    <col min="10" max="11" width="12" style="24" bestFit="1" customWidth="1"/>
    <col min="12" max="12" width="14.5" style="24" customWidth="1"/>
    <col min="13" max="13" width="11.5" style="24"/>
    <col min="14" max="14" width="1.5" style="24" customWidth="1"/>
    <col min="15" max="16384" width="11.5" style="24"/>
  </cols>
  <sheetData>
    <row r="1" spans="1:19" s="569" customFormat="1" ht="15" customHeight="1" x14ac:dyDescent="0.25"/>
    <row r="2" spans="1:19" s="569" customFormat="1" ht="15" customHeight="1" x14ac:dyDescent="0.25"/>
    <row r="3" spans="1:19" s="569" customFormat="1" ht="15" customHeight="1" x14ac:dyDescent="0.25"/>
    <row r="4" spans="1:19" s="569" customFormat="1" ht="15" customHeight="1" x14ac:dyDescent="0.25"/>
    <row r="5" spans="1:19" s="37" customFormat="1" ht="4.05" customHeight="1" x14ac:dyDescent="0.25"/>
    <row r="6" spans="1:19" ht="15" customHeight="1" x14ac:dyDescent="0.25">
      <c r="D6" s="406">
        <v>584.16999999999996</v>
      </c>
      <c r="E6" s="406">
        <v>627.76</v>
      </c>
      <c r="F6" s="406">
        <v>676.06</v>
      </c>
      <c r="G6" s="406">
        <v>729.63</v>
      </c>
      <c r="H6" s="406">
        <v>789.13</v>
      </c>
      <c r="I6" s="406">
        <v>855.3</v>
      </c>
      <c r="J6" s="406">
        <v>929</v>
      </c>
      <c r="K6" s="406">
        <v>997.69</v>
      </c>
      <c r="L6" s="406">
        <v>1067.6300000000001</v>
      </c>
      <c r="M6" s="406">
        <v>1137.57</v>
      </c>
    </row>
    <row r="7" spans="1:19" ht="15" customHeight="1" x14ac:dyDescent="0.25">
      <c r="A7" s="45" t="s">
        <v>38</v>
      </c>
      <c r="B7" s="358" t="s">
        <v>39</v>
      </c>
      <c r="C7" s="172"/>
      <c r="D7" s="33"/>
      <c r="E7" s="33"/>
      <c r="F7" s="33"/>
      <c r="G7" s="33"/>
      <c r="H7" s="33"/>
      <c r="I7" s="33"/>
      <c r="J7" s="33"/>
      <c r="K7" s="33"/>
      <c r="L7" s="33"/>
      <c r="M7" s="33"/>
      <c r="N7" s="406"/>
      <c r="O7" s="358" t="s">
        <v>40</v>
      </c>
      <c r="P7" s="172"/>
      <c r="Q7" s="172"/>
      <c r="R7" s="172"/>
      <c r="S7" s="172"/>
    </row>
    <row r="8" spans="1:19" ht="15" customHeight="1" x14ac:dyDescent="0.25">
      <c r="B8" s="172"/>
      <c r="C8" s="172"/>
      <c r="D8" s="33"/>
      <c r="E8" s="33"/>
      <c r="F8" s="33"/>
      <c r="G8" s="33"/>
      <c r="H8" s="33"/>
      <c r="I8" s="33"/>
      <c r="J8" s="33"/>
      <c r="K8" s="33"/>
      <c r="L8" s="33"/>
      <c r="M8" s="33"/>
      <c r="N8" s="406"/>
      <c r="O8" s="172"/>
      <c r="P8" s="172"/>
      <c r="Q8" s="172"/>
      <c r="R8" s="172"/>
      <c r="S8" s="172"/>
    </row>
    <row r="9" spans="1:19" ht="15" customHeight="1" x14ac:dyDescent="0.25">
      <c r="B9" s="358"/>
      <c r="C9" s="33"/>
      <c r="D9" s="440">
        <v>2022</v>
      </c>
      <c r="E9" s="440">
        <f>+D9+1</f>
        <v>2023</v>
      </c>
      <c r="F9" s="440">
        <f>+E9+1</f>
        <v>2024</v>
      </c>
      <c r="G9" s="441">
        <f>+F9+1</f>
        <v>2025</v>
      </c>
      <c r="H9" s="441">
        <f t="shared" ref="H9:K9" si="0">+G9+1</f>
        <v>2026</v>
      </c>
      <c r="I9" s="441">
        <f t="shared" si="0"/>
        <v>2027</v>
      </c>
      <c r="J9" s="441">
        <f t="shared" si="0"/>
        <v>2028</v>
      </c>
      <c r="K9" s="441">
        <f t="shared" si="0"/>
        <v>2029</v>
      </c>
      <c r="L9" s="528"/>
      <c r="M9" s="529" t="str">
        <f>"CAGR "&amp;$G$9&amp;" - "&amp;$K$9</f>
        <v>CAGR 2025 - 2029</v>
      </c>
      <c r="N9" s="530"/>
      <c r="O9" s="33"/>
      <c r="P9" s="33"/>
      <c r="Q9" s="33"/>
      <c r="R9" s="33"/>
      <c r="S9" s="33"/>
    </row>
    <row r="10" spans="1:19" ht="4.05" customHeight="1" x14ac:dyDescent="0.25">
      <c r="B10" s="37"/>
      <c r="C10" s="37"/>
      <c r="D10" s="37"/>
      <c r="E10" s="37"/>
      <c r="F10" s="37"/>
      <c r="G10" s="37"/>
      <c r="H10" s="37"/>
      <c r="I10" s="37"/>
      <c r="J10" s="37"/>
      <c r="K10" s="37"/>
      <c r="L10" s="37"/>
      <c r="M10" s="365"/>
      <c r="O10" s="37"/>
      <c r="P10" s="37"/>
      <c r="Q10" s="37"/>
      <c r="R10" s="37"/>
      <c r="S10" s="37"/>
    </row>
    <row r="11" spans="1:19" ht="4.05" customHeight="1" x14ac:dyDescent="0.25">
      <c r="M11" s="521"/>
    </row>
    <row r="12" spans="1:19" ht="15" customHeight="1" x14ac:dyDescent="0.25">
      <c r="B12" s="359" t="s">
        <v>41</v>
      </c>
      <c r="C12" s="34"/>
      <c r="D12" s="537">
        <v>608180</v>
      </c>
      <c r="E12" s="537">
        <v>549420</v>
      </c>
      <c r="F12" s="537">
        <v>659100</v>
      </c>
      <c r="G12" s="537">
        <v>789270</v>
      </c>
      <c r="H12" s="537">
        <v>891000</v>
      </c>
      <c r="I12" s="537">
        <v>969010</v>
      </c>
      <c r="J12" s="537">
        <v>1036450</v>
      </c>
      <c r="K12" s="537">
        <v>1148020</v>
      </c>
      <c r="L12" s="526"/>
      <c r="M12" s="531">
        <f>(K12/G12)^(1/5)-1</f>
        <v>7.7816360721642885E-2</v>
      </c>
    </row>
    <row r="13" spans="1:19" ht="15" customHeight="1" x14ac:dyDescent="0.25">
      <c r="B13" s="535" t="s">
        <v>42</v>
      </c>
      <c r="D13" s="761">
        <f>+IS!T18/D12</f>
        <v>6.3933703837679634E-4</v>
      </c>
      <c r="E13" s="761">
        <f>+IS!Z18/Industry!E12</f>
        <v>1.0151123002438934E-3</v>
      </c>
      <c r="F13" s="761">
        <f>IS!AF18/Industry!F12</f>
        <v>1.1866454255803369E-3</v>
      </c>
      <c r="G13" s="761">
        <f>+IS!AK18/Industry!G12</f>
        <v>3.8624451346160277E-4</v>
      </c>
      <c r="H13" s="761">
        <f>+IS!AR18/Industry!H12</f>
        <v>1.2748995013553831E-3</v>
      </c>
      <c r="I13" s="761">
        <f>IS!AT18/Industry!I12</f>
        <v>1.3871789653915317E-3</v>
      </c>
      <c r="J13" s="761">
        <f>+IS!AV18/Industry!J12</f>
        <v>1.513070581436367E-3</v>
      </c>
      <c r="K13" s="761">
        <f>+IS!AX18/Industry!K12</f>
        <v>1.5709267301520712E-3</v>
      </c>
      <c r="L13" s="526"/>
      <c r="M13" s="539">
        <f>((K13*K12)/(G13*G12))^(1/5)-1</f>
        <v>0.42693270795613913</v>
      </c>
    </row>
    <row r="14" spans="1:19" ht="15" customHeight="1" x14ac:dyDescent="0.25">
      <c r="B14" s="538"/>
      <c r="C14" s="34"/>
      <c r="D14" s="537"/>
      <c r="E14" s="537"/>
      <c r="F14" s="537"/>
      <c r="G14" s="537"/>
      <c r="H14" s="537"/>
      <c r="I14" s="537"/>
      <c r="J14" s="537"/>
      <c r="K14" s="537"/>
      <c r="L14" s="526"/>
      <c r="M14" s="531"/>
    </row>
    <row r="15" spans="1:19" ht="15" customHeight="1" x14ac:dyDescent="0.25">
      <c r="B15" s="535"/>
      <c r="D15" s="536"/>
      <c r="E15" s="536"/>
      <c r="F15" s="536"/>
      <c r="G15" s="536"/>
      <c r="H15" s="536"/>
      <c r="I15" s="536"/>
      <c r="J15" s="536"/>
      <c r="K15" s="536"/>
      <c r="L15" s="526"/>
      <c r="M15" s="539"/>
    </row>
    <row r="16" spans="1:19" ht="15" customHeight="1" x14ac:dyDescent="0.25">
      <c r="B16" s="538"/>
      <c r="C16" s="34"/>
      <c r="D16" s="537"/>
      <c r="E16" s="537"/>
      <c r="F16" s="537"/>
      <c r="G16" s="537"/>
      <c r="H16" s="537"/>
      <c r="I16" s="537"/>
      <c r="J16" s="537"/>
      <c r="K16" s="537"/>
      <c r="L16" s="526"/>
      <c r="M16" s="531"/>
    </row>
    <row r="17" spans="1:19" ht="15" customHeight="1" x14ac:dyDescent="0.25">
      <c r="B17" s="535"/>
      <c r="D17" s="536"/>
      <c r="E17" s="536"/>
      <c r="F17" s="536"/>
      <c r="G17" s="536"/>
      <c r="H17" s="536"/>
      <c r="I17" s="536"/>
      <c r="J17" s="536"/>
      <c r="K17" s="536"/>
      <c r="L17" s="526"/>
      <c r="M17" s="539"/>
    </row>
    <row r="18" spans="1:19" ht="15" customHeight="1" x14ac:dyDescent="0.25">
      <c r="B18" s="538"/>
      <c r="C18" s="34"/>
      <c r="D18" s="537"/>
      <c r="E18" s="537"/>
      <c r="F18" s="537"/>
      <c r="G18" s="537"/>
      <c r="H18" s="537"/>
      <c r="I18" s="537"/>
      <c r="J18" s="537"/>
      <c r="K18" s="537"/>
      <c r="L18" s="526"/>
      <c r="M18" s="531"/>
    </row>
    <row r="19" spans="1:19" ht="15" customHeight="1" x14ac:dyDescent="0.25">
      <c r="B19" s="535"/>
      <c r="D19" s="536"/>
      <c r="E19" s="536"/>
      <c r="F19" s="536"/>
      <c r="G19" s="536"/>
      <c r="H19" s="536"/>
      <c r="I19" s="536"/>
      <c r="J19" s="536"/>
      <c r="K19" s="536"/>
      <c r="L19" s="526"/>
      <c r="M19" s="539"/>
    </row>
    <row r="20" spans="1:19" ht="15" customHeight="1" x14ac:dyDescent="0.25">
      <c r="B20" s="538"/>
      <c r="C20" s="34"/>
      <c r="D20" s="537"/>
      <c r="E20" s="537"/>
      <c r="F20" s="537"/>
      <c r="G20" s="537"/>
      <c r="H20" s="537"/>
      <c r="I20" s="537"/>
      <c r="J20" s="537"/>
      <c r="K20" s="537"/>
      <c r="L20" s="526"/>
      <c r="M20" s="531"/>
    </row>
    <row r="21" spans="1:19" ht="15" customHeight="1" x14ac:dyDescent="0.25">
      <c r="B21" s="535"/>
      <c r="D21" s="536"/>
      <c r="E21" s="536"/>
      <c r="F21" s="536"/>
      <c r="G21" s="536"/>
      <c r="H21" s="536"/>
      <c r="I21" s="536"/>
      <c r="J21" s="536"/>
      <c r="K21" s="536"/>
      <c r="L21" s="526"/>
      <c r="M21" s="539"/>
    </row>
    <row r="22" spans="1:19" ht="15" customHeight="1" x14ac:dyDescent="0.25">
      <c r="E22" s="527"/>
    </row>
    <row r="23" spans="1:19" ht="15" customHeight="1" x14ac:dyDescent="0.25">
      <c r="A23" s="45" t="s">
        <v>38</v>
      </c>
      <c r="B23" s="33"/>
      <c r="C23" s="33"/>
      <c r="D23" s="33"/>
      <c r="E23" s="33"/>
      <c r="F23" s="33"/>
      <c r="G23" s="33"/>
      <c r="H23" s="33"/>
      <c r="I23" s="33"/>
      <c r="J23" s="33"/>
      <c r="K23" s="33"/>
      <c r="L23" s="33"/>
      <c r="M23" s="33"/>
      <c r="O23" s="33"/>
      <c r="P23" s="33"/>
      <c r="Q23" s="33"/>
      <c r="R23" s="33"/>
      <c r="S23" s="33"/>
    </row>
    <row r="24" spans="1:19" ht="15" customHeight="1" x14ac:dyDescent="0.25">
      <c r="B24" s="33"/>
      <c r="C24" s="33"/>
      <c r="D24" s="33"/>
      <c r="E24" s="33"/>
      <c r="F24" s="33"/>
      <c r="G24" s="33"/>
      <c r="H24" s="33"/>
      <c r="I24" s="33"/>
      <c r="J24" s="33"/>
      <c r="K24" s="33"/>
      <c r="L24" s="33"/>
      <c r="M24" s="33"/>
      <c r="O24" s="33"/>
      <c r="P24" s="33"/>
      <c r="Q24" s="33"/>
      <c r="R24" s="33"/>
      <c r="S24" s="33"/>
    </row>
    <row r="25" spans="1:19" s="406" customFormat="1" ht="15" customHeight="1" x14ac:dyDescent="0.25">
      <c r="B25" s="358" t="s">
        <v>43</v>
      </c>
      <c r="C25" s="33"/>
      <c r="D25" s="358" t="s">
        <v>44</v>
      </c>
      <c r="E25" s="33"/>
      <c r="F25" s="33"/>
      <c r="G25" s="33"/>
      <c r="H25" s="33"/>
      <c r="I25" s="33"/>
      <c r="J25" s="33"/>
      <c r="K25" s="33"/>
      <c r="L25" s="33"/>
      <c r="M25" s="33"/>
      <c r="O25" s="358" t="s">
        <v>45</v>
      </c>
      <c r="P25" s="33"/>
      <c r="Q25" s="33"/>
      <c r="R25" s="33"/>
      <c r="S25" s="33"/>
    </row>
    <row r="26" spans="1:19" ht="4.05" customHeight="1" x14ac:dyDescent="0.25">
      <c r="B26" s="37"/>
      <c r="C26" s="37"/>
      <c r="D26" s="37"/>
      <c r="E26" s="37"/>
      <c r="F26" s="37"/>
      <c r="G26" s="37"/>
      <c r="H26" s="37"/>
      <c r="I26" s="37"/>
      <c r="J26" s="37"/>
      <c r="K26" s="37"/>
      <c r="L26" s="37"/>
      <c r="M26" s="37"/>
      <c r="O26" s="37"/>
      <c r="P26" s="37"/>
      <c r="Q26" s="37"/>
      <c r="R26" s="37"/>
      <c r="S26" s="37"/>
    </row>
    <row r="27" spans="1:19" ht="60" customHeight="1" x14ac:dyDescent="0.25">
      <c r="B27" s="534" t="s">
        <v>46</v>
      </c>
      <c r="C27" s="532"/>
      <c r="D27" s="767" t="s">
        <v>47</v>
      </c>
      <c r="E27" s="767"/>
      <c r="F27" s="767"/>
      <c r="G27" s="767"/>
      <c r="H27" s="767"/>
      <c r="I27" s="767"/>
      <c r="J27" s="767"/>
      <c r="K27" s="767"/>
      <c r="L27" s="767"/>
      <c r="M27" s="767"/>
    </row>
    <row r="28" spans="1:19" ht="60" customHeight="1" x14ac:dyDescent="0.25">
      <c r="B28" s="534" t="s">
        <v>48</v>
      </c>
      <c r="C28" s="532"/>
      <c r="D28" s="767" t="s">
        <v>49</v>
      </c>
      <c r="E28" s="767"/>
      <c r="F28" s="767"/>
      <c r="G28" s="767"/>
      <c r="H28" s="767"/>
      <c r="I28" s="767"/>
      <c r="J28" s="767"/>
      <c r="K28" s="767"/>
      <c r="L28" s="767"/>
      <c r="M28" s="767"/>
    </row>
    <row r="29" spans="1:19" ht="60" customHeight="1" x14ac:dyDescent="0.25">
      <c r="B29" s="534" t="s">
        <v>50</v>
      </c>
      <c r="C29" s="532"/>
      <c r="D29" s="767" t="s">
        <v>51</v>
      </c>
      <c r="E29" s="767"/>
      <c r="F29" s="767"/>
      <c r="G29" s="767"/>
      <c r="H29" s="767"/>
      <c r="I29" s="767"/>
      <c r="J29" s="767"/>
      <c r="K29" s="767"/>
      <c r="L29" s="767"/>
      <c r="M29" s="767"/>
    </row>
    <row r="30" spans="1:19" ht="60" customHeight="1" x14ac:dyDescent="0.25">
      <c r="B30" s="534" t="s">
        <v>52</v>
      </c>
      <c r="C30" s="532"/>
      <c r="D30" s="767" t="s">
        <v>53</v>
      </c>
      <c r="E30" s="767"/>
      <c r="F30" s="767"/>
      <c r="G30" s="767"/>
      <c r="H30" s="767"/>
      <c r="I30" s="767"/>
      <c r="J30" s="767"/>
      <c r="K30" s="767"/>
      <c r="L30" s="767"/>
      <c r="M30" s="767"/>
    </row>
    <row r="31" spans="1:19" ht="60" customHeight="1" x14ac:dyDescent="0.25">
      <c r="B31" s="534" t="s">
        <v>54</v>
      </c>
      <c r="C31" s="532"/>
      <c r="D31" s="767" t="s">
        <v>55</v>
      </c>
      <c r="E31" s="767"/>
      <c r="F31" s="767"/>
      <c r="G31" s="767"/>
      <c r="H31" s="767"/>
      <c r="I31" s="767"/>
      <c r="J31" s="767"/>
      <c r="K31" s="767"/>
      <c r="L31" s="767"/>
      <c r="M31" s="767"/>
    </row>
    <row r="32" spans="1:19" ht="15" customHeight="1" x14ac:dyDescent="0.25">
      <c r="O32" s="361" t="s">
        <v>56</v>
      </c>
      <c r="R32" s="533">
        <v>3.5</v>
      </c>
    </row>
    <row r="33" spans="15:18" ht="15" customHeight="1" x14ac:dyDescent="0.25">
      <c r="O33" s="361" t="s">
        <v>57</v>
      </c>
      <c r="R33" s="533">
        <v>2</v>
      </c>
    </row>
    <row r="34" spans="15:18" ht="15" customHeight="1" x14ac:dyDescent="0.25">
      <c r="O34" s="361" t="s">
        <v>58</v>
      </c>
      <c r="R34" s="533">
        <v>3</v>
      </c>
    </row>
    <row r="35" spans="15:18" ht="15" customHeight="1" x14ac:dyDescent="0.25">
      <c r="O35" s="361" t="s">
        <v>59</v>
      </c>
      <c r="R35" s="533">
        <v>4</v>
      </c>
    </row>
    <row r="36" spans="15:18" ht="15" customHeight="1" x14ac:dyDescent="0.25">
      <c r="O36" s="361" t="s">
        <v>60</v>
      </c>
      <c r="R36" s="533">
        <v>5</v>
      </c>
    </row>
  </sheetData>
  <mergeCells count="5">
    <mergeCell ref="D27:M27"/>
    <mergeCell ref="D28:M28"/>
    <mergeCell ref="D29:M29"/>
    <mergeCell ref="D30:M30"/>
    <mergeCell ref="D31:M31"/>
  </mergeCells>
  <pageMargins left="0.7" right="0.7" top="0.75" bottom="0.75" header="0.3" footer="0.3"/>
  <pageSetup paperSize="9" orientation="portrait" r:id="rId1"/>
  <drawing r:id="rId2"/>
  <legacyDrawing r:id="rId3"/>
  <extLst>
    <ext xmlns:x14="http://schemas.microsoft.com/office/spreadsheetml/2009/9/main" uri="{05C60535-1F16-4fd2-B633-F4F36F0B64E0}">
      <x14:sparklineGroups xmlns:xm="http://schemas.microsoft.com/office/excel/2006/main">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zoomScale="38" zoomScaleNormal="96" workbookViewId="0">
      <selection activeCell="M23" sqref="M23"/>
    </sheetView>
  </sheetViews>
  <sheetFormatPr defaultColWidth="7.5" defaultRowHeight="15" customHeight="1" x14ac:dyDescent="0.25"/>
  <cols>
    <col min="1" max="1" width="2" style="363" customWidth="1"/>
    <col min="2" max="2" width="27" style="363" customWidth="1"/>
    <col min="3" max="3" width="9" style="363" customWidth="1"/>
    <col min="4" max="4" width="19" style="363" customWidth="1"/>
    <col min="5" max="5" width="9" style="364" customWidth="1"/>
    <col min="6" max="6" width="1.5" style="363" customWidth="1"/>
    <col min="7" max="7" width="24" style="363" customWidth="1"/>
    <col min="8" max="8" width="11" style="363" customWidth="1"/>
    <col min="9" max="9" width="40.296875" style="363" customWidth="1"/>
    <col min="10" max="10" width="51.5" style="363" customWidth="1"/>
    <col min="11" max="11" width="75.5" style="363" customWidth="1"/>
    <col min="12" max="16384" width="7.5" style="363"/>
  </cols>
  <sheetData>
    <row r="1" spans="1:11" s="581" customFormat="1" ht="15" customHeight="1" x14ac:dyDescent="0.25">
      <c r="A1" s="580"/>
      <c r="E1" s="580"/>
    </row>
    <row r="2" spans="1:11" s="581" customFormat="1" ht="15" customHeight="1" x14ac:dyDescent="0.25">
      <c r="E2" s="580"/>
    </row>
    <row r="3" spans="1:11" s="581" customFormat="1" ht="15" customHeight="1" x14ac:dyDescent="0.25">
      <c r="E3" s="580"/>
    </row>
    <row r="4" spans="1:11" s="581" customFormat="1" ht="15" customHeight="1" x14ac:dyDescent="0.25">
      <c r="E4" s="580"/>
    </row>
    <row r="5" spans="1:11" s="378" customFormat="1" ht="4.05" customHeight="1" x14ac:dyDescent="0.25">
      <c r="E5" s="379"/>
    </row>
    <row r="7" spans="1:11" s="96" customFormat="1" ht="15" customHeight="1" x14ac:dyDescent="0.25">
      <c r="A7" s="366" t="s">
        <v>38</v>
      </c>
      <c r="B7" s="367" t="s">
        <v>61</v>
      </c>
      <c r="C7" s="367"/>
      <c r="D7" s="367"/>
      <c r="E7" s="33"/>
      <c r="F7" s="323"/>
      <c r="G7" s="323"/>
      <c r="H7" s="323"/>
      <c r="I7" s="33"/>
      <c r="J7" s="323"/>
      <c r="K7" s="323"/>
    </row>
    <row r="8" spans="1:11" s="96" customFormat="1" ht="15" customHeight="1" x14ac:dyDescent="0.25">
      <c r="B8" s="368"/>
      <c r="C8" s="368"/>
      <c r="D8" s="368"/>
      <c r="E8" s="33"/>
      <c r="F8" s="369"/>
      <c r="G8" s="369"/>
      <c r="H8" s="369"/>
      <c r="I8" s="370"/>
      <c r="J8" s="369"/>
      <c r="K8" s="369"/>
    </row>
    <row r="9" spans="1:11" s="96" customFormat="1" ht="14.25" customHeight="1" x14ac:dyDescent="0.25">
      <c r="B9" s="368"/>
      <c r="C9" s="368"/>
      <c r="D9" s="368"/>
      <c r="E9" s="33"/>
      <c r="F9" s="371"/>
      <c r="G9" s="371"/>
      <c r="H9" s="371"/>
      <c r="I9" s="369"/>
      <c r="J9" s="371"/>
      <c r="K9" s="371"/>
    </row>
    <row r="10" spans="1:11" s="96" customFormat="1" ht="4.05" customHeight="1" x14ac:dyDescent="0.25">
      <c r="A10" s="56"/>
      <c r="B10" s="372"/>
      <c r="C10" s="372"/>
      <c r="D10" s="372"/>
      <c r="E10" s="373"/>
      <c r="F10" s="374"/>
      <c r="G10" s="374"/>
      <c r="H10" s="374"/>
      <c r="I10" s="375"/>
      <c r="J10" s="374"/>
      <c r="K10" s="374"/>
    </row>
    <row r="11" spans="1:11" s="24" customFormat="1" ht="15" customHeight="1" x14ac:dyDescent="0.25"/>
    <row r="12" spans="1:11" s="24" customFormat="1" ht="15" customHeight="1" x14ac:dyDescent="0.25">
      <c r="B12" s="358" t="s">
        <v>62</v>
      </c>
      <c r="C12" s="358"/>
      <c r="D12" s="358"/>
      <c r="E12" s="376"/>
      <c r="F12" s="377"/>
      <c r="G12" s="367" t="s">
        <v>63</v>
      </c>
      <c r="H12" s="368"/>
      <c r="I12" s="367"/>
      <c r="J12" s="368"/>
      <c r="K12" s="368"/>
    </row>
    <row r="13" spans="1:11" s="24" customFormat="1" ht="4.05" customHeight="1" x14ac:dyDescent="0.25">
      <c r="B13" s="378"/>
      <c r="C13" s="378"/>
      <c r="D13" s="378"/>
      <c r="E13" s="379"/>
      <c r="F13" s="324"/>
      <c r="G13" s="372"/>
      <c r="H13" s="372"/>
      <c r="I13" s="372"/>
      <c r="J13" s="372"/>
      <c r="K13" s="372"/>
    </row>
    <row r="14" spans="1:11" s="24" customFormat="1" ht="4.05" customHeight="1" x14ac:dyDescent="0.25">
      <c r="B14" s="363"/>
      <c r="C14" s="363"/>
      <c r="D14" s="363"/>
      <c r="E14" s="364"/>
      <c r="F14" s="324"/>
      <c r="G14" s="324"/>
      <c r="H14" s="324"/>
      <c r="I14" s="324"/>
      <c r="J14" s="324"/>
    </row>
    <row r="15" spans="1:11" ht="15" customHeight="1" x14ac:dyDescent="0.25">
      <c r="B15" s="359" t="s">
        <v>64</v>
      </c>
      <c r="C15" s="359"/>
      <c r="D15" s="793">
        <v>52</v>
      </c>
      <c r="E15" s="793"/>
      <c r="H15" s="520"/>
      <c r="I15" s="520"/>
      <c r="J15" s="520"/>
    </row>
    <row r="16" spans="1:11" ht="15" customHeight="1" x14ac:dyDescent="0.25">
      <c r="B16" s="385" t="s">
        <v>65</v>
      </c>
      <c r="C16" s="361"/>
      <c r="D16" s="794">
        <v>34</v>
      </c>
      <c r="E16" s="794"/>
      <c r="G16" s="359"/>
      <c r="H16" s="779"/>
      <c r="I16" s="779"/>
      <c r="J16" s="779"/>
    </row>
    <row r="17" spans="2:11" ht="15" customHeight="1" x14ac:dyDescent="0.25">
      <c r="B17" s="385" t="s">
        <v>66</v>
      </c>
      <c r="C17" s="361"/>
      <c r="D17" s="794">
        <v>46</v>
      </c>
      <c r="E17" s="794"/>
      <c r="H17" s="779"/>
      <c r="I17" s="779"/>
      <c r="J17" s="779"/>
      <c r="K17" s="360"/>
    </row>
    <row r="18" spans="2:11" ht="15" customHeight="1" x14ac:dyDescent="0.25">
      <c r="B18" s="385" t="s">
        <v>67</v>
      </c>
      <c r="C18" s="361"/>
      <c r="D18" s="794">
        <v>85</v>
      </c>
      <c r="E18" s="794"/>
      <c r="G18" s="359"/>
      <c r="H18" s="779"/>
      <c r="I18" s="779"/>
      <c r="J18" s="779"/>
      <c r="K18" s="360"/>
    </row>
    <row r="19" spans="2:11" ht="15" customHeight="1" x14ac:dyDescent="0.25">
      <c r="B19" s="359" t="s">
        <v>68</v>
      </c>
      <c r="C19" s="359"/>
      <c r="D19" s="792">
        <v>32</v>
      </c>
      <c r="E19" s="792"/>
      <c r="H19" s="779"/>
      <c r="I19" s="779"/>
      <c r="J19" s="779"/>
      <c r="K19" s="360"/>
    </row>
    <row r="20" spans="2:11" ht="15" customHeight="1" x14ac:dyDescent="0.25">
      <c r="B20" s="385" t="s">
        <v>69</v>
      </c>
      <c r="C20" s="361"/>
      <c r="D20" s="794" t="s">
        <v>70</v>
      </c>
      <c r="E20" s="794"/>
      <c r="G20" s="359"/>
      <c r="H20" s="779"/>
      <c r="I20" s="779"/>
      <c r="J20" s="779"/>
      <c r="K20" s="360"/>
    </row>
    <row r="21" spans="2:11" ht="15" customHeight="1" x14ac:dyDescent="0.25">
      <c r="B21" s="385" t="s">
        <v>71</v>
      </c>
      <c r="C21" s="361"/>
      <c r="D21" s="794" t="s">
        <v>70</v>
      </c>
      <c r="E21" s="794"/>
      <c r="H21" s="779"/>
      <c r="I21" s="779"/>
      <c r="J21" s="779"/>
      <c r="K21" s="360"/>
    </row>
    <row r="22" spans="2:11" ht="15" customHeight="1" x14ac:dyDescent="0.25">
      <c r="B22" s="385" t="s">
        <v>72</v>
      </c>
      <c r="C22" s="361"/>
      <c r="D22" s="794" t="s">
        <v>70</v>
      </c>
      <c r="E22" s="794"/>
      <c r="G22" s="359"/>
      <c r="H22" s="779"/>
      <c r="I22" s="779"/>
      <c r="J22" s="779"/>
      <c r="K22" s="360"/>
    </row>
    <row r="23" spans="2:11" ht="15" customHeight="1" x14ac:dyDescent="0.25">
      <c r="B23" s="359" t="s">
        <v>73</v>
      </c>
      <c r="C23" s="359"/>
      <c r="D23" s="790" t="s">
        <v>74</v>
      </c>
      <c r="E23" s="790"/>
      <c r="H23" s="779"/>
      <c r="I23" s="779"/>
      <c r="J23" s="779"/>
      <c r="K23" s="360"/>
    </row>
    <row r="24" spans="2:11" ht="15" customHeight="1" x14ac:dyDescent="0.25">
      <c r="B24" s="359" t="s">
        <v>75</v>
      </c>
      <c r="C24" s="359"/>
      <c r="D24" s="791" t="s">
        <v>76</v>
      </c>
      <c r="E24" s="791"/>
    </row>
    <row r="25" spans="2:11" ht="15" customHeight="1" x14ac:dyDescent="0.25">
      <c r="B25" s="385" t="s">
        <v>77</v>
      </c>
      <c r="C25" s="361"/>
      <c r="D25" s="794">
        <v>-7</v>
      </c>
      <c r="E25" s="794"/>
      <c r="G25" s="34"/>
      <c r="H25" s="34"/>
      <c r="I25" s="34"/>
      <c r="K25" s="34"/>
    </row>
    <row r="26" spans="2:11" ht="15" customHeight="1" x14ac:dyDescent="0.25">
      <c r="B26" s="385" t="s">
        <v>78</v>
      </c>
      <c r="C26" s="361"/>
      <c r="D26" s="794">
        <v>9</v>
      </c>
      <c r="E26" s="794"/>
      <c r="G26" s="359"/>
      <c r="H26" s="779"/>
      <c r="I26" s="779"/>
      <c r="J26" s="779"/>
      <c r="K26" s="359"/>
    </row>
    <row r="27" spans="2:11" ht="15" customHeight="1" x14ac:dyDescent="0.25">
      <c r="B27" s="359" t="s">
        <v>79</v>
      </c>
      <c r="C27" s="359"/>
      <c r="D27" s="789" t="s">
        <v>70</v>
      </c>
      <c r="E27" s="789"/>
      <c r="H27" s="779"/>
      <c r="I27" s="779"/>
      <c r="J27" s="779"/>
      <c r="K27" s="520"/>
    </row>
    <row r="28" spans="2:11" ht="15" customHeight="1" x14ac:dyDescent="0.25">
      <c r="E28" s="363"/>
      <c r="G28" s="359"/>
      <c r="H28" s="779"/>
      <c r="I28" s="779"/>
      <c r="J28" s="779"/>
      <c r="K28" s="520"/>
    </row>
    <row r="29" spans="2:11" ht="15" customHeight="1" x14ac:dyDescent="0.25">
      <c r="E29" s="363"/>
      <c r="H29" s="779"/>
      <c r="I29" s="779"/>
      <c r="J29" s="779"/>
      <c r="K29" s="520"/>
    </row>
    <row r="30" spans="2:11" ht="15" customHeight="1" x14ac:dyDescent="0.25">
      <c r="B30" s="358" t="s">
        <v>80</v>
      </c>
      <c r="C30" s="358"/>
      <c r="D30" s="358"/>
      <c r="E30" s="358"/>
      <c r="G30" s="358" t="s">
        <v>81</v>
      </c>
      <c r="H30" s="358"/>
      <c r="I30" s="358"/>
      <c r="J30" s="358"/>
      <c r="K30" s="358"/>
    </row>
    <row r="31" spans="2:11" s="24" customFormat="1" ht="4.05" customHeight="1" x14ac:dyDescent="0.25">
      <c r="B31" s="37"/>
      <c r="C31" s="37"/>
      <c r="D31" s="37"/>
      <c r="E31" s="37"/>
      <c r="F31" s="363"/>
      <c r="G31" s="37"/>
      <c r="H31" s="37"/>
      <c r="I31" s="37"/>
      <c r="J31" s="37"/>
      <c r="K31" s="37"/>
    </row>
    <row r="32" spans="2:11" ht="15" customHeight="1" thickBot="1" x14ac:dyDescent="0.3">
      <c r="B32" s="380"/>
      <c r="C32" s="380"/>
      <c r="D32" s="380"/>
      <c r="E32" s="380"/>
      <c r="G32" s="380"/>
      <c r="H32" s="381" t="s">
        <v>82</v>
      </c>
      <c r="I32" s="381" t="s">
        <v>83</v>
      </c>
      <c r="J32" s="381" t="s">
        <v>84</v>
      </c>
      <c r="K32" s="381" t="s">
        <v>85</v>
      </c>
    </row>
    <row r="33" spans="2:11" ht="15" customHeight="1" x14ac:dyDescent="0.25">
      <c r="B33" s="387" t="s">
        <v>86</v>
      </c>
      <c r="C33" s="784" t="s">
        <v>87</v>
      </c>
      <c r="D33" s="784"/>
      <c r="E33" s="784"/>
      <c r="G33" s="773" t="s">
        <v>88</v>
      </c>
      <c r="H33" s="774"/>
      <c r="I33" s="768" t="s">
        <v>89</v>
      </c>
      <c r="J33" s="768" t="s">
        <v>90</v>
      </c>
      <c r="K33" s="768" t="s">
        <v>91</v>
      </c>
    </row>
    <row r="34" spans="2:11" ht="42" customHeight="1" x14ac:dyDescent="0.25">
      <c r="B34" s="387" t="s">
        <v>92</v>
      </c>
      <c r="C34" s="785" t="s">
        <v>93</v>
      </c>
      <c r="D34" s="785"/>
      <c r="E34" s="785"/>
      <c r="G34" s="773"/>
      <c r="H34" s="774"/>
      <c r="I34" s="768"/>
      <c r="J34" s="768"/>
      <c r="K34" s="768"/>
    </row>
    <row r="35" spans="2:11" ht="15" customHeight="1" x14ac:dyDescent="0.25">
      <c r="B35" s="387" t="s">
        <v>94</v>
      </c>
      <c r="C35" s="784" t="s">
        <v>95</v>
      </c>
      <c r="D35" s="784"/>
      <c r="E35" s="784"/>
      <c r="G35" s="773" t="s">
        <v>96</v>
      </c>
      <c r="H35" s="776"/>
      <c r="I35" s="768" t="s">
        <v>97</v>
      </c>
      <c r="J35" s="768" t="s">
        <v>98</v>
      </c>
      <c r="K35" s="768" t="s">
        <v>99</v>
      </c>
    </row>
    <row r="36" spans="2:11" ht="27" customHeight="1" x14ac:dyDescent="0.25">
      <c r="B36" s="387" t="s">
        <v>100</v>
      </c>
      <c r="C36" s="784" t="s">
        <v>95</v>
      </c>
      <c r="D36" s="784"/>
      <c r="E36" s="784"/>
      <c r="G36" s="773"/>
      <c r="H36" s="776"/>
      <c r="I36" s="768"/>
      <c r="J36" s="768"/>
      <c r="K36" s="768"/>
    </row>
    <row r="37" spans="2:11" ht="15" customHeight="1" x14ac:dyDescent="0.25">
      <c r="C37" s="786"/>
      <c r="D37" s="786"/>
      <c r="E37" s="786"/>
      <c r="G37" s="773" t="s">
        <v>101</v>
      </c>
      <c r="H37" s="774"/>
      <c r="I37" s="768" t="s">
        <v>102</v>
      </c>
      <c r="J37" s="768" t="s">
        <v>103</v>
      </c>
      <c r="K37" s="768" t="s">
        <v>104</v>
      </c>
    </row>
    <row r="38" spans="2:11" ht="33" customHeight="1" x14ac:dyDescent="0.25">
      <c r="B38" s="387" t="s">
        <v>105</v>
      </c>
      <c r="C38" s="785" t="s">
        <v>106</v>
      </c>
      <c r="D38" s="784"/>
      <c r="E38" s="784"/>
      <c r="G38" s="773"/>
      <c r="H38" s="774"/>
      <c r="I38" s="768"/>
      <c r="J38" s="768"/>
      <c r="K38" s="768"/>
    </row>
    <row r="39" spans="2:11" ht="15" customHeight="1" x14ac:dyDescent="0.25">
      <c r="B39" s="387" t="s">
        <v>107</v>
      </c>
      <c r="C39" s="788">
        <v>2023</v>
      </c>
      <c r="D39" s="784"/>
      <c r="E39" s="784"/>
      <c r="G39" s="773" t="s">
        <v>108</v>
      </c>
      <c r="H39" s="775"/>
      <c r="I39" s="768" t="s">
        <v>109</v>
      </c>
      <c r="J39" s="768" t="s">
        <v>110</v>
      </c>
      <c r="K39" s="768" t="s">
        <v>111</v>
      </c>
    </row>
    <row r="40" spans="2:11" ht="45.75" customHeight="1" x14ac:dyDescent="0.25">
      <c r="C40" s="389"/>
      <c r="D40" s="522"/>
      <c r="E40" s="522"/>
      <c r="G40" s="773"/>
      <c r="H40" s="775"/>
      <c r="I40" s="768"/>
      <c r="J40" s="768"/>
      <c r="K40" s="768"/>
    </row>
    <row r="41" spans="2:11" ht="15" customHeight="1" x14ac:dyDescent="0.25">
      <c r="B41" s="359" t="s">
        <v>112</v>
      </c>
      <c r="C41" s="784">
        <v>2024</v>
      </c>
      <c r="D41" s="784"/>
      <c r="E41" s="784"/>
      <c r="G41" s="773" t="s">
        <v>113</v>
      </c>
      <c r="H41" s="780"/>
      <c r="I41" s="787"/>
      <c r="J41" s="783"/>
      <c r="K41" s="783"/>
    </row>
    <row r="42" spans="2:11" ht="15" customHeight="1" x14ac:dyDescent="0.25">
      <c r="B42" s="359" t="s">
        <v>114</v>
      </c>
      <c r="C42" s="784">
        <v>2024</v>
      </c>
      <c r="D42" s="784"/>
      <c r="E42" s="784"/>
      <c r="G42" s="773"/>
      <c r="H42" s="780"/>
      <c r="I42" s="787"/>
      <c r="J42" s="783"/>
      <c r="K42" s="783"/>
    </row>
    <row r="43" spans="2:11" ht="15" customHeight="1" x14ac:dyDescent="0.25">
      <c r="C43" s="388"/>
      <c r="D43" s="388"/>
      <c r="E43" s="388"/>
      <c r="G43" s="362"/>
      <c r="H43" s="382"/>
      <c r="I43" s="383"/>
      <c r="J43" s="384"/>
      <c r="K43" s="384"/>
    </row>
    <row r="44" spans="2:11" ht="15" customHeight="1" x14ac:dyDescent="0.25">
      <c r="B44" s="358" t="s">
        <v>115</v>
      </c>
      <c r="C44" s="358"/>
      <c r="D44" s="358"/>
      <c r="E44" s="358"/>
      <c r="G44" s="358" t="s">
        <v>116</v>
      </c>
      <c r="H44" s="358"/>
      <c r="I44" s="358"/>
      <c r="J44" s="358"/>
      <c r="K44" s="358"/>
    </row>
    <row r="45" spans="2:11" s="24" customFormat="1" ht="4.05" customHeight="1" x14ac:dyDescent="0.25">
      <c r="B45" s="37"/>
      <c r="C45" s="37"/>
      <c r="D45" s="37"/>
      <c r="E45" s="37"/>
      <c r="F45" s="363"/>
      <c r="G45" s="37"/>
      <c r="H45" s="37"/>
      <c r="I45" s="37"/>
      <c r="J45" s="37"/>
      <c r="K45" s="37"/>
    </row>
    <row r="46" spans="2:11" ht="15" customHeight="1" thickBot="1" x14ac:dyDescent="0.3">
      <c r="B46" s="380"/>
      <c r="C46" s="380"/>
      <c r="D46" s="380"/>
      <c r="E46" s="380"/>
      <c r="G46" s="380"/>
      <c r="H46" s="381" t="s">
        <v>82</v>
      </c>
      <c r="I46" s="381" t="s">
        <v>83</v>
      </c>
      <c r="J46" s="381" t="s">
        <v>84</v>
      </c>
      <c r="K46" s="381" t="s">
        <v>85</v>
      </c>
    </row>
    <row r="47" spans="2:11" ht="15" customHeight="1" x14ac:dyDescent="0.25">
      <c r="B47" s="795"/>
      <c r="C47" s="795"/>
      <c r="D47" s="795"/>
      <c r="E47" s="795"/>
      <c r="G47" s="773" t="s">
        <v>117</v>
      </c>
      <c r="H47" s="781"/>
      <c r="I47" s="768" t="s">
        <v>118</v>
      </c>
      <c r="J47" s="768" t="s">
        <v>119</v>
      </c>
      <c r="K47" s="768" t="s">
        <v>120</v>
      </c>
    </row>
    <row r="48" spans="2:11" ht="54" customHeight="1" x14ac:dyDescent="0.25">
      <c r="B48" s="796" t="s">
        <v>121</v>
      </c>
      <c r="C48" s="796"/>
      <c r="D48" s="796"/>
      <c r="E48" s="796"/>
      <c r="G48" s="773"/>
      <c r="H48" s="781"/>
      <c r="I48" s="768"/>
      <c r="J48" s="768"/>
      <c r="K48" s="768"/>
    </row>
    <row r="49" spans="2:11" ht="15" customHeight="1" x14ac:dyDescent="0.25">
      <c r="G49" s="773" t="s">
        <v>122</v>
      </c>
      <c r="H49" s="776"/>
      <c r="I49" s="768" t="s">
        <v>123</v>
      </c>
      <c r="J49" s="768" t="s">
        <v>124</v>
      </c>
      <c r="K49" s="768" t="s">
        <v>125</v>
      </c>
    </row>
    <row r="50" spans="2:11" ht="43.05" customHeight="1" x14ac:dyDescent="0.25">
      <c r="B50" s="797" t="s">
        <v>126</v>
      </c>
      <c r="C50" s="797"/>
      <c r="D50" s="797"/>
      <c r="E50" s="797"/>
      <c r="G50" s="773"/>
      <c r="H50" s="776"/>
      <c r="I50" s="768"/>
      <c r="J50" s="768"/>
      <c r="K50" s="768"/>
    </row>
    <row r="51" spans="2:11" ht="15" customHeight="1" x14ac:dyDescent="0.25">
      <c r="B51" s="798"/>
      <c r="C51" s="798"/>
      <c r="D51" s="798"/>
      <c r="E51" s="798"/>
      <c r="G51" s="773" t="s">
        <v>127</v>
      </c>
      <c r="H51" s="775"/>
      <c r="I51" s="768" t="s">
        <v>128</v>
      </c>
      <c r="J51" s="768" t="s">
        <v>129</v>
      </c>
      <c r="K51" s="768" t="s">
        <v>111</v>
      </c>
    </row>
    <row r="52" spans="2:11" ht="26.55" customHeight="1" x14ac:dyDescent="0.25">
      <c r="B52" s="797" t="s">
        <v>130</v>
      </c>
      <c r="C52" s="797"/>
      <c r="D52" s="797"/>
      <c r="E52" s="797"/>
      <c r="G52" s="773"/>
      <c r="H52" s="775"/>
      <c r="I52" s="768"/>
      <c r="J52" s="768"/>
      <c r="K52" s="768"/>
    </row>
    <row r="53" spans="2:11" ht="15" customHeight="1" x14ac:dyDescent="0.25">
      <c r="B53" s="798"/>
      <c r="C53" s="798"/>
      <c r="D53" s="798"/>
      <c r="E53" s="798"/>
      <c r="G53" s="773" t="s">
        <v>131</v>
      </c>
      <c r="H53" s="776"/>
      <c r="I53" s="768" t="s">
        <v>132</v>
      </c>
      <c r="J53" s="768" t="s">
        <v>133</v>
      </c>
      <c r="K53" s="768" t="s">
        <v>134</v>
      </c>
    </row>
    <row r="54" spans="2:11" ht="46.5" customHeight="1" x14ac:dyDescent="0.25">
      <c r="B54" s="797" t="s">
        <v>135</v>
      </c>
      <c r="C54" s="797"/>
      <c r="D54" s="797"/>
      <c r="E54" s="797"/>
      <c r="G54" s="773"/>
      <c r="H54" s="776"/>
      <c r="I54" s="768"/>
      <c r="J54" s="768"/>
      <c r="K54" s="768"/>
    </row>
    <row r="55" spans="2:11" ht="15" customHeight="1" x14ac:dyDescent="0.25">
      <c r="B55" s="798"/>
      <c r="C55" s="798"/>
      <c r="D55" s="798"/>
      <c r="E55" s="798"/>
      <c r="G55" s="773" t="s">
        <v>136</v>
      </c>
      <c r="H55" s="775"/>
      <c r="I55" s="768" t="s">
        <v>137</v>
      </c>
      <c r="J55" s="768" t="s">
        <v>138</v>
      </c>
      <c r="K55" s="768" t="s">
        <v>111</v>
      </c>
    </row>
    <row r="56" spans="2:11" ht="43.5" customHeight="1" x14ac:dyDescent="0.25">
      <c r="B56" s="798"/>
      <c r="C56" s="798"/>
      <c r="D56" s="798"/>
      <c r="E56" s="798"/>
      <c r="G56" s="773"/>
      <c r="H56" s="775"/>
      <c r="I56" s="768"/>
      <c r="J56" s="768"/>
      <c r="K56" s="768"/>
    </row>
    <row r="57" spans="2:11" ht="15" customHeight="1" x14ac:dyDescent="0.25">
      <c r="B57" s="798"/>
      <c r="C57" s="798"/>
      <c r="D57" s="798"/>
      <c r="E57" s="798"/>
      <c r="G57" s="773" t="s">
        <v>139</v>
      </c>
      <c r="H57" s="776"/>
      <c r="I57" s="768" t="s">
        <v>140</v>
      </c>
      <c r="J57" s="768" t="s">
        <v>141</v>
      </c>
      <c r="K57" s="768" t="s">
        <v>111</v>
      </c>
    </row>
    <row r="58" spans="2:11" ht="15" customHeight="1" x14ac:dyDescent="0.25">
      <c r="B58" s="798"/>
      <c r="C58" s="798"/>
      <c r="D58" s="798"/>
      <c r="E58" s="798"/>
      <c r="G58" s="773"/>
      <c r="H58" s="776"/>
      <c r="I58" s="768"/>
      <c r="J58" s="768"/>
      <c r="K58" s="768"/>
    </row>
    <row r="59" spans="2:11" ht="15" customHeight="1" x14ac:dyDescent="0.25">
      <c r="B59" s="798"/>
      <c r="C59" s="798"/>
      <c r="D59" s="798"/>
      <c r="E59" s="798"/>
      <c r="G59" s="773" t="s">
        <v>142</v>
      </c>
      <c r="H59" s="774"/>
      <c r="I59" s="768" t="s">
        <v>111</v>
      </c>
      <c r="J59" s="768" t="s">
        <v>143</v>
      </c>
      <c r="K59" s="768" t="s">
        <v>144</v>
      </c>
    </row>
    <row r="60" spans="2:11" ht="31.5" customHeight="1" x14ac:dyDescent="0.25">
      <c r="B60" s="798"/>
      <c r="C60" s="798"/>
      <c r="D60" s="798"/>
      <c r="E60" s="798"/>
      <c r="G60" s="773"/>
      <c r="H60" s="774"/>
      <c r="I60" s="768"/>
      <c r="J60" s="768"/>
      <c r="K60" s="768"/>
    </row>
    <row r="61" spans="2:11" ht="15" customHeight="1" x14ac:dyDescent="0.25">
      <c r="B61" s="798"/>
      <c r="C61" s="798"/>
      <c r="D61" s="798"/>
      <c r="E61" s="798"/>
      <c r="G61" s="773" t="s">
        <v>145</v>
      </c>
      <c r="H61" s="776"/>
      <c r="I61" s="768" t="s">
        <v>146</v>
      </c>
      <c r="J61" s="768" t="s">
        <v>147</v>
      </c>
      <c r="K61" s="768" t="s">
        <v>148</v>
      </c>
    </row>
    <row r="62" spans="2:11" ht="59.55" customHeight="1" x14ac:dyDescent="0.25">
      <c r="B62" s="798"/>
      <c r="C62" s="798"/>
      <c r="D62" s="798"/>
      <c r="E62" s="798"/>
      <c r="G62" s="773"/>
      <c r="H62" s="776"/>
      <c r="I62" s="768"/>
      <c r="J62" s="768"/>
      <c r="K62" s="768"/>
    </row>
    <row r="63" spans="2:11" ht="15" customHeight="1" x14ac:dyDescent="0.25">
      <c r="B63" s="798"/>
      <c r="C63" s="798"/>
      <c r="D63" s="798"/>
      <c r="E63" s="798"/>
      <c r="G63" s="773" t="s">
        <v>149</v>
      </c>
      <c r="H63" s="774"/>
      <c r="I63" s="768" t="s">
        <v>150</v>
      </c>
      <c r="J63" s="768" t="s">
        <v>151</v>
      </c>
      <c r="K63" s="768" t="s">
        <v>152</v>
      </c>
    </row>
    <row r="64" spans="2:11" ht="47.55" customHeight="1" x14ac:dyDescent="0.25">
      <c r="B64" s="798"/>
      <c r="C64" s="798"/>
      <c r="D64" s="798"/>
      <c r="E64" s="798"/>
      <c r="G64" s="773"/>
      <c r="H64" s="774"/>
      <c r="I64" s="768"/>
      <c r="J64" s="768"/>
      <c r="K64" s="768"/>
    </row>
    <row r="65" spans="2:11" ht="15" customHeight="1" x14ac:dyDescent="0.25">
      <c r="B65" s="798"/>
      <c r="C65" s="798"/>
      <c r="D65" s="798"/>
      <c r="E65" s="798"/>
      <c r="G65" s="773" t="s">
        <v>153</v>
      </c>
      <c r="H65" s="774"/>
      <c r="I65" s="768" t="s">
        <v>154</v>
      </c>
      <c r="J65" s="768" t="s">
        <v>155</v>
      </c>
      <c r="K65" s="768" t="s">
        <v>111</v>
      </c>
    </row>
    <row r="66" spans="2:11" ht="42.75" customHeight="1" x14ac:dyDescent="0.25">
      <c r="B66" s="798"/>
      <c r="C66" s="798"/>
      <c r="D66" s="798"/>
      <c r="E66" s="798"/>
      <c r="G66" s="773"/>
      <c r="H66" s="774"/>
      <c r="I66" s="768"/>
      <c r="J66" s="768"/>
      <c r="K66" s="768"/>
    </row>
    <row r="67" spans="2:11" ht="15" customHeight="1" x14ac:dyDescent="0.25">
      <c r="B67" s="798"/>
      <c r="C67" s="798"/>
      <c r="D67" s="798"/>
      <c r="E67" s="798"/>
      <c r="G67" s="773" t="s">
        <v>156</v>
      </c>
      <c r="H67" s="775"/>
      <c r="I67" s="768" t="s">
        <v>111</v>
      </c>
      <c r="J67" s="768" t="s">
        <v>157</v>
      </c>
      <c r="K67" s="783" t="s">
        <v>158</v>
      </c>
    </row>
    <row r="68" spans="2:11" ht="15" customHeight="1" x14ac:dyDescent="0.25">
      <c r="B68" s="798"/>
      <c r="C68" s="798"/>
      <c r="D68" s="798"/>
      <c r="E68" s="798"/>
      <c r="G68" s="773"/>
      <c r="H68" s="775"/>
      <c r="I68" s="768"/>
      <c r="J68" s="768"/>
      <c r="K68" s="783"/>
    </row>
    <row r="69" spans="2:11" ht="15" customHeight="1" x14ac:dyDescent="0.25">
      <c r="G69" s="362"/>
      <c r="H69" s="382"/>
      <c r="I69" s="383"/>
      <c r="J69" s="384"/>
      <c r="K69" s="384"/>
    </row>
    <row r="70" spans="2:11" ht="15" customHeight="1" x14ac:dyDescent="0.25">
      <c r="B70" s="367" t="s">
        <v>159</v>
      </c>
      <c r="C70" s="367"/>
      <c r="D70" s="367"/>
      <c r="E70" s="368"/>
      <c r="G70" s="358" t="s">
        <v>160</v>
      </c>
      <c r="H70" s="358"/>
      <c r="I70" s="358"/>
      <c r="J70" s="358"/>
      <c r="K70" s="358"/>
    </row>
    <row r="71" spans="2:11" s="24" customFormat="1" ht="4.05" customHeight="1" x14ac:dyDescent="0.25">
      <c r="B71" s="372"/>
      <c r="C71" s="372"/>
      <c r="D71" s="372"/>
      <c r="E71" s="372"/>
      <c r="F71" s="363"/>
      <c r="G71" s="37"/>
      <c r="H71" s="37"/>
      <c r="I71" s="37"/>
      <c r="J71" s="37"/>
      <c r="K71" s="37"/>
    </row>
    <row r="72" spans="2:11" ht="15" customHeight="1" thickBot="1" x14ac:dyDescent="0.3">
      <c r="B72" s="381" t="s">
        <v>161</v>
      </c>
      <c r="C72" s="386" t="s">
        <v>162</v>
      </c>
      <c r="D72" s="386"/>
      <c r="E72" s="386" t="s">
        <v>163</v>
      </c>
      <c r="G72" s="380"/>
      <c r="H72" s="381" t="s">
        <v>82</v>
      </c>
      <c r="I72" s="381" t="s">
        <v>83</v>
      </c>
      <c r="J72" s="381" t="s">
        <v>84</v>
      </c>
      <c r="K72" s="381" t="s">
        <v>85</v>
      </c>
    </row>
    <row r="73" spans="2:11" ht="28.5" customHeight="1" x14ac:dyDescent="0.25">
      <c r="B73" s="363" t="s">
        <v>164</v>
      </c>
      <c r="C73" s="799" t="s">
        <v>165</v>
      </c>
      <c r="D73" s="799"/>
      <c r="E73" s="363" t="s">
        <v>166</v>
      </c>
      <c r="G73" s="773" t="s">
        <v>167</v>
      </c>
      <c r="H73" s="777"/>
      <c r="I73" s="768" t="s">
        <v>168</v>
      </c>
      <c r="J73" s="768" t="s">
        <v>169</v>
      </c>
      <c r="K73" s="768" t="s">
        <v>170</v>
      </c>
    </row>
    <row r="74" spans="2:11" ht="24.75" customHeight="1" x14ac:dyDescent="0.25">
      <c r="B74" s="363" t="s">
        <v>171</v>
      </c>
      <c r="C74" s="800" t="s">
        <v>172</v>
      </c>
      <c r="D74" s="800"/>
      <c r="E74" s="363" t="s">
        <v>173</v>
      </c>
      <c r="G74" s="773"/>
      <c r="H74" s="777"/>
      <c r="I74" s="768"/>
      <c r="J74" s="768"/>
      <c r="K74" s="768"/>
    </row>
    <row r="75" spans="2:11" ht="55.05" customHeight="1" x14ac:dyDescent="0.25">
      <c r="B75" s="363" t="s">
        <v>174</v>
      </c>
      <c r="C75" s="787" t="s">
        <v>175</v>
      </c>
      <c r="D75" s="787"/>
      <c r="E75" s="363" t="s">
        <v>176</v>
      </c>
      <c r="G75" s="773" t="s">
        <v>177</v>
      </c>
      <c r="H75" s="771"/>
      <c r="I75" s="768" t="s">
        <v>178</v>
      </c>
      <c r="J75" s="768" t="s">
        <v>179</v>
      </c>
      <c r="K75" s="768" t="s">
        <v>180</v>
      </c>
    </row>
    <row r="76" spans="2:11" ht="27" customHeight="1" x14ac:dyDescent="0.25">
      <c r="B76" s="363" t="s">
        <v>181</v>
      </c>
      <c r="C76" s="787" t="s">
        <v>182</v>
      </c>
      <c r="D76" s="787"/>
      <c r="E76" s="363" t="s">
        <v>183</v>
      </c>
      <c r="G76" s="773"/>
      <c r="H76" s="771"/>
      <c r="I76" s="768"/>
      <c r="J76" s="768"/>
      <c r="K76" s="768"/>
    </row>
    <row r="77" spans="2:11" ht="24.75" customHeight="1" x14ac:dyDescent="0.25">
      <c r="B77" s="681" t="s">
        <v>184</v>
      </c>
      <c r="C77" s="772" t="s">
        <v>185</v>
      </c>
      <c r="D77" s="772"/>
      <c r="E77" s="681" t="s">
        <v>186</v>
      </c>
      <c r="G77" s="773" t="s">
        <v>187</v>
      </c>
      <c r="H77" s="771"/>
      <c r="I77" s="768" t="s">
        <v>111</v>
      </c>
      <c r="J77" s="768" t="s">
        <v>188</v>
      </c>
      <c r="K77" s="768" t="s">
        <v>189</v>
      </c>
    </row>
    <row r="78" spans="2:11" ht="38.549999999999997" customHeight="1" x14ac:dyDescent="0.25">
      <c r="C78" s="780"/>
      <c r="D78" s="780"/>
      <c r="E78" s="363"/>
      <c r="G78" s="773"/>
      <c r="H78" s="771"/>
      <c r="I78" s="768"/>
      <c r="J78" s="768"/>
      <c r="K78" s="768"/>
    </row>
    <row r="79" spans="2:11" ht="15" customHeight="1" x14ac:dyDescent="0.25">
      <c r="C79" s="780"/>
      <c r="D79" s="780"/>
      <c r="E79" s="363"/>
      <c r="G79" s="773" t="s">
        <v>190</v>
      </c>
      <c r="H79" s="769"/>
      <c r="I79" s="768" t="s">
        <v>111</v>
      </c>
      <c r="J79" s="768" t="s">
        <v>191</v>
      </c>
      <c r="K79" s="768" t="s">
        <v>192</v>
      </c>
    </row>
    <row r="80" spans="2:11" ht="15" customHeight="1" x14ac:dyDescent="0.25">
      <c r="C80" s="780"/>
      <c r="D80" s="780"/>
      <c r="E80" s="363"/>
      <c r="G80" s="773"/>
      <c r="H80" s="769"/>
      <c r="I80" s="768"/>
      <c r="J80" s="768"/>
      <c r="K80" s="768"/>
    </row>
    <row r="81" spans="3:11" ht="15" customHeight="1" x14ac:dyDescent="0.25">
      <c r="C81" s="780"/>
      <c r="D81" s="780"/>
      <c r="E81" s="363"/>
      <c r="G81" s="773" t="s">
        <v>193</v>
      </c>
      <c r="H81" s="770"/>
      <c r="I81" s="768" t="s">
        <v>111</v>
      </c>
      <c r="J81" s="782" t="s">
        <v>194</v>
      </c>
      <c r="K81" s="768" t="s">
        <v>195</v>
      </c>
    </row>
    <row r="82" spans="3:11" ht="32.25" customHeight="1" x14ac:dyDescent="0.25">
      <c r="C82" s="780"/>
      <c r="D82" s="780"/>
      <c r="E82" s="363"/>
      <c r="G82" s="773"/>
      <c r="H82" s="770"/>
      <c r="I82" s="768"/>
      <c r="J82" s="782"/>
      <c r="K82" s="768"/>
    </row>
    <row r="83" spans="3:11" ht="15" customHeight="1" x14ac:dyDescent="0.25">
      <c r="C83" s="780"/>
      <c r="D83" s="780"/>
      <c r="E83" s="363"/>
      <c r="G83" s="773" t="s">
        <v>196</v>
      </c>
      <c r="H83" s="769"/>
      <c r="I83" s="768" t="s">
        <v>197</v>
      </c>
      <c r="J83" s="768" t="s">
        <v>198</v>
      </c>
      <c r="K83" s="768" t="s">
        <v>199</v>
      </c>
    </row>
    <row r="84" spans="3:11" ht="40.5" customHeight="1" x14ac:dyDescent="0.25">
      <c r="C84" s="780"/>
      <c r="D84" s="780"/>
      <c r="E84" s="363"/>
      <c r="G84" s="773"/>
      <c r="H84" s="769"/>
      <c r="I84" s="768"/>
      <c r="J84" s="768"/>
      <c r="K84" s="768"/>
    </row>
    <row r="85" spans="3:11" ht="15" customHeight="1" x14ac:dyDescent="0.25">
      <c r="C85" s="780"/>
      <c r="D85" s="780"/>
      <c r="E85" s="363"/>
      <c r="G85" s="773" t="s">
        <v>200</v>
      </c>
      <c r="H85" s="771"/>
      <c r="I85" s="768" t="s">
        <v>201</v>
      </c>
      <c r="J85" s="768" t="s">
        <v>202</v>
      </c>
      <c r="K85" s="768" t="s">
        <v>203</v>
      </c>
    </row>
    <row r="86" spans="3:11" ht="15" customHeight="1" x14ac:dyDescent="0.25">
      <c r="C86" s="780"/>
      <c r="D86" s="780"/>
      <c r="E86" s="363"/>
      <c r="G86" s="773"/>
      <c r="H86" s="771"/>
      <c r="I86" s="768"/>
      <c r="J86" s="768"/>
      <c r="K86" s="768"/>
    </row>
    <row r="87" spans="3:11" ht="15" customHeight="1" x14ac:dyDescent="0.25">
      <c r="C87" s="780"/>
      <c r="D87" s="780"/>
      <c r="E87" s="363"/>
      <c r="G87" s="773" t="s">
        <v>204</v>
      </c>
      <c r="H87" s="769"/>
      <c r="I87" s="768" t="s">
        <v>205</v>
      </c>
      <c r="J87" s="768" t="s">
        <v>206</v>
      </c>
      <c r="K87" s="768" t="s">
        <v>207</v>
      </c>
    </row>
    <row r="88" spans="3:11" ht="38.549999999999997" customHeight="1" x14ac:dyDescent="0.25">
      <c r="C88" s="780"/>
      <c r="D88" s="780"/>
      <c r="E88" s="363"/>
      <c r="G88" s="773"/>
      <c r="H88" s="769"/>
      <c r="I88" s="768"/>
      <c r="J88" s="768"/>
      <c r="K88" s="768"/>
    </row>
    <row r="89" spans="3:11" ht="15" customHeight="1" x14ac:dyDescent="0.25">
      <c r="C89" s="780"/>
      <c r="D89" s="780"/>
      <c r="E89" s="363"/>
      <c r="G89" s="778" t="s">
        <v>208</v>
      </c>
      <c r="H89" s="771"/>
      <c r="I89" s="768" t="s">
        <v>209</v>
      </c>
      <c r="J89" s="768" t="s">
        <v>210</v>
      </c>
      <c r="K89" s="768" t="s">
        <v>111</v>
      </c>
    </row>
    <row r="90" spans="3:11" ht="43.5" customHeight="1" x14ac:dyDescent="0.25">
      <c r="C90" s="780"/>
      <c r="D90" s="780"/>
      <c r="E90" s="363"/>
      <c r="G90" s="778"/>
      <c r="H90" s="771"/>
      <c r="I90" s="768"/>
      <c r="J90" s="768"/>
      <c r="K90" s="768"/>
    </row>
    <row r="91" spans="3:11" ht="15" customHeight="1" x14ac:dyDescent="0.25">
      <c r="C91" s="780"/>
      <c r="D91" s="780"/>
      <c r="E91" s="363"/>
      <c r="G91" s="773" t="s">
        <v>211</v>
      </c>
      <c r="H91" s="772"/>
      <c r="I91" s="768" t="s">
        <v>111</v>
      </c>
      <c r="J91" s="768" t="s">
        <v>111</v>
      </c>
      <c r="K91" s="768" t="s">
        <v>212</v>
      </c>
    </row>
    <row r="92" spans="3:11" ht="15" customHeight="1" x14ac:dyDescent="0.25">
      <c r="C92" s="780"/>
      <c r="D92" s="780"/>
      <c r="E92" s="363"/>
      <c r="G92" s="773"/>
      <c r="H92" s="772"/>
      <c r="I92" s="768"/>
      <c r="J92" s="768"/>
      <c r="K92" s="768"/>
    </row>
    <row r="93" spans="3:11" ht="15" customHeight="1" x14ac:dyDescent="0.25">
      <c r="C93" s="780"/>
      <c r="D93" s="780"/>
      <c r="E93" s="363"/>
      <c r="G93" s="773" t="s">
        <v>213</v>
      </c>
      <c r="H93" s="771"/>
      <c r="I93" s="768" t="s">
        <v>214</v>
      </c>
      <c r="J93" s="768" t="s">
        <v>215</v>
      </c>
      <c r="K93" s="768" t="s">
        <v>216</v>
      </c>
    </row>
    <row r="94" spans="3:11" ht="43.5" customHeight="1" x14ac:dyDescent="0.25">
      <c r="G94" s="773"/>
      <c r="H94" s="771"/>
      <c r="I94" s="768"/>
      <c r="J94" s="768"/>
      <c r="K94" s="768"/>
    </row>
  </sheetData>
  <mergeCells count="205">
    <mergeCell ref="C42:E42"/>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 ref="C90:D90"/>
    <mergeCell ref="C91:D91"/>
    <mergeCell ref="C92:D92"/>
    <mergeCell ref="C93:D93"/>
    <mergeCell ref="B47:E47"/>
    <mergeCell ref="B48:E48"/>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C81:D81"/>
    <mergeCell ref="C82:D82"/>
    <mergeCell ref="D27:E27"/>
    <mergeCell ref="D23:E23"/>
    <mergeCell ref="D24:E24"/>
    <mergeCell ref="D19:E19"/>
    <mergeCell ref="D15:E15"/>
    <mergeCell ref="D16:E16"/>
    <mergeCell ref="D17:E17"/>
    <mergeCell ref="D18:E18"/>
    <mergeCell ref="D20:E20"/>
    <mergeCell ref="D21:E21"/>
    <mergeCell ref="D22:E22"/>
    <mergeCell ref="D25:E25"/>
    <mergeCell ref="D26:E26"/>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G47:G48"/>
    <mergeCell ref="G49:G50"/>
    <mergeCell ref="G51:G52"/>
    <mergeCell ref="G53:G54"/>
    <mergeCell ref="G73:G74"/>
    <mergeCell ref="G55:G56"/>
    <mergeCell ref="G57:G58"/>
    <mergeCell ref="G59:G60"/>
    <mergeCell ref="G61:G62"/>
    <mergeCell ref="G63:G64"/>
    <mergeCell ref="G65:G66"/>
    <mergeCell ref="G67:G68"/>
    <mergeCell ref="I75:I76"/>
    <mergeCell ref="J75:J76"/>
    <mergeCell ref="I77:I78"/>
    <mergeCell ref="J77:J78"/>
    <mergeCell ref="I79:I80"/>
    <mergeCell ref="J79:J80"/>
    <mergeCell ref="I81:I82"/>
    <mergeCell ref="J81:J82"/>
    <mergeCell ref="I61:I62"/>
    <mergeCell ref="J73:J74"/>
    <mergeCell ref="I65:I66"/>
    <mergeCell ref="I67:I68"/>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M46"/>
  <sheetViews>
    <sheetView showGridLines="0" tabSelected="1" zoomScale="64" zoomScaleNormal="136" workbookViewId="0">
      <selection activeCell="AR22" sqref="AR22"/>
    </sheetView>
  </sheetViews>
  <sheetFormatPr defaultColWidth="9" defaultRowHeight="15" customHeight="1" outlineLevelCol="1" x14ac:dyDescent="0.25"/>
  <cols>
    <col min="1" max="1" width="2" style="96" customWidth="1"/>
    <col min="2" max="2" width="39.5" style="96" customWidth="1"/>
    <col min="3" max="3" width="3.296875" style="24" customWidth="1"/>
    <col min="4" max="7" width="9.5" style="96" hidden="1" customWidth="1" outlineLevel="1"/>
    <col min="8" max="8" width="11.5" style="96" customWidth="1" collapsed="1"/>
    <col min="9" max="9" width="1.5" style="24" customWidth="1"/>
    <col min="10" max="13" width="9.5" style="96" hidden="1" customWidth="1" outlineLevel="1"/>
    <col min="14" max="14" width="11.5" style="96" customWidth="1" collapsed="1"/>
    <col min="15" max="15" width="1.5" style="24" customWidth="1"/>
    <col min="16" max="19" width="9.5" style="96" hidden="1" customWidth="1" outlineLevel="1"/>
    <col min="20" max="20" width="11.5" style="96" customWidth="1" collapsed="1"/>
    <col min="21" max="21" width="1.5" style="24" customWidth="1"/>
    <col min="22" max="25" width="9.5" style="96" hidden="1" customWidth="1" outlineLevel="1"/>
    <col min="26" max="26" width="11.5" style="96" customWidth="1" collapsed="1"/>
    <col min="27" max="27" width="1.5" style="24" customWidth="1"/>
    <col min="28" max="31" width="9.5" style="96" hidden="1" customWidth="1" outlineLevel="1"/>
    <col min="32" max="32" width="11.5" style="96" customWidth="1" collapsed="1"/>
    <col min="33" max="33" width="1.5" style="24" customWidth="1"/>
    <col min="34" max="37" width="9.5" style="96" hidden="1" customWidth="1" outlineLevel="1"/>
    <col min="38" max="38" width="11.5" style="96" customWidth="1" collapsed="1"/>
    <col min="39" max="39" width="1.5" style="24" customWidth="1"/>
    <col min="40" max="43" width="9.5" style="96" hidden="1" customWidth="1" outlineLevel="1"/>
    <col min="44" max="44" width="11.5" style="96" customWidth="1" collapsed="1"/>
    <col min="45" max="45" width="1.5" style="24" customWidth="1"/>
    <col min="46" max="46" width="11.5" style="96" customWidth="1"/>
    <col min="47" max="47" width="1.5" style="24" customWidth="1"/>
    <col min="48" max="48" width="11.5" style="102" customWidth="1"/>
    <col min="49" max="49" width="1.5" style="24" customWidth="1"/>
    <col min="50" max="50" width="11.5" style="96" customWidth="1"/>
    <col min="51" max="51" width="1.5" style="96" customWidth="1"/>
    <col min="52" max="61" width="9" style="96"/>
    <col min="62" max="62" width="21" style="96" customWidth="1"/>
    <col min="63" max="16384" width="9" style="96"/>
  </cols>
  <sheetData>
    <row r="1" spans="1:62" s="569" customFormat="1" ht="15" customHeight="1" x14ac:dyDescent="0.25"/>
    <row r="2" spans="1:62" s="569" customFormat="1" ht="15" customHeight="1" x14ac:dyDescent="0.25"/>
    <row r="3" spans="1:62" s="569" customFormat="1" ht="15" customHeight="1" x14ac:dyDescent="0.25"/>
    <row r="4" spans="1:62" s="569" customFormat="1" ht="15" customHeight="1" x14ac:dyDescent="0.25"/>
    <row r="5" spans="1:62" s="274" customFormat="1" ht="4.05" customHeight="1" x14ac:dyDescent="0.25">
      <c r="C5" s="37"/>
      <c r="I5" s="37"/>
      <c r="O5" s="37"/>
      <c r="U5" s="37"/>
      <c r="AA5" s="37"/>
      <c r="AG5" s="37"/>
      <c r="AM5" s="37"/>
      <c r="AS5" s="37"/>
      <c r="AU5" s="37"/>
      <c r="AV5" s="275"/>
      <c r="AW5" s="37"/>
    </row>
    <row r="7" spans="1:62" s="42" customFormat="1" ht="15" customHeight="1" x14ac:dyDescent="0.3">
      <c r="A7" s="45" t="s">
        <v>38</v>
      </c>
      <c r="B7" s="147" t="s">
        <v>217</v>
      </c>
      <c r="C7" s="19"/>
      <c r="D7" s="188">
        <f>F7</f>
        <v>2020</v>
      </c>
      <c r="E7" s="188">
        <f>F7</f>
        <v>2020</v>
      </c>
      <c r="F7" s="188">
        <v>2020</v>
      </c>
      <c r="G7" s="188">
        <f>F7</f>
        <v>2020</v>
      </c>
      <c r="H7" s="188">
        <f>F7</f>
        <v>2020</v>
      </c>
      <c r="I7" s="19"/>
      <c r="J7" s="188">
        <f>L7</f>
        <v>2021</v>
      </c>
      <c r="K7" s="188">
        <f>L7</f>
        <v>2021</v>
      </c>
      <c r="L7" s="188">
        <v>2021</v>
      </c>
      <c r="M7" s="188">
        <f>L7</f>
        <v>2021</v>
      </c>
      <c r="N7" s="188">
        <f>L7</f>
        <v>2021</v>
      </c>
      <c r="O7" s="155"/>
      <c r="P7" s="188">
        <f>R7</f>
        <v>2022</v>
      </c>
      <c r="Q7" s="188">
        <f>R7</f>
        <v>2022</v>
      </c>
      <c r="R7" s="188">
        <v>2022</v>
      </c>
      <c r="S7" s="188">
        <f>R7</f>
        <v>2022</v>
      </c>
      <c r="T7" s="188">
        <f>R7</f>
        <v>2022</v>
      </c>
      <c r="U7" s="155"/>
      <c r="V7" s="188">
        <f>X7</f>
        <v>2023</v>
      </c>
      <c r="W7" s="188">
        <f>X7</f>
        <v>2023</v>
      </c>
      <c r="X7" s="188">
        <v>2023</v>
      </c>
      <c r="Y7" s="188">
        <f>X7</f>
        <v>2023</v>
      </c>
      <c r="Z7" s="188">
        <f>X7</f>
        <v>2023</v>
      </c>
      <c r="AA7" s="156"/>
      <c r="AB7" s="188">
        <f>AD7</f>
        <v>2024</v>
      </c>
      <c r="AC7" s="188">
        <f>AD7</f>
        <v>2024</v>
      </c>
      <c r="AD7" s="188">
        <v>2024</v>
      </c>
      <c r="AE7" s="188">
        <f>AD7</f>
        <v>2024</v>
      </c>
      <c r="AF7" s="188">
        <f>AD7</f>
        <v>2024</v>
      </c>
      <c r="AG7" s="156"/>
      <c r="AH7" s="188">
        <f>AJ7</f>
        <v>2025</v>
      </c>
      <c r="AI7" s="188">
        <f>AJ7</f>
        <v>2025</v>
      </c>
      <c r="AJ7" s="189">
        <v>2025</v>
      </c>
      <c r="AK7" s="188">
        <f>AJ7</f>
        <v>2025</v>
      </c>
      <c r="AL7" s="188">
        <f>AJ7</f>
        <v>2025</v>
      </c>
      <c r="AM7" s="157"/>
      <c r="AN7" s="188">
        <f>AP7</f>
        <v>2025</v>
      </c>
      <c r="AO7" s="188">
        <f>AP7</f>
        <v>2025</v>
      </c>
      <c r="AP7" s="189">
        <v>2025</v>
      </c>
      <c r="AQ7" s="188">
        <f>AP7</f>
        <v>2025</v>
      </c>
      <c r="AR7" s="188">
        <f>AP7</f>
        <v>2025</v>
      </c>
      <c r="AS7" s="19"/>
      <c r="AT7" s="148"/>
      <c r="AU7" s="19"/>
      <c r="AV7" s="149"/>
      <c r="AW7" s="19"/>
      <c r="AX7" s="149"/>
      <c r="AY7" s="20"/>
      <c r="AZ7" s="150" t="s">
        <v>218</v>
      </c>
      <c r="BA7" s="150"/>
      <c r="BB7" s="150"/>
      <c r="BC7" s="150"/>
      <c r="BD7" s="150"/>
      <c r="BE7" s="150"/>
      <c r="BF7" s="150"/>
      <c r="BG7" s="150"/>
    </row>
    <row r="8" spans="1:62" s="42" customFormat="1" ht="15" customHeight="1" x14ac:dyDescent="0.3">
      <c r="B8" s="150"/>
      <c r="C8" s="19"/>
      <c r="D8" s="803">
        <v>2020</v>
      </c>
      <c r="E8" s="803"/>
      <c r="F8" s="803"/>
      <c r="G8" s="803"/>
      <c r="H8" s="803"/>
      <c r="I8" s="155"/>
      <c r="J8" s="803">
        <f>D8+1</f>
        <v>2021</v>
      </c>
      <c r="K8" s="803"/>
      <c r="L8" s="803"/>
      <c r="M8" s="803"/>
      <c r="N8" s="803"/>
      <c r="O8" s="155"/>
      <c r="P8" s="803">
        <f>J8+1</f>
        <v>2022</v>
      </c>
      <c r="Q8" s="803"/>
      <c r="R8" s="803"/>
      <c r="S8" s="803"/>
      <c r="T8" s="803"/>
      <c r="U8" s="155"/>
      <c r="V8" s="803">
        <f>P8+1</f>
        <v>2023</v>
      </c>
      <c r="W8" s="803"/>
      <c r="X8" s="803"/>
      <c r="Y8" s="803"/>
      <c r="Z8" s="803"/>
      <c r="AA8" s="155"/>
      <c r="AB8" s="803">
        <f>V8+1</f>
        <v>2024</v>
      </c>
      <c r="AC8" s="803"/>
      <c r="AD8" s="803"/>
      <c r="AE8" s="803"/>
      <c r="AF8" s="803"/>
      <c r="AG8" s="155"/>
      <c r="AH8" s="802">
        <f>AB8+1</f>
        <v>2025</v>
      </c>
      <c r="AI8" s="802"/>
      <c r="AJ8" s="802"/>
      <c r="AK8" s="802"/>
      <c r="AL8" s="802"/>
      <c r="AM8" s="155"/>
      <c r="AN8" s="802">
        <f>AH8+1</f>
        <v>2026</v>
      </c>
      <c r="AO8" s="802"/>
      <c r="AP8" s="802"/>
      <c r="AQ8" s="802"/>
      <c r="AR8" s="802"/>
      <c r="AS8" s="157"/>
      <c r="AT8" s="152">
        <f>AN8+1</f>
        <v>2027</v>
      </c>
      <c r="AU8" s="153"/>
      <c r="AV8" s="152">
        <f>+AT8+1</f>
        <v>2028</v>
      </c>
      <c r="AW8" s="153"/>
      <c r="AX8" s="152">
        <f>+AV8+1</f>
        <v>2029</v>
      </c>
      <c r="AY8" s="542"/>
      <c r="AZ8" s="150"/>
      <c r="BA8" s="150"/>
      <c r="BB8" s="150"/>
      <c r="BC8" s="150"/>
      <c r="BD8" s="150"/>
      <c r="BE8" s="150"/>
      <c r="BF8" s="150"/>
      <c r="BG8" s="150"/>
    </row>
    <row r="9" spans="1:62" s="42" customFormat="1" ht="15" customHeight="1" x14ac:dyDescent="0.3">
      <c r="B9" s="150"/>
      <c r="C9" s="19"/>
      <c r="D9" s="154" t="s">
        <v>219</v>
      </c>
      <c r="E9" s="154" t="s">
        <v>220</v>
      </c>
      <c r="F9" s="154" t="s">
        <v>221</v>
      </c>
      <c r="G9" s="154" t="s">
        <v>222</v>
      </c>
      <c r="H9" s="154" t="s">
        <v>223</v>
      </c>
      <c r="I9" s="19"/>
      <c r="J9" s="154" t="s">
        <v>219</v>
      </c>
      <c r="K9" s="154" t="s">
        <v>220</v>
      </c>
      <c r="L9" s="154" t="s">
        <v>221</v>
      </c>
      <c r="M9" s="154" t="s">
        <v>222</v>
      </c>
      <c r="N9" s="154" t="s">
        <v>223</v>
      </c>
      <c r="O9" s="151"/>
      <c r="P9" s="154" t="s">
        <v>219</v>
      </c>
      <c r="Q9" s="154" t="s">
        <v>220</v>
      </c>
      <c r="R9" s="154" t="s">
        <v>221</v>
      </c>
      <c r="S9" s="154" t="s">
        <v>222</v>
      </c>
      <c r="T9" s="154" t="s">
        <v>223</v>
      </c>
      <c r="U9" s="151"/>
      <c r="V9" s="154" t="s">
        <v>219</v>
      </c>
      <c r="W9" s="154" t="s">
        <v>220</v>
      </c>
      <c r="X9" s="154" t="s">
        <v>221</v>
      </c>
      <c r="Y9" s="154" t="s">
        <v>222</v>
      </c>
      <c r="Z9" s="154" t="s">
        <v>223</v>
      </c>
      <c r="AA9" s="151"/>
      <c r="AB9" s="154" t="s">
        <v>219</v>
      </c>
      <c r="AC9" s="154" t="s">
        <v>220</v>
      </c>
      <c r="AD9" s="154" t="s">
        <v>221</v>
      </c>
      <c r="AE9" s="154" t="s">
        <v>222</v>
      </c>
      <c r="AF9" s="154" t="s">
        <v>223</v>
      </c>
      <c r="AG9" s="151"/>
      <c r="AH9" s="154" t="s">
        <v>219</v>
      </c>
      <c r="AI9" s="154" t="s">
        <v>220</v>
      </c>
      <c r="AJ9" s="154" t="s">
        <v>221</v>
      </c>
      <c r="AK9" s="154" t="s">
        <v>222</v>
      </c>
      <c r="AL9" s="154" t="s">
        <v>223</v>
      </c>
      <c r="AM9" s="151"/>
      <c r="AN9" s="154" t="s">
        <v>219</v>
      </c>
      <c r="AO9" s="154" t="s">
        <v>220</v>
      </c>
      <c r="AP9" s="154" t="s">
        <v>221</v>
      </c>
      <c r="AQ9" s="154" t="s">
        <v>222</v>
      </c>
      <c r="AR9" s="154" t="s">
        <v>223</v>
      </c>
      <c r="AS9" s="151"/>
      <c r="AT9" s="154" t="s">
        <v>223</v>
      </c>
      <c r="AU9" s="151"/>
      <c r="AV9" s="154" t="s">
        <v>223</v>
      </c>
      <c r="AW9" s="151"/>
      <c r="AX9" s="154" t="s">
        <v>223</v>
      </c>
      <c r="AY9" s="543"/>
      <c r="AZ9" s="150"/>
      <c r="BA9" s="150"/>
      <c r="BB9" s="150"/>
      <c r="BC9" s="150"/>
      <c r="BD9" s="150"/>
      <c r="BE9" s="150"/>
      <c r="BF9" s="150"/>
      <c r="BG9" s="150"/>
    </row>
    <row r="10" spans="1:62" s="42" customFormat="1" ht="4.05" customHeight="1" x14ac:dyDescent="0.3">
      <c r="A10" s="44"/>
      <c r="B10" s="162"/>
      <c r="C10" s="36"/>
      <c r="D10" s="163"/>
      <c r="E10" s="163"/>
      <c r="F10" s="163"/>
      <c r="G10" s="163"/>
      <c r="H10" s="163"/>
      <c r="I10" s="36"/>
      <c r="J10" s="163"/>
      <c r="K10" s="163"/>
      <c r="L10" s="163"/>
      <c r="M10" s="163"/>
      <c r="N10" s="163"/>
      <c r="O10" s="164"/>
      <c r="P10" s="163"/>
      <c r="Q10" s="163"/>
      <c r="R10" s="163"/>
      <c r="S10" s="163"/>
      <c r="T10" s="163"/>
      <c r="U10" s="164"/>
      <c r="V10" s="163"/>
      <c r="W10" s="163"/>
      <c r="X10" s="163"/>
      <c r="Y10" s="163"/>
      <c r="Z10" s="163"/>
      <c r="AA10" s="164"/>
      <c r="AB10" s="163"/>
      <c r="AC10" s="163"/>
      <c r="AD10" s="163"/>
      <c r="AE10" s="163"/>
      <c r="AF10" s="163"/>
      <c r="AG10" s="164"/>
      <c r="AH10" s="163"/>
      <c r="AI10" s="163"/>
      <c r="AJ10" s="163"/>
      <c r="AK10" s="163"/>
      <c r="AL10" s="165"/>
      <c r="AM10" s="166"/>
      <c r="AN10" s="165"/>
      <c r="AO10" s="165"/>
      <c r="AP10" s="165"/>
      <c r="AQ10" s="165"/>
      <c r="AR10" s="165"/>
      <c r="AS10" s="166"/>
      <c r="AT10" s="165"/>
      <c r="AU10" s="166"/>
      <c r="AV10" s="165"/>
      <c r="AW10" s="166"/>
      <c r="AX10" s="165"/>
      <c r="AY10" s="35"/>
      <c r="AZ10" s="162"/>
      <c r="BA10" s="162"/>
      <c r="BB10" s="162"/>
      <c r="BC10" s="162"/>
      <c r="BD10" s="162"/>
      <c r="BE10" s="162"/>
      <c r="BF10" s="162"/>
      <c r="BG10" s="162"/>
    </row>
    <row r="11" spans="1:62" s="42" customFormat="1" ht="4.05" customHeight="1" x14ac:dyDescent="0.3">
      <c r="A11" s="44"/>
      <c r="B11" s="158"/>
      <c r="C11" s="20"/>
      <c r="D11" s="159"/>
      <c r="E11" s="159"/>
      <c r="F11" s="159"/>
      <c r="G11" s="159"/>
      <c r="H11" s="159"/>
      <c r="I11" s="20"/>
      <c r="J11" s="159"/>
      <c r="K11" s="159"/>
      <c r="L11" s="159"/>
      <c r="M11" s="159"/>
      <c r="N11" s="159"/>
      <c r="O11" s="160"/>
      <c r="P11" s="159"/>
      <c r="Q11" s="159"/>
      <c r="R11" s="159"/>
      <c r="S11" s="159"/>
      <c r="T11" s="159"/>
      <c r="U11" s="160"/>
      <c r="V11" s="159"/>
      <c r="W11" s="159"/>
      <c r="X11" s="159"/>
      <c r="Y11" s="159"/>
      <c r="Z11" s="159"/>
      <c r="AA11" s="160"/>
      <c r="AB11" s="159"/>
      <c r="AC11" s="159"/>
      <c r="AD11" s="159"/>
      <c r="AE11" s="159"/>
      <c r="AF11" s="159"/>
      <c r="AG11" s="190"/>
      <c r="AH11" s="159"/>
      <c r="AI11" s="159"/>
      <c r="AJ11" s="159"/>
      <c r="AK11" s="159"/>
      <c r="AL11" s="161"/>
      <c r="AM11" s="35"/>
      <c r="AN11" s="161"/>
      <c r="AO11" s="161"/>
      <c r="AP11" s="161"/>
      <c r="AQ11" s="161"/>
      <c r="AR11" s="161"/>
      <c r="AS11" s="35"/>
      <c r="AT11" s="161"/>
      <c r="AU11" s="35"/>
      <c r="AV11" s="161"/>
      <c r="AW11" s="35"/>
      <c r="AX11" s="161"/>
    </row>
    <row r="12" spans="1:62" s="55" customFormat="1" ht="15" customHeight="1" x14ac:dyDescent="0.25">
      <c r="B12" s="46" t="s">
        <v>224</v>
      </c>
      <c r="C12" s="24"/>
      <c r="D12" s="66"/>
      <c r="E12" s="66"/>
      <c r="F12" s="66"/>
      <c r="G12" s="66"/>
      <c r="H12" s="48"/>
      <c r="I12" s="49"/>
      <c r="J12" s="66"/>
      <c r="K12" s="66"/>
      <c r="L12" s="66"/>
      <c r="M12" s="66"/>
      <c r="N12" s="48"/>
      <c r="O12" s="48"/>
      <c r="P12" s="66"/>
      <c r="Q12" s="66"/>
      <c r="R12" s="66"/>
      <c r="S12" s="66"/>
      <c r="T12" s="48"/>
      <c r="U12" s="48"/>
      <c r="V12" s="66"/>
      <c r="W12" s="66"/>
      <c r="X12" s="66"/>
      <c r="Y12" s="66"/>
      <c r="Z12" s="48"/>
      <c r="AA12" s="48"/>
      <c r="AB12" s="66"/>
      <c r="AC12" s="66"/>
      <c r="AD12" s="66"/>
      <c r="AE12" s="66"/>
      <c r="AF12" s="48"/>
      <c r="AG12" s="50"/>
      <c r="AH12" s="66"/>
      <c r="AI12" s="66"/>
      <c r="AJ12" s="68"/>
      <c r="AK12" s="68"/>
      <c r="AL12" s="48"/>
      <c r="AM12" s="52"/>
      <c r="AN12" s="68"/>
      <c r="AO12" s="68"/>
      <c r="AP12" s="68"/>
      <c r="AQ12" s="68"/>
      <c r="AR12" s="48"/>
      <c r="AS12" s="52"/>
      <c r="AT12" s="53"/>
      <c r="AU12" s="54"/>
      <c r="AV12" s="53"/>
      <c r="AW12" s="54"/>
      <c r="AX12" s="53"/>
    </row>
    <row r="13" spans="1:62" s="55" customFormat="1" ht="34.5" customHeight="1" x14ac:dyDescent="0.25">
      <c r="A13" s="56"/>
      <c r="B13" s="676" t="s">
        <v>225</v>
      </c>
      <c r="C13" s="24"/>
      <c r="D13" s="47"/>
      <c r="E13" s="47"/>
      <c r="F13" s="47"/>
      <c r="G13" s="47"/>
      <c r="H13" s="48">
        <v>131.24799999999999</v>
      </c>
      <c r="I13" s="49"/>
      <c r="J13" s="47"/>
      <c r="K13" s="47"/>
      <c r="L13" s="47"/>
      <c r="M13" s="47"/>
      <c r="N13" s="48">
        <v>189.208</v>
      </c>
      <c r="O13" s="48"/>
      <c r="P13" s="47"/>
      <c r="Q13" s="47"/>
      <c r="R13" s="47"/>
      <c r="S13" s="47"/>
      <c r="T13" s="48">
        <v>272.93900000000002</v>
      </c>
      <c r="U13" s="48"/>
      <c r="V13" s="47"/>
      <c r="W13" s="47"/>
      <c r="X13" s="47"/>
      <c r="Y13" s="47"/>
      <c r="Z13" s="48">
        <v>403.851</v>
      </c>
      <c r="AA13" s="48"/>
      <c r="AB13" s="47"/>
      <c r="AC13" s="47"/>
      <c r="AD13" s="47"/>
      <c r="AE13" s="47"/>
      <c r="AF13" s="48">
        <v>578.88699999999994</v>
      </c>
      <c r="AG13" s="50"/>
      <c r="AH13" s="47"/>
      <c r="AI13" s="47"/>
      <c r="AJ13" s="51"/>
      <c r="AK13" s="51"/>
      <c r="AL13" s="48">
        <f>FCFF!Z10</f>
        <v>681.09168536266156</v>
      </c>
      <c r="AM13" s="52"/>
      <c r="AN13" s="51"/>
      <c r="AO13" s="51"/>
      <c r="AP13" s="51"/>
      <c r="AQ13" s="51"/>
      <c r="AR13" s="48">
        <f>FCFF!AF10</f>
        <v>817.3100224351939</v>
      </c>
      <c r="AS13" s="52"/>
      <c r="AT13" s="48">
        <f>FCFF!AH10</f>
        <v>967.15019321497948</v>
      </c>
      <c r="AU13" s="54"/>
      <c r="AV13" s="48">
        <f>FCFF!AJ10</f>
        <v>1128.3418920841425</v>
      </c>
      <c r="AW13" s="54"/>
      <c r="AX13" s="48">
        <f>FCFF!AL10</f>
        <v>1297.5931758967638</v>
      </c>
      <c r="AZ13"/>
    </row>
    <row r="14" spans="1:62" s="675" customFormat="1" ht="45" customHeight="1" x14ac:dyDescent="0.25">
      <c r="A14" s="666"/>
      <c r="B14" s="677" t="s">
        <v>226</v>
      </c>
      <c r="C14" s="667"/>
      <c r="D14" s="668"/>
      <c r="E14" s="668"/>
      <c r="F14" s="668"/>
      <c r="G14" s="668"/>
      <c r="H14" s="669">
        <v>13.343</v>
      </c>
      <c r="I14" s="670"/>
      <c r="J14" s="668"/>
      <c r="K14" s="668"/>
      <c r="L14" s="668"/>
      <c r="M14" s="668"/>
      <c r="N14" s="669">
        <v>33.21</v>
      </c>
      <c r="O14" s="669"/>
      <c r="P14" s="668"/>
      <c r="Q14" s="668"/>
      <c r="R14" s="668"/>
      <c r="S14" s="668"/>
      <c r="T14" s="669">
        <v>77.481999999999999</v>
      </c>
      <c r="U14" s="669"/>
      <c r="V14" s="668"/>
      <c r="W14" s="668"/>
      <c r="X14" s="668"/>
      <c r="Y14" s="668"/>
      <c r="Z14" s="669">
        <v>103.35599999999999</v>
      </c>
      <c r="AA14" s="669"/>
      <c r="AB14" s="668"/>
      <c r="AC14" s="668"/>
      <c r="AD14" s="668"/>
      <c r="AE14" s="668"/>
      <c r="AF14" s="669">
        <v>151.05699999999999</v>
      </c>
      <c r="AG14" s="671"/>
      <c r="AH14" s="668"/>
      <c r="AI14" s="668"/>
      <c r="AJ14" s="672"/>
      <c r="AK14" s="672"/>
      <c r="AL14" s="669">
        <f>FCFF!Z11</f>
        <v>211.00001089769529</v>
      </c>
      <c r="AM14" s="673"/>
      <c r="AN14" s="672"/>
      <c r="AO14" s="672"/>
      <c r="AP14" s="672"/>
      <c r="AQ14" s="672"/>
      <c r="AR14" s="669">
        <f>FCFF!AF11</f>
        <v>253.20001307723433</v>
      </c>
      <c r="AS14" s="673"/>
      <c r="AT14" s="669">
        <f>FCFF!AH11</f>
        <v>299.62001547472732</v>
      </c>
      <c r="AU14" s="674"/>
      <c r="AV14" s="669">
        <f>FCFF!AJ11</f>
        <v>349.55668472051514</v>
      </c>
      <c r="AW14" s="674"/>
      <c r="AX14" s="669">
        <f>FCFF!AL11</f>
        <v>401.99018742859238</v>
      </c>
    </row>
    <row r="15" spans="1:62" s="55" customFormat="1" ht="41.25" customHeight="1" x14ac:dyDescent="0.25">
      <c r="A15" s="56"/>
      <c r="B15" s="677" t="s">
        <v>227</v>
      </c>
      <c r="C15" s="24"/>
      <c r="D15" s="47"/>
      <c r="E15" s="47"/>
      <c r="F15" s="47"/>
      <c r="G15" s="47"/>
      <c r="H15" s="48">
        <v>12.032999999999999</v>
      </c>
      <c r="I15" s="49"/>
      <c r="J15" s="47"/>
      <c r="K15" s="47"/>
      <c r="L15" s="47"/>
      <c r="M15" s="47"/>
      <c r="N15" s="48">
        <v>37.332999999999998</v>
      </c>
      <c r="O15" s="48"/>
      <c r="P15" s="47"/>
      <c r="Q15" s="47"/>
      <c r="R15" s="47"/>
      <c r="S15" s="47"/>
      <c r="T15" s="48">
        <v>38.411000000000001</v>
      </c>
      <c r="U15" s="48"/>
      <c r="V15" s="47"/>
      <c r="W15" s="47"/>
      <c r="X15" s="47"/>
      <c r="Y15" s="47"/>
      <c r="Z15" s="48">
        <v>50.515999999999998</v>
      </c>
      <c r="AA15" s="48"/>
      <c r="AB15" s="47"/>
      <c r="AC15" s="47"/>
      <c r="AD15" s="47"/>
      <c r="AE15" s="47"/>
      <c r="AF15" s="48">
        <v>52.173999999999999</v>
      </c>
      <c r="AG15" s="50"/>
      <c r="AH15" s="47"/>
      <c r="AI15" s="47"/>
      <c r="AJ15" s="51"/>
      <c r="AK15" s="51"/>
      <c r="AL15" s="48">
        <f>FCFF!Z12</f>
        <v>54.524901873967025</v>
      </c>
      <c r="AM15" s="52"/>
      <c r="AN15" s="51"/>
      <c r="AO15" s="51"/>
      <c r="AP15" s="51"/>
      <c r="AQ15" s="51"/>
      <c r="AR15" s="48">
        <f>FCFF!AF12</f>
        <v>65.429882248760421</v>
      </c>
      <c r="AS15" s="52"/>
      <c r="AT15" s="48">
        <f>FCFF!AH12</f>
        <v>77.425360661033167</v>
      </c>
      <c r="AU15" s="54"/>
      <c r="AV15" s="48">
        <f>FCFF!AJ12</f>
        <v>90.329587437872021</v>
      </c>
      <c r="AW15" s="54"/>
      <c r="AX15" s="48">
        <f>FCFF!AL12</f>
        <v>103.87902555355282</v>
      </c>
    </row>
    <row r="16" spans="1:62" s="55" customFormat="1" ht="15" customHeight="1" x14ac:dyDescent="0.25">
      <c r="A16" s="56"/>
      <c r="B16" s="57"/>
      <c r="C16" s="24"/>
      <c r="D16" s="47"/>
      <c r="E16" s="47"/>
      <c r="F16" s="47"/>
      <c r="G16" s="47"/>
      <c r="H16" s="58"/>
      <c r="I16" s="49"/>
      <c r="J16" s="47"/>
      <c r="K16" s="47"/>
      <c r="L16" s="47"/>
      <c r="M16" s="47"/>
      <c r="N16" s="58"/>
      <c r="O16" s="58"/>
      <c r="P16" s="47"/>
      <c r="Q16" s="47"/>
      <c r="R16" s="47"/>
      <c r="S16" s="47"/>
      <c r="T16" s="58"/>
      <c r="U16" s="58"/>
      <c r="V16" s="47"/>
      <c r="W16" s="47"/>
      <c r="X16" s="47"/>
      <c r="Y16" s="47"/>
      <c r="Z16" s="58"/>
      <c r="AA16" s="58"/>
      <c r="AB16" s="47"/>
      <c r="AC16" s="47"/>
      <c r="AD16" s="47"/>
      <c r="AE16" s="47"/>
      <c r="AF16" s="58"/>
      <c r="AG16" s="50"/>
      <c r="AH16" s="47"/>
      <c r="AI16" s="47"/>
      <c r="AJ16" s="51"/>
      <c r="AK16" s="51"/>
      <c r="AL16" s="58"/>
      <c r="AM16" s="52"/>
      <c r="AN16" s="51"/>
      <c r="AO16" s="51"/>
      <c r="AP16" s="51"/>
      <c r="AQ16" s="51"/>
      <c r="AR16" s="58"/>
      <c r="AS16" s="52"/>
      <c r="AT16" s="59"/>
      <c r="AU16" s="54"/>
      <c r="AV16" s="59"/>
      <c r="AW16" s="54"/>
      <c r="AX16" s="59"/>
      <c r="BJ16" s="729"/>
    </row>
    <row r="17" spans="2:65" s="55" customFormat="1" ht="15" customHeight="1" x14ac:dyDescent="0.25">
      <c r="B17" s="57"/>
      <c r="C17" s="24"/>
      <c r="D17" s="47"/>
      <c r="E17" s="47"/>
      <c r="F17" s="47"/>
      <c r="G17" s="47"/>
      <c r="H17" s="58"/>
      <c r="I17" s="49"/>
      <c r="J17" s="47"/>
      <c r="K17" s="47"/>
      <c r="L17" s="47"/>
      <c r="M17" s="47"/>
      <c r="N17" s="58"/>
      <c r="O17" s="58"/>
      <c r="P17" s="47"/>
      <c r="Q17" s="47"/>
      <c r="R17" s="47"/>
      <c r="S17" s="47"/>
      <c r="T17" s="58"/>
      <c r="U17" s="58"/>
      <c r="V17" s="47"/>
      <c r="W17" s="47"/>
      <c r="X17" s="47"/>
      <c r="Y17" s="47"/>
      <c r="Z17" s="58"/>
      <c r="AA17" s="58"/>
      <c r="AB17" s="47"/>
      <c r="AC17" s="47"/>
      <c r="AD17" s="47"/>
      <c r="AE17" s="47"/>
      <c r="AF17" s="58"/>
      <c r="AG17" s="50"/>
      <c r="AH17" s="47"/>
      <c r="AI17" s="47"/>
      <c r="AJ17" s="51"/>
      <c r="AK17" s="51"/>
      <c r="AL17" s="58"/>
      <c r="AM17" s="52"/>
      <c r="AN17" s="51"/>
      <c r="AO17" s="51"/>
      <c r="AP17" s="51"/>
      <c r="AQ17" s="51"/>
      <c r="AR17" s="58"/>
      <c r="AS17" s="52"/>
      <c r="AT17" s="59"/>
      <c r="AU17" s="54"/>
      <c r="AV17" s="59"/>
      <c r="AW17" s="54"/>
      <c r="AX17" s="59"/>
    </row>
    <row r="18" spans="2:65" s="55" customFormat="1" ht="15" customHeight="1" x14ac:dyDescent="0.25">
      <c r="B18" s="60" t="s">
        <v>228</v>
      </c>
      <c r="C18" s="24"/>
      <c r="D18" s="62">
        <f>IS!D18</f>
        <v>24.347999999999999</v>
      </c>
      <c r="E18" s="62">
        <f>IS!E18</f>
        <v>39.048999999999999</v>
      </c>
      <c r="F18" s="62">
        <f>IS!F18</f>
        <v>47.664999999999999</v>
      </c>
      <c r="G18" s="62">
        <f>IS!G18</f>
        <v>45.561999999999998</v>
      </c>
      <c r="H18" s="63">
        <f>IS!H18</f>
        <v>156.624</v>
      </c>
      <c r="I18" s="95"/>
      <c r="J18" s="62">
        <f>IS!J18</f>
        <v>43.731999999999999</v>
      </c>
      <c r="K18" s="62">
        <f>IS!K18</f>
        <v>53.863999999999997</v>
      </c>
      <c r="L18" s="62">
        <f>IS!L18</f>
        <v>67.013000000000005</v>
      </c>
      <c r="M18" s="62">
        <f>IS!M18</f>
        <v>95.141999999999996</v>
      </c>
      <c r="N18" s="63">
        <f>IS!N18</f>
        <v>259.75099999999998</v>
      </c>
      <c r="O18" s="53"/>
      <c r="P18" s="62">
        <f>IS!P18</f>
        <v>42.186</v>
      </c>
      <c r="Q18" s="62">
        <f>IS!Q18</f>
        <v>104.395</v>
      </c>
      <c r="R18" s="62">
        <f>IS!R18</f>
        <v>133.709</v>
      </c>
      <c r="S18" s="62">
        <f>IS!S18</f>
        <v>108.542</v>
      </c>
      <c r="T18" s="63">
        <f>IS!T18</f>
        <v>388.83199999999999</v>
      </c>
      <c r="U18" s="53"/>
      <c r="V18" s="62">
        <f>IS!V18</f>
        <v>74.256</v>
      </c>
      <c r="W18" s="62">
        <f>IS!W18</f>
        <v>144.577</v>
      </c>
      <c r="X18" s="62">
        <f>IS!X18</f>
        <v>168.56899999999999</v>
      </c>
      <c r="Y18" s="62">
        <f>IS!Y18</f>
        <v>170.321</v>
      </c>
      <c r="Z18" s="63">
        <f>IS!Z18</f>
        <v>557.72299999999996</v>
      </c>
      <c r="AA18" s="53"/>
      <c r="AB18" s="62">
        <f>IS!AB18</f>
        <v>152.191</v>
      </c>
      <c r="AC18" s="62">
        <f>IS!AC18</f>
        <v>202.48</v>
      </c>
      <c r="AD18" s="62">
        <f>IS!AD18</f>
        <v>203.976</v>
      </c>
      <c r="AE18" s="62">
        <f>IS!AE18</f>
        <v>223.471</v>
      </c>
      <c r="AF18" s="63">
        <f>IS!AF18</f>
        <v>782.11800000000005</v>
      </c>
      <c r="AG18" s="525"/>
      <c r="AH18" s="62">
        <f>IS!AH18</f>
        <v>172.34700000000001</v>
      </c>
      <c r="AI18" s="62">
        <f>IS!AI18</f>
        <v>215.37200000000001</v>
      </c>
      <c r="AJ18" s="62">
        <f>IS!AJ18</f>
        <v>254.04267261653268</v>
      </c>
      <c r="AK18" s="62">
        <f>IS!AK18</f>
        <v>304.85120713983923</v>
      </c>
      <c r="AL18" s="63">
        <f>FCFF!Z31</f>
        <v>946.61287975637197</v>
      </c>
      <c r="AM18" s="54"/>
      <c r="AN18" s="62">
        <f>IS!AN18</f>
        <v>206.81640000000002</v>
      </c>
      <c r="AO18" s="62">
        <f>IS!AO18</f>
        <v>258.44639999999998</v>
      </c>
      <c r="AP18" s="62">
        <f>IS!AP18</f>
        <v>304.85120713983923</v>
      </c>
      <c r="AQ18" s="62">
        <f>IS!AQ18</f>
        <v>365.82144856780707</v>
      </c>
      <c r="AR18" s="63">
        <f>FCFF!AF31</f>
        <v>1135.9354557076463</v>
      </c>
      <c r="AS18" s="54"/>
      <c r="AT18" s="63">
        <f>FCFF!AH31</f>
        <v>1344.1902892540481</v>
      </c>
      <c r="AU18" s="54"/>
      <c r="AV18" s="63">
        <f>FCFF!AJ31</f>
        <v>1568.2220041297226</v>
      </c>
      <c r="AW18" s="54"/>
      <c r="AX18" s="63">
        <f>FCFF!AL31</f>
        <v>1803.4553047491809</v>
      </c>
    </row>
    <row r="19" spans="2:65" ht="15" customHeight="1" x14ac:dyDescent="0.25">
      <c r="AG19" s="191"/>
    </row>
    <row r="20" spans="2:65" ht="15" customHeight="1" x14ac:dyDescent="0.25">
      <c r="B20" s="46" t="s">
        <v>229</v>
      </c>
      <c r="AG20" s="191"/>
    </row>
    <row r="21" spans="2:65" ht="15" customHeight="1" x14ac:dyDescent="0.25">
      <c r="B21" s="57" t="s">
        <v>230</v>
      </c>
      <c r="D21" s="47"/>
      <c r="E21" s="47"/>
      <c r="F21" s="47"/>
      <c r="G21" s="47"/>
      <c r="H21" s="48">
        <v>154.35900000000001</v>
      </c>
      <c r="I21" s="49"/>
      <c r="J21" s="47"/>
      <c r="K21" s="47"/>
      <c r="L21" s="47"/>
      <c r="M21" s="47"/>
      <c r="N21" s="48">
        <v>258.61500000000001</v>
      </c>
      <c r="O21" s="48"/>
      <c r="P21" s="47"/>
      <c r="Q21" s="47"/>
      <c r="R21" s="47"/>
      <c r="S21" s="47"/>
      <c r="T21" s="48">
        <v>377.75200000000001</v>
      </c>
      <c r="U21" s="48"/>
      <c r="V21" s="47"/>
      <c r="W21" s="47"/>
      <c r="X21" s="47"/>
      <c r="Y21" s="47"/>
      <c r="Z21" s="679">
        <v>540.96900000000005</v>
      </c>
      <c r="AA21" s="48"/>
      <c r="AB21" s="47"/>
      <c r="AC21" s="47"/>
      <c r="AD21" s="47"/>
      <c r="AE21" s="47"/>
      <c r="AF21" s="679">
        <v>775.75199999999995</v>
      </c>
      <c r="AG21" s="50"/>
      <c r="AH21" s="47"/>
      <c r="AI21" s="47"/>
      <c r="AJ21" s="51"/>
      <c r="AK21" s="51"/>
      <c r="AL21" s="48">
        <f>AL26*98%</f>
        <v>927.68062216124451</v>
      </c>
      <c r="AM21" s="699"/>
      <c r="AN21" s="699">
        <f>AN26*98%</f>
        <v>202.68007200000002</v>
      </c>
      <c r="AO21" s="699">
        <f>AO26*98%</f>
        <v>253.27747199999999</v>
      </c>
      <c r="AP21" s="699">
        <f>AP26*98%</f>
        <v>298.75418299704245</v>
      </c>
      <c r="AQ21" s="699">
        <f>AQ26*98%</f>
        <v>358.50501959645089</v>
      </c>
      <c r="AR21" s="48">
        <f>AR26*98%</f>
        <v>1113.2167465934933</v>
      </c>
      <c r="AS21" s="699"/>
      <c r="AT21" s="48">
        <f>AT26*98%</f>
        <v>1317.3064834689671</v>
      </c>
      <c r="AU21" s="699"/>
      <c r="AV21" s="48">
        <f>AV26*98%</f>
        <v>1536.8575640471281</v>
      </c>
      <c r="AW21" s="699"/>
      <c r="AX21" s="48">
        <f>AX26*98%</f>
        <v>1767.3861986541972</v>
      </c>
    </row>
    <row r="22" spans="2:65" ht="15" customHeight="1" x14ac:dyDescent="0.25">
      <c r="B22" s="57" t="s">
        <v>231</v>
      </c>
      <c r="D22" s="47"/>
      <c r="E22" s="47"/>
      <c r="F22" s="47"/>
      <c r="G22" s="47"/>
      <c r="H22" s="48">
        <v>2.2650000000000001</v>
      </c>
      <c r="I22" s="49"/>
      <c r="J22" s="47"/>
      <c r="K22" s="47"/>
      <c r="L22" s="47"/>
      <c r="M22" s="47"/>
      <c r="N22" s="48">
        <v>1.1359999999999999</v>
      </c>
      <c r="O22" s="48"/>
      <c r="P22" s="47"/>
      <c r="Q22" s="47"/>
      <c r="R22" s="47"/>
      <c r="S22" s="47"/>
      <c r="T22" s="48">
        <v>11.08</v>
      </c>
      <c r="U22" s="48"/>
      <c r="V22" s="47"/>
      <c r="W22" s="47"/>
      <c r="X22" s="47"/>
      <c r="Y22" s="47"/>
      <c r="Z22" s="680">
        <v>16.754000000000001</v>
      </c>
      <c r="AA22" s="48"/>
      <c r="AB22" s="47"/>
      <c r="AC22" s="47"/>
      <c r="AD22" s="47"/>
      <c r="AE22" s="47"/>
      <c r="AF22" s="679">
        <v>6.3659999999999997</v>
      </c>
      <c r="AG22" s="50"/>
      <c r="AH22" s="47"/>
      <c r="AI22" s="47"/>
      <c r="AJ22" s="51"/>
      <c r="AK22" s="51"/>
      <c r="AL22" s="48">
        <f>2%*AL26</f>
        <v>18.932257595127439</v>
      </c>
      <c r="AM22" s="699"/>
      <c r="AN22" s="699">
        <f>2%*AN26</f>
        <v>4.1363280000000007</v>
      </c>
      <c r="AO22" s="699">
        <f>2%*AO26</f>
        <v>5.1689280000000002</v>
      </c>
      <c r="AP22" s="699">
        <f>2%*AP26</f>
        <v>6.0970241427967844</v>
      </c>
      <c r="AQ22" s="699">
        <f>2%*AQ26</f>
        <v>7.3164289713561415</v>
      </c>
      <c r="AR22" s="48">
        <f>2%*AR26</f>
        <v>22.718709114152926</v>
      </c>
      <c r="AS22" s="699"/>
      <c r="AT22" s="48">
        <f>2%*AT26</f>
        <v>26.883805785080963</v>
      </c>
      <c r="AU22" s="699"/>
      <c r="AV22" s="48">
        <f>2%*AV26</f>
        <v>31.364440082594452</v>
      </c>
      <c r="AW22" s="699"/>
      <c r="AX22" s="48">
        <f>2%*AX26</f>
        <v>36.069106094983617</v>
      </c>
    </row>
    <row r="23" spans="2:65" ht="15" customHeight="1" x14ac:dyDescent="0.25">
      <c r="B23" s="57"/>
      <c r="D23" s="47"/>
      <c r="E23" s="47"/>
      <c r="F23" s="47"/>
      <c r="G23" s="47"/>
      <c r="H23" s="48"/>
      <c r="I23" s="49"/>
      <c r="J23" s="47"/>
      <c r="K23" s="47"/>
      <c r="L23" s="47"/>
      <c r="M23" s="47"/>
      <c r="N23" s="48"/>
      <c r="O23" s="48"/>
      <c r="P23" s="47"/>
      <c r="Q23" s="47"/>
      <c r="R23" s="47"/>
      <c r="S23" s="47"/>
      <c r="T23" s="48"/>
      <c r="U23" s="48"/>
      <c r="V23" s="47"/>
      <c r="W23" s="47"/>
      <c r="X23" s="47"/>
      <c r="Y23" s="47"/>
      <c r="Z23" s="678"/>
      <c r="AA23" s="48"/>
      <c r="AB23" s="47"/>
      <c r="AC23" s="47"/>
      <c r="AD23" s="47"/>
      <c r="AE23" s="47"/>
      <c r="AF23" s="678"/>
      <c r="AG23" s="50"/>
      <c r="AH23" s="47"/>
      <c r="AI23" s="47"/>
      <c r="AJ23" s="51"/>
      <c r="AK23" s="51"/>
      <c r="AL23" s="48"/>
      <c r="AM23" s="52"/>
      <c r="AN23" s="51"/>
      <c r="AO23" s="51"/>
      <c r="AP23" s="51"/>
      <c r="AQ23" s="51"/>
      <c r="AR23" s="48"/>
      <c r="AS23" s="52"/>
      <c r="AT23" s="53"/>
      <c r="AU23" s="54"/>
      <c r="AV23" s="53"/>
      <c r="AW23" s="54"/>
      <c r="AX23" s="53"/>
    </row>
    <row r="24" spans="2:65" ht="15" customHeight="1" x14ac:dyDescent="0.25">
      <c r="B24" s="57"/>
      <c r="D24" s="47"/>
      <c r="E24" s="47"/>
      <c r="F24" s="47"/>
      <c r="G24" s="47"/>
      <c r="H24" s="58"/>
      <c r="I24" s="49"/>
      <c r="J24" s="47"/>
      <c r="K24" s="47"/>
      <c r="L24" s="47"/>
      <c r="M24" s="47"/>
      <c r="N24" s="58"/>
      <c r="O24" s="58"/>
      <c r="P24" s="47"/>
      <c r="Q24" s="47"/>
      <c r="R24" s="47"/>
      <c r="S24" s="47"/>
      <c r="T24" s="58"/>
      <c r="U24" s="58"/>
      <c r="V24" s="47"/>
      <c r="W24" s="47"/>
      <c r="X24" s="47"/>
      <c r="Y24" s="47"/>
      <c r="Z24" s="58"/>
      <c r="AA24" s="58"/>
      <c r="AB24" s="47"/>
      <c r="AC24" s="47"/>
      <c r="AD24" s="47"/>
      <c r="AE24" s="47"/>
      <c r="AF24" s="58"/>
      <c r="AG24" s="50"/>
      <c r="AH24" s="47"/>
      <c r="AI24" s="47"/>
      <c r="AJ24" s="51"/>
      <c r="AK24" s="51"/>
      <c r="AL24" s="58"/>
      <c r="AM24" s="52"/>
      <c r="AN24" s="51"/>
      <c r="AO24" s="51"/>
      <c r="AP24" s="51"/>
      <c r="AQ24" s="51"/>
      <c r="AR24" s="58"/>
      <c r="AS24" s="52"/>
      <c r="AT24" s="59"/>
      <c r="AU24" s="54"/>
      <c r="AV24" s="59"/>
      <c r="AW24" s="54"/>
      <c r="AX24" s="59"/>
    </row>
    <row r="25" spans="2:65" ht="15" customHeight="1" x14ac:dyDescent="0.25">
      <c r="B25" s="57"/>
      <c r="D25" s="47"/>
      <c r="E25" s="47"/>
      <c r="F25" s="47"/>
      <c r="G25" s="47"/>
      <c r="H25" s="58"/>
      <c r="I25" s="49"/>
      <c r="J25" s="47"/>
      <c r="K25" s="47"/>
      <c r="L25" s="47"/>
      <c r="M25" s="47"/>
      <c r="N25" s="58"/>
      <c r="O25" s="58"/>
      <c r="P25" s="47"/>
      <c r="Q25" s="47"/>
      <c r="R25" s="47"/>
      <c r="S25" s="47"/>
      <c r="T25" s="58"/>
      <c r="U25" s="58"/>
      <c r="V25" s="47"/>
      <c r="W25" s="47"/>
      <c r="X25" s="47"/>
      <c r="Y25" s="47"/>
      <c r="Z25" s="58"/>
      <c r="AA25" s="58"/>
      <c r="AB25" s="47"/>
      <c r="AC25" s="47"/>
      <c r="AD25" s="47"/>
      <c r="AE25" s="47"/>
      <c r="AF25" s="58"/>
      <c r="AG25" s="50"/>
      <c r="AH25" s="47"/>
      <c r="AI25" s="47"/>
      <c r="AJ25" s="51"/>
      <c r="AK25" s="51"/>
      <c r="AL25" s="58"/>
      <c r="AM25" s="52"/>
      <c r="AN25" s="51"/>
      <c r="AO25" s="51"/>
      <c r="AP25" s="51"/>
      <c r="AQ25" s="51"/>
      <c r="AR25" s="58"/>
      <c r="AS25" s="52"/>
      <c r="AT25" s="59"/>
      <c r="AU25" s="54"/>
      <c r="AV25" s="59"/>
      <c r="AW25" s="54"/>
      <c r="AX25" s="59"/>
    </row>
    <row r="26" spans="2:65" ht="15" customHeight="1" x14ac:dyDescent="0.25">
      <c r="B26" s="60" t="s">
        <v>228</v>
      </c>
      <c r="D26" s="62">
        <f>IS!D18</f>
        <v>24.347999999999999</v>
      </c>
      <c r="E26" s="62">
        <f>IS!E18</f>
        <v>39.048999999999999</v>
      </c>
      <c r="F26" s="62">
        <f>IS!F18</f>
        <v>47.664999999999999</v>
      </c>
      <c r="G26" s="62">
        <f>IS!G18</f>
        <v>45.561999999999998</v>
      </c>
      <c r="H26" s="63">
        <f>IS!H18</f>
        <v>156.624</v>
      </c>
      <c r="I26" s="95"/>
      <c r="J26" s="62">
        <f>IS!J18</f>
        <v>43.731999999999999</v>
      </c>
      <c r="K26" s="62">
        <f>IS!K18</f>
        <v>53.863999999999997</v>
      </c>
      <c r="L26" s="62">
        <f>IS!L18</f>
        <v>67.013000000000005</v>
      </c>
      <c r="M26" s="62">
        <f>IS!M18</f>
        <v>95.141999999999996</v>
      </c>
      <c r="N26" s="63">
        <f>IS!N18</f>
        <v>259.75099999999998</v>
      </c>
      <c r="O26" s="53"/>
      <c r="P26" s="62">
        <f>IS!P18</f>
        <v>42.186</v>
      </c>
      <c r="Q26" s="62">
        <f>IS!Q18</f>
        <v>104.395</v>
      </c>
      <c r="R26" s="62">
        <f>IS!R18</f>
        <v>133.709</v>
      </c>
      <c r="S26" s="62">
        <f>IS!S18</f>
        <v>108.542</v>
      </c>
      <c r="T26" s="63">
        <f>IS!T18</f>
        <v>388.83199999999999</v>
      </c>
      <c r="U26" s="53"/>
      <c r="V26" s="62">
        <f>IS!V18</f>
        <v>74.256</v>
      </c>
      <c r="W26" s="62">
        <f>IS!W18</f>
        <v>144.577</v>
      </c>
      <c r="X26" s="62">
        <f>IS!X18</f>
        <v>168.56899999999999</v>
      </c>
      <c r="Y26" s="62">
        <f>IS!Y18</f>
        <v>170.321</v>
      </c>
      <c r="Z26" s="63">
        <f>IS!Z18</f>
        <v>557.72299999999996</v>
      </c>
      <c r="AA26" s="53"/>
      <c r="AB26" s="62">
        <f>IS!AB18</f>
        <v>152.191</v>
      </c>
      <c r="AC26" s="62">
        <f>IS!AC18</f>
        <v>202.48</v>
      </c>
      <c r="AD26" s="62">
        <f>IS!AD18</f>
        <v>203.976</v>
      </c>
      <c r="AE26" s="62">
        <f>IS!AE18</f>
        <v>223.471</v>
      </c>
      <c r="AF26" s="63">
        <f>IS!AF18</f>
        <v>782.11800000000005</v>
      </c>
      <c r="AG26" s="525"/>
      <c r="AH26" s="62">
        <f>IS!AH18</f>
        <v>172.34700000000001</v>
      </c>
      <c r="AI26" s="62">
        <f>IS!AI18</f>
        <v>215.37200000000001</v>
      </c>
      <c r="AJ26" s="62">
        <f>IS!AJ18</f>
        <v>254.04267261653268</v>
      </c>
      <c r="AK26" s="62">
        <f>IS!AK18</f>
        <v>304.85120713983923</v>
      </c>
      <c r="AL26" s="63">
        <f>FCFF!Z31</f>
        <v>946.61287975637197</v>
      </c>
      <c r="AM26" s="54"/>
      <c r="AN26" s="62">
        <f>IS!AN18</f>
        <v>206.81640000000002</v>
      </c>
      <c r="AO26" s="62">
        <f>IS!AO18</f>
        <v>258.44639999999998</v>
      </c>
      <c r="AP26" s="62">
        <f>IS!AP18</f>
        <v>304.85120713983923</v>
      </c>
      <c r="AQ26" s="62">
        <f>IS!AQ18</f>
        <v>365.82144856780707</v>
      </c>
      <c r="AR26" s="63">
        <f>FCFF!AF31</f>
        <v>1135.9354557076463</v>
      </c>
      <c r="AS26" s="54"/>
      <c r="AT26" s="63">
        <f>FCFF!AH31</f>
        <v>1344.1902892540481</v>
      </c>
      <c r="AU26" s="54"/>
      <c r="AV26" s="63">
        <f>FCFF!AJ31</f>
        <v>1568.2220041297226</v>
      </c>
      <c r="AW26" s="54"/>
      <c r="AX26" s="63">
        <f>FCFF!AL31</f>
        <v>1803.4553047491809</v>
      </c>
    </row>
    <row r="27" spans="2:65" ht="15" customHeight="1" x14ac:dyDescent="0.25">
      <c r="B27" s="96" t="s">
        <v>232</v>
      </c>
      <c r="AG27" s="191"/>
    </row>
    <row r="28" spans="2:65" ht="15" customHeight="1" x14ac:dyDescent="0.25">
      <c r="B28" s="96" t="s">
        <v>233</v>
      </c>
      <c r="AG28" s="191"/>
    </row>
    <row r="29" spans="2:65" ht="15" customHeight="1" x14ac:dyDescent="0.25">
      <c r="B29" s="57" t="s">
        <v>234</v>
      </c>
      <c r="D29" s="47"/>
      <c r="E29" s="47"/>
      <c r="F29" s="47"/>
      <c r="G29" s="47"/>
      <c r="J29" s="47"/>
      <c r="K29" s="47"/>
      <c r="L29" s="47"/>
      <c r="M29" s="47"/>
      <c r="P29" s="47"/>
      <c r="Q29" s="47"/>
      <c r="R29" s="47"/>
      <c r="S29" s="47"/>
      <c r="V29" s="47"/>
      <c r="W29" s="47"/>
      <c r="X29" s="47"/>
      <c r="Y29" s="47"/>
      <c r="AB29" s="47"/>
      <c r="AC29" s="47"/>
      <c r="AD29" s="47"/>
      <c r="AE29" s="47"/>
      <c r="AG29" s="191"/>
      <c r="AH29" s="47"/>
      <c r="AI29" s="47"/>
      <c r="AJ29" s="47"/>
      <c r="AK29" s="47"/>
      <c r="AN29" s="47"/>
      <c r="AO29" s="47"/>
      <c r="AP29" s="47"/>
      <c r="AQ29" s="47"/>
      <c r="BM29" s="298"/>
    </row>
    <row r="30" spans="2:65" ht="15" customHeight="1" x14ac:dyDescent="0.25">
      <c r="B30" s="57" t="s">
        <v>235</v>
      </c>
      <c r="D30" s="47"/>
      <c r="E30" s="47"/>
      <c r="F30" s="47"/>
      <c r="G30" s="47"/>
      <c r="J30" s="47"/>
      <c r="K30" s="47"/>
      <c r="L30" s="47"/>
      <c r="M30" s="47"/>
      <c r="P30" s="47"/>
      <c r="Q30" s="47"/>
      <c r="R30" s="47"/>
      <c r="S30" s="47"/>
      <c r="V30" s="47"/>
      <c r="W30" s="47"/>
      <c r="X30" s="47"/>
      <c r="Y30" s="47"/>
      <c r="AB30" s="47"/>
      <c r="AC30" s="47"/>
      <c r="AD30" s="47"/>
      <c r="AE30" s="47"/>
      <c r="AG30" s="191"/>
      <c r="AH30" s="47"/>
      <c r="AI30" s="47"/>
      <c r="AJ30" s="47"/>
      <c r="AK30" s="47"/>
      <c r="AN30" s="47"/>
      <c r="AO30" s="47"/>
      <c r="AP30" s="47"/>
      <c r="AQ30" s="47"/>
      <c r="BM30" s="298"/>
    </row>
    <row r="31" spans="2:65" ht="15" customHeight="1" x14ac:dyDescent="0.25">
      <c r="B31" s="57" t="s">
        <v>236</v>
      </c>
      <c r="D31" s="47"/>
      <c r="E31" s="47"/>
      <c r="F31" s="47"/>
      <c r="G31" s="47"/>
      <c r="J31" s="47"/>
      <c r="K31" s="47"/>
      <c r="L31" s="47"/>
      <c r="M31" s="47"/>
      <c r="P31" s="47"/>
      <c r="Q31" s="47"/>
      <c r="R31" s="47"/>
      <c r="S31" s="47"/>
      <c r="V31" s="47"/>
      <c r="W31" s="47"/>
      <c r="X31" s="47"/>
      <c r="Y31" s="47"/>
      <c r="AB31" s="47"/>
      <c r="AC31" s="47"/>
      <c r="AD31" s="47"/>
      <c r="AE31" s="47"/>
      <c r="AG31" s="191"/>
      <c r="AH31" s="47"/>
      <c r="AI31" s="47"/>
      <c r="AJ31" s="47"/>
      <c r="AK31" s="47"/>
      <c r="AN31" s="47"/>
      <c r="AO31" s="47"/>
      <c r="AP31" s="47"/>
      <c r="AQ31" s="47"/>
      <c r="BB31"/>
    </row>
    <row r="32" spans="2:65" ht="15" customHeight="1" x14ac:dyDescent="0.25">
      <c r="B32" s="57" t="s">
        <v>237</v>
      </c>
      <c r="D32" s="47"/>
      <c r="E32" s="47"/>
      <c r="F32" s="47"/>
      <c r="G32" s="47"/>
      <c r="J32" s="47"/>
      <c r="K32" s="47"/>
      <c r="L32" s="47"/>
      <c r="M32" s="47"/>
      <c r="P32" s="47"/>
      <c r="Q32" s="47"/>
      <c r="R32" s="47"/>
      <c r="S32" s="47"/>
      <c r="V32" s="47"/>
      <c r="W32" s="47"/>
      <c r="X32" s="47"/>
      <c r="Y32" s="47"/>
      <c r="AB32" s="47"/>
      <c r="AC32" s="47"/>
      <c r="AD32" s="47"/>
      <c r="AE32" s="47"/>
      <c r="AG32" s="191"/>
      <c r="AH32" s="47"/>
      <c r="AI32" s="47"/>
      <c r="AJ32" s="47"/>
      <c r="AK32" s="47"/>
      <c r="AN32" s="47"/>
      <c r="AO32" s="47"/>
      <c r="AP32" s="47"/>
      <c r="AQ32" s="47"/>
    </row>
    <row r="33" spans="1:50" ht="15" customHeight="1" x14ac:dyDescent="0.25">
      <c r="B33" s="57" t="s">
        <v>238</v>
      </c>
      <c r="D33" s="47"/>
      <c r="E33" s="47"/>
      <c r="F33" s="47"/>
      <c r="G33" s="47"/>
      <c r="J33" s="47"/>
      <c r="K33" s="47"/>
      <c r="L33" s="47"/>
      <c r="M33" s="47"/>
      <c r="P33" s="47"/>
      <c r="Q33" s="47"/>
      <c r="R33" s="47"/>
      <c r="S33" s="47"/>
      <c r="V33" s="47"/>
      <c r="W33" s="47"/>
      <c r="X33" s="47"/>
      <c r="Y33" s="47"/>
      <c r="AB33" s="47"/>
      <c r="AC33" s="47"/>
      <c r="AD33" s="47"/>
      <c r="AE33" s="47"/>
      <c r="AG33" s="191"/>
      <c r="AH33" s="47"/>
      <c r="AI33" s="47"/>
      <c r="AJ33" s="47"/>
      <c r="AK33" s="47"/>
      <c r="AN33" s="47"/>
      <c r="AO33" s="47"/>
      <c r="AP33" s="47"/>
      <c r="AQ33" s="47"/>
    </row>
    <row r="35" spans="1:50" ht="15" customHeight="1" x14ac:dyDescent="0.3">
      <c r="A35" s="45" t="s">
        <v>38</v>
      </c>
      <c r="B35" s="147" t="s">
        <v>239</v>
      </c>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row>
    <row r="36" spans="1:50" ht="15" customHeight="1" x14ac:dyDescent="0.3">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row>
    <row r="37" spans="1:50" ht="15" customHeight="1" x14ac:dyDescent="0.3">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row>
    <row r="38" spans="1:50" ht="4.05" customHeight="1" x14ac:dyDescent="0.3">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row>
    <row r="39" spans="1:50" ht="4.05" customHeight="1" x14ac:dyDescent="0.25"/>
    <row r="40" spans="1:50" s="24" customFormat="1" ht="60" customHeight="1" x14ac:dyDescent="0.25">
      <c r="B40" s="360" t="s">
        <v>240</v>
      </c>
      <c r="C40" s="532"/>
      <c r="D40" s="544"/>
      <c r="E40" s="544"/>
      <c r="F40" s="544"/>
      <c r="G40" s="544"/>
      <c r="H40" s="801" t="s">
        <v>241</v>
      </c>
      <c r="I40" s="801"/>
      <c r="J40" s="801"/>
      <c r="K40" s="801"/>
      <c r="L40" s="801"/>
      <c r="M40" s="801"/>
      <c r="N40" s="801"/>
      <c r="O40" s="801"/>
      <c r="P40" s="801"/>
      <c r="Q40" s="801"/>
      <c r="R40" s="801"/>
      <c r="S40" s="801"/>
      <c r="T40" s="801"/>
      <c r="U40" s="801"/>
      <c r="V40" s="801"/>
      <c r="W40" s="801"/>
      <c r="X40" s="801"/>
      <c r="Y40" s="801"/>
      <c r="Z40" s="801"/>
      <c r="AA40" s="801"/>
      <c r="AB40" s="801"/>
      <c r="AC40" s="801"/>
      <c r="AD40" s="801"/>
      <c r="AE40" s="801"/>
      <c r="AF40" s="801"/>
      <c r="AG40" s="801"/>
      <c r="AH40" s="801"/>
      <c r="AI40" s="801"/>
      <c r="AJ40" s="801"/>
      <c r="AK40" s="801"/>
      <c r="AL40" s="801"/>
      <c r="AM40" s="801"/>
      <c r="AN40" s="801"/>
      <c r="AO40" s="801"/>
      <c r="AP40" s="801"/>
      <c r="AQ40" s="801"/>
      <c r="AR40" s="801"/>
      <c r="AS40" s="801"/>
      <c r="AT40" s="801"/>
      <c r="AU40" s="801"/>
      <c r="AV40" s="801"/>
      <c r="AW40" s="801"/>
      <c r="AX40" s="801"/>
    </row>
    <row r="41" spans="1:50" ht="60" customHeight="1" x14ac:dyDescent="0.25">
      <c r="B41" s="360" t="s">
        <v>242</v>
      </c>
      <c r="C41" s="532"/>
      <c r="D41" s="544"/>
      <c r="E41" s="544"/>
      <c r="F41" s="544"/>
      <c r="G41" s="544"/>
      <c r="H41" s="801" t="s">
        <v>243</v>
      </c>
      <c r="I41" s="801"/>
      <c r="J41" s="801"/>
      <c r="K41" s="801"/>
      <c r="L41" s="801"/>
      <c r="M41" s="801"/>
      <c r="N41" s="801"/>
      <c r="O41" s="801"/>
      <c r="P41" s="801"/>
      <c r="Q41" s="801"/>
      <c r="R41" s="801"/>
      <c r="S41" s="801"/>
      <c r="T41" s="801"/>
      <c r="U41" s="801"/>
      <c r="V41" s="801"/>
      <c r="W41" s="801"/>
      <c r="X41" s="801"/>
      <c r="Y41" s="801"/>
      <c r="Z41" s="801"/>
      <c r="AA41" s="801"/>
      <c r="AB41" s="801"/>
      <c r="AC41" s="801"/>
      <c r="AD41" s="801"/>
      <c r="AE41" s="801"/>
      <c r="AF41" s="801"/>
      <c r="AG41" s="801"/>
      <c r="AH41" s="801"/>
      <c r="AI41" s="801"/>
      <c r="AJ41" s="801"/>
      <c r="AK41" s="801"/>
      <c r="AL41" s="801"/>
      <c r="AM41" s="801"/>
      <c r="AN41" s="801"/>
      <c r="AO41" s="801"/>
      <c r="AP41" s="801"/>
      <c r="AQ41" s="801"/>
      <c r="AR41" s="801"/>
      <c r="AS41" s="801"/>
      <c r="AT41" s="801"/>
      <c r="AU41" s="801"/>
      <c r="AV41" s="801"/>
      <c r="AW41" s="801"/>
      <c r="AX41" s="801"/>
    </row>
    <row r="42" spans="1:50" ht="60" customHeight="1" x14ac:dyDescent="0.25">
      <c r="B42" s="360" t="s">
        <v>244</v>
      </c>
      <c r="C42" s="191"/>
      <c r="H42" s="801" t="s">
        <v>245</v>
      </c>
      <c r="I42" s="801"/>
      <c r="J42" s="801"/>
      <c r="K42" s="801"/>
      <c r="L42" s="801"/>
      <c r="M42" s="801"/>
      <c r="N42" s="801"/>
      <c r="O42" s="801"/>
      <c r="P42" s="801"/>
      <c r="Q42" s="801"/>
      <c r="R42" s="801"/>
      <c r="S42" s="801"/>
      <c r="T42" s="801"/>
      <c r="U42" s="801"/>
      <c r="V42" s="801"/>
      <c r="W42" s="801"/>
      <c r="X42" s="801"/>
      <c r="Y42" s="801"/>
      <c r="Z42" s="801"/>
      <c r="AA42" s="801"/>
      <c r="AB42" s="801"/>
      <c r="AC42" s="801"/>
      <c r="AD42" s="801"/>
      <c r="AE42" s="801"/>
      <c r="AF42" s="801"/>
      <c r="AG42" s="801"/>
      <c r="AH42" s="801"/>
      <c r="AI42" s="801"/>
      <c r="AJ42" s="801"/>
      <c r="AK42" s="801"/>
      <c r="AL42" s="801"/>
      <c r="AM42" s="801"/>
      <c r="AN42" s="801"/>
      <c r="AO42" s="801"/>
      <c r="AP42" s="801"/>
      <c r="AQ42" s="801"/>
      <c r="AR42" s="801"/>
      <c r="AS42" s="801"/>
      <c r="AT42" s="801"/>
      <c r="AU42" s="801"/>
      <c r="AV42" s="801"/>
      <c r="AW42" s="801"/>
      <c r="AX42" s="801"/>
    </row>
    <row r="43" spans="1:50" ht="60" customHeight="1" x14ac:dyDescent="0.25">
      <c r="B43" s="360" t="s">
        <v>246</v>
      </c>
      <c r="C43" s="191"/>
      <c r="H43" s="801" t="s">
        <v>247</v>
      </c>
      <c r="I43" s="801"/>
      <c r="J43" s="801"/>
      <c r="K43" s="801"/>
      <c r="L43" s="801"/>
      <c r="M43" s="801"/>
      <c r="N43" s="801"/>
      <c r="O43" s="801"/>
      <c r="P43" s="801"/>
      <c r="Q43" s="801"/>
      <c r="R43" s="801"/>
      <c r="S43" s="801"/>
      <c r="T43" s="801"/>
      <c r="U43" s="801"/>
      <c r="V43" s="801"/>
      <c r="W43" s="801"/>
      <c r="X43" s="801"/>
      <c r="Y43" s="801"/>
      <c r="Z43" s="801"/>
      <c r="AA43" s="801"/>
      <c r="AB43" s="801"/>
      <c r="AC43" s="801"/>
      <c r="AD43" s="801"/>
      <c r="AE43" s="801"/>
      <c r="AF43" s="801"/>
      <c r="AG43" s="801"/>
      <c r="AH43" s="801"/>
      <c r="AI43" s="801"/>
      <c r="AJ43" s="801"/>
      <c r="AK43" s="801"/>
      <c r="AL43" s="801"/>
      <c r="AM43" s="801"/>
      <c r="AN43" s="801"/>
      <c r="AO43" s="801"/>
      <c r="AP43" s="801"/>
      <c r="AQ43" s="801"/>
      <c r="AR43" s="801"/>
      <c r="AS43" s="801"/>
      <c r="AT43" s="801"/>
      <c r="AU43" s="801"/>
      <c r="AV43" s="801"/>
      <c r="AW43" s="801"/>
      <c r="AX43" s="801"/>
    </row>
    <row r="44" spans="1:50" ht="60" customHeight="1" x14ac:dyDescent="0.25">
      <c r="B44" s="562"/>
      <c r="C44" s="191"/>
      <c r="H44" s="801"/>
      <c r="I44" s="801"/>
      <c r="J44" s="801"/>
      <c r="K44" s="801"/>
      <c r="L44" s="801"/>
      <c r="M44" s="801"/>
      <c r="N44" s="801"/>
      <c r="O44" s="801"/>
      <c r="P44" s="801"/>
      <c r="Q44" s="801"/>
      <c r="R44" s="801"/>
      <c r="S44" s="801"/>
      <c r="T44" s="801"/>
      <c r="U44" s="801"/>
      <c r="V44" s="801"/>
      <c r="W44" s="801"/>
      <c r="X44" s="801"/>
      <c r="Y44" s="801"/>
      <c r="Z44" s="801"/>
      <c r="AA44" s="801"/>
      <c r="AB44" s="801"/>
      <c r="AC44" s="801"/>
      <c r="AD44" s="801"/>
      <c r="AE44" s="801"/>
      <c r="AF44" s="801"/>
      <c r="AG44" s="801"/>
      <c r="AH44" s="801"/>
      <c r="AI44" s="801"/>
      <c r="AJ44" s="801"/>
      <c r="AK44" s="801"/>
      <c r="AL44" s="801"/>
      <c r="AM44" s="801"/>
      <c r="AN44" s="801"/>
      <c r="AO44" s="801"/>
      <c r="AP44" s="801"/>
      <c r="AQ44" s="801"/>
      <c r="AR44" s="801"/>
      <c r="AS44" s="801"/>
      <c r="AT44" s="801"/>
      <c r="AU44" s="801"/>
      <c r="AV44" s="801"/>
      <c r="AW44" s="801"/>
      <c r="AX44" s="801"/>
    </row>
    <row r="45" spans="1:50" ht="60" customHeight="1" x14ac:dyDescent="0.25">
      <c r="B45" s="562"/>
      <c r="C45" s="191"/>
      <c r="H45" s="801"/>
      <c r="I45" s="801"/>
      <c r="J45" s="801"/>
      <c r="K45" s="801"/>
      <c r="L45" s="801"/>
      <c r="M45" s="801"/>
      <c r="N45" s="801"/>
      <c r="O45" s="801"/>
      <c r="P45" s="801"/>
      <c r="Q45" s="801"/>
      <c r="R45" s="801"/>
      <c r="S45" s="801"/>
      <c r="T45" s="801"/>
      <c r="U45" s="801"/>
      <c r="V45" s="801"/>
      <c r="W45" s="801"/>
      <c r="X45" s="801"/>
      <c r="Y45" s="801"/>
      <c r="Z45" s="801"/>
      <c r="AA45" s="801"/>
      <c r="AB45" s="801"/>
      <c r="AC45" s="801"/>
      <c r="AD45" s="801"/>
      <c r="AE45" s="801"/>
      <c r="AF45" s="801"/>
      <c r="AG45" s="801"/>
      <c r="AH45" s="801"/>
      <c r="AI45" s="801"/>
      <c r="AJ45" s="801"/>
      <c r="AK45" s="801"/>
      <c r="AL45" s="801"/>
      <c r="AM45" s="801"/>
      <c r="AN45" s="801"/>
      <c r="AO45" s="801"/>
      <c r="AP45" s="801"/>
      <c r="AQ45" s="801"/>
      <c r="AR45" s="801"/>
      <c r="AS45" s="801"/>
      <c r="AT45" s="801"/>
      <c r="AU45" s="801"/>
      <c r="AV45" s="801"/>
      <c r="AW45" s="801"/>
      <c r="AX45" s="801"/>
    </row>
    <row r="46" spans="1:50" ht="60" customHeight="1" x14ac:dyDescent="0.25">
      <c r="B46" s="562"/>
      <c r="C46" s="191"/>
      <c r="H46" s="801"/>
      <c r="I46" s="801"/>
      <c r="J46" s="801"/>
      <c r="K46" s="801"/>
      <c r="L46" s="801"/>
      <c r="M46" s="801"/>
      <c r="N46" s="801"/>
      <c r="O46" s="801"/>
      <c r="P46" s="801"/>
      <c r="Q46" s="801"/>
      <c r="R46" s="801"/>
      <c r="S46" s="801"/>
      <c r="T46" s="801"/>
      <c r="U46" s="801"/>
      <c r="V46" s="801"/>
      <c r="W46" s="801"/>
      <c r="X46" s="801"/>
      <c r="Y46" s="801"/>
      <c r="Z46" s="801"/>
      <c r="AA46" s="801"/>
      <c r="AB46" s="801"/>
      <c r="AC46" s="801"/>
      <c r="AD46" s="801"/>
      <c r="AE46" s="801"/>
      <c r="AF46" s="801"/>
      <c r="AG46" s="801"/>
      <c r="AH46" s="801"/>
      <c r="AI46" s="801"/>
      <c r="AJ46" s="801"/>
      <c r="AK46" s="801"/>
      <c r="AL46" s="801"/>
      <c r="AM46" s="801"/>
      <c r="AN46" s="801"/>
      <c r="AO46" s="801"/>
      <c r="AP46" s="801"/>
      <c r="AQ46" s="801"/>
      <c r="AR46" s="801"/>
      <c r="AS46" s="801"/>
      <c r="AT46" s="801"/>
      <c r="AU46" s="801"/>
      <c r="AV46" s="801"/>
      <c r="AW46" s="801"/>
      <c r="AX46" s="801"/>
    </row>
  </sheetData>
  <mergeCells count="14">
    <mergeCell ref="AN8:AR8"/>
    <mergeCell ref="H40:AX40"/>
    <mergeCell ref="D8:H8"/>
    <mergeCell ref="J8:N8"/>
    <mergeCell ref="P8:T8"/>
    <mergeCell ref="V8:Z8"/>
    <mergeCell ref="AB8:AF8"/>
    <mergeCell ref="AH8:AL8"/>
    <mergeCell ref="H46:AX46"/>
    <mergeCell ref="H41:AX41"/>
    <mergeCell ref="H42:AX42"/>
    <mergeCell ref="H43:AX43"/>
    <mergeCell ref="H44:AX44"/>
    <mergeCell ref="H45:AX45"/>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R91"/>
  <sheetViews>
    <sheetView showGridLines="0" zoomScale="52" zoomScaleNormal="98" workbookViewId="0">
      <selection activeCell="C60" sqref="C60"/>
    </sheetView>
  </sheetViews>
  <sheetFormatPr defaultColWidth="11.5" defaultRowHeight="15" customHeight="1" x14ac:dyDescent="0.25"/>
  <cols>
    <col min="1" max="1" width="2" style="24" customWidth="1"/>
    <col min="2" max="2" width="31" style="24" customWidth="1"/>
    <col min="3" max="3" width="12.296875" style="24" customWidth="1"/>
    <col min="4" max="4" width="18" style="24" customWidth="1"/>
    <col min="5" max="5" width="16" style="24" customWidth="1"/>
    <col min="6" max="6" width="19.5" style="24" customWidth="1"/>
    <col min="7" max="8" width="21" style="24" customWidth="1"/>
    <col min="9" max="9" width="21.796875" style="24" customWidth="1"/>
    <col min="10" max="10" width="23.796875" style="24" customWidth="1"/>
    <col min="11" max="11" width="16" style="24" customWidth="1"/>
    <col min="12" max="12" width="18" style="24" customWidth="1"/>
    <col min="13" max="13" width="22" style="24" customWidth="1"/>
    <col min="14" max="18" width="12.296875" style="24" customWidth="1"/>
    <col min="19" max="16384" width="11.5" style="24"/>
  </cols>
  <sheetData>
    <row r="1" spans="1:18" s="569" customFormat="1" ht="15" customHeight="1" x14ac:dyDescent="0.25"/>
    <row r="2" spans="1:18" s="569" customFormat="1" ht="15" customHeight="1" x14ac:dyDescent="0.25"/>
    <row r="3" spans="1:18" s="569" customFormat="1" ht="15" customHeight="1" x14ac:dyDescent="0.25"/>
    <row r="4" spans="1:18" s="569" customFormat="1" ht="15" customHeight="1" x14ac:dyDescent="0.25"/>
    <row r="5" spans="1:18" s="37" customFormat="1" ht="4.05" customHeight="1" x14ac:dyDescent="0.25"/>
    <row r="6" spans="1:18" ht="15" customHeight="1" x14ac:dyDescent="0.25">
      <c r="C6"/>
      <c r="F6"/>
      <c r="G6"/>
      <c r="I6"/>
      <c r="J6"/>
      <c r="K6"/>
      <c r="L6"/>
      <c r="M6"/>
      <c r="N6" s="24" t="s">
        <v>248</v>
      </c>
      <c r="O6"/>
      <c r="P6"/>
      <c r="Q6"/>
    </row>
    <row r="7" spans="1:18" ht="15" customHeight="1" x14ac:dyDescent="0.25">
      <c r="B7" s="578" t="s">
        <v>249</v>
      </c>
      <c r="C7" s="569"/>
      <c r="D7" s="569"/>
      <c r="E7" s="569"/>
      <c r="F7" s="569"/>
      <c r="G7" s="569"/>
      <c r="H7" s="569"/>
      <c r="I7" s="569"/>
      <c r="J7" s="569"/>
      <c r="K7" s="569"/>
      <c r="L7" s="569"/>
      <c r="M7" s="569"/>
      <c r="N7" s="569"/>
      <c r="O7" s="569"/>
      <c r="P7" s="569"/>
      <c r="Q7" s="569"/>
      <c r="R7" s="569"/>
    </row>
    <row r="8" spans="1:18" ht="15" customHeight="1" x14ac:dyDescent="0.25">
      <c r="B8" s="569"/>
      <c r="C8" s="569"/>
      <c r="D8" s="569"/>
      <c r="E8" s="569"/>
      <c r="F8" s="569"/>
      <c r="G8" s="569"/>
      <c r="H8" s="569"/>
      <c r="I8" s="569"/>
      <c r="J8" s="569"/>
      <c r="K8" s="569"/>
      <c r="L8" s="569"/>
      <c r="M8" s="569"/>
      <c r="N8" s="569"/>
      <c r="O8" s="569"/>
      <c r="P8" s="569"/>
      <c r="Q8" s="569"/>
      <c r="R8" s="569"/>
    </row>
    <row r="9" spans="1:18" ht="15" customHeight="1" x14ac:dyDescent="0.25">
      <c r="B9" s="569"/>
      <c r="C9" s="569"/>
      <c r="D9" s="569"/>
      <c r="E9" s="569"/>
      <c r="F9" s="569"/>
      <c r="G9" s="569"/>
      <c r="H9" s="569"/>
      <c r="I9" s="569"/>
      <c r="J9" s="569"/>
      <c r="K9" s="569"/>
      <c r="L9" s="569"/>
      <c r="M9" s="569"/>
      <c r="N9" s="569"/>
      <c r="O9" s="569"/>
      <c r="P9" s="569"/>
      <c r="Q9" s="569"/>
      <c r="R9" s="569"/>
    </row>
    <row r="10" spans="1:18" ht="4.05" customHeight="1" x14ac:dyDescent="0.25">
      <c r="B10" s="37"/>
      <c r="C10" s="37"/>
      <c r="D10" s="37"/>
      <c r="E10" s="37"/>
      <c r="F10" s="37"/>
      <c r="G10" s="37"/>
      <c r="H10" s="37"/>
      <c r="I10" s="37"/>
      <c r="J10" s="37"/>
      <c r="K10" s="37"/>
      <c r="L10" s="37"/>
      <c r="M10" s="37"/>
      <c r="N10" s="37"/>
      <c r="O10" s="37"/>
      <c r="P10" s="37"/>
      <c r="Q10" s="37"/>
      <c r="R10" s="37"/>
    </row>
    <row r="11" spans="1:18" ht="13.05" customHeight="1" x14ac:dyDescent="0.25">
      <c r="B11" s="583"/>
      <c r="C11" s="584"/>
      <c r="D11" s="804" t="s">
        <v>250</v>
      </c>
      <c r="E11" s="804"/>
      <c r="F11" s="804"/>
      <c r="G11" s="804"/>
      <c r="H11" s="804"/>
      <c r="I11" s="804" t="s">
        <v>251</v>
      </c>
      <c r="J11" s="804"/>
      <c r="K11" s="804"/>
      <c r="L11" s="804"/>
      <c r="M11" s="804"/>
      <c r="N11" s="804" t="s">
        <v>252</v>
      </c>
      <c r="O11" s="804"/>
      <c r="P11" s="804"/>
      <c r="Q11" s="804"/>
      <c r="R11" s="804"/>
    </row>
    <row r="12" spans="1:18" ht="15" customHeight="1" x14ac:dyDescent="0.25">
      <c r="A12" s="366" t="s">
        <v>38</v>
      </c>
      <c r="B12" s="583" t="s">
        <v>253</v>
      </c>
      <c r="C12" s="584" t="s">
        <v>254</v>
      </c>
      <c r="D12" s="584" t="s">
        <v>255</v>
      </c>
      <c r="E12" s="584" t="s">
        <v>256</v>
      </c>
      <c r="F12" s="584" t="s">
        <v>257</v>
      </c>
      <c r="G12" s="584" t="s">
        <v>258</v>
      </c>
      <c r="H12" s="584" t="s">
        <v>259</v>
      </c>
      <c r="I12" s="584" t="s">
        <v>260</v>
      </c>
      <c r="J12" s="584" t="s">
        <v>261</v>
      </c>
      <c r="K12" s="584" t="s">
        <v>262</v>
      </c>
      <c r="L12" s="584" t="s">
        <v>263</v>
      </c>
      <c r="M12" s="584" t="s">
        <v>264</v>
      </c>
      <c r="N12" s="584" t="s">
        <v>265</v>
      </c>
      <c r="O12" s="584" t="s">
        <v>266</v>
      </c>
      <c r="P12" s="584" t="s">
        <v>267</v>
      </c>
      <c r="Q12" s="584" t="s">
        <v>268</v>
      </c>
      <c r="R12" s="584" t="s">
        <v>269</v>
      </c>
    </row>
    <row r="13" spans="1:18" ht="4.05" customHeight="1" x14ac:dyDescent="0.25">
      <c r="A13" s="366"/>
      <c r="B13" s="582"/>
      <c r="C13" s="37"/>
      <c r="D13" s="37"/>
      <c r="E13" s="37"/>
      <c r="F13" s="37"/>
      <c r="G13" s="37"/>
      <c r="H13" s="37"/>
      <c r="I13" s="37"/>
      <c r="J13" s="37"/>
      <c r="K13" s="37"/>
      <c r="L13" s="37"/>
      <c r="M13" s="37"/>
      <c r="N13" s="37"/>
      <c r="O13" s="37"/>
      <c r="P13" s="37"/>
      <c r="Q13" s="37"/>
      <c r="R13" s="37"/>
    </row>
    <row r="14" spans="1:18" ht="15" customHeight="1" x14ac:dyDescent="0.25">
      <c r="B14" s="361" t="s">
        <v>270</v>
      </c>
      <c r="C14" s="570">
        <v>0.17533425322358087</v>
      </c>
      <c r="D14" s="570">
        <v>0.28825718441864301</v>
      </c>
      <c r="E14" s="570">
        <v>0.23684089764599192</v>
      </c>
      <c r="F14" s="570">
        <v>0.21678188752224337</v>
      </c>
      <c r="G14" s="570">
        <v>6.5502346019215008E-2</v>
      </c>
      <c r="H14" s="570">
        <v>3.157171276206916E-2</v>
      </c>
      <c r="I14" s="570">
        <v>0.16200784883667052</v>
      </c>
      <c r="J14" s="570">
        <v>9.7540541286750715E-2</v>
      </c>
      <c r="K14" s="570">
        <v>-2.6061870117641939E-2</v>
      </c>
      <c r="L14" s="570">
        <v>-2.6061870117641939E-2</v>
      </c>
      <c r="M14" s="570">
        <v>-1.8596878942161665E-2</v>
      </c>
      <c r="N14" s="570">
        <v>0.5685511646916217</v>
      </c>
      <c r="O14" s="570">
        <v>0.39483946347084165</v>
      </c>
      <c r="P14" s="570">
        <v>0.71553469633567657</v>
      </c>
      <c r="Q14" s="570">
        <v>0.71553469633567657</v>
      </c>
      <c r="R14" s="570">
        <v>0.1582146299667988</v>
      </c>
    </row>
    <row r="15" spans="1:18" ht="15" customHeight="1" x14ac:dyDescent="0.25">
      <c r="B15" s="361" t="s">
        <v>271</v>
      </c>
      <c r="C15" s="570">
        <v>0.382142839228512</v>
      </c>
      <c r="D15" s="570">
        <v>0.42944736284220575</v>
      </c>
      <c r="E15" s="570">
        <v>2.2858305387787992E-2</v>
      </c>
      <c r="F15" s="570">
        <v>6.2015613275203663E-2</v>
      </c>
      <c r="G15" s="570">
        <v>4.3814534636930969E-2</v>
      </c>
      <c r="H15" s="570">
        <v>0.21677968186486796</v>
      </c>
      <c r="I15" s="570">
        <v>0.13313385539643097</v>
      </c>
      <c r="J15" s="570">
        <v>3.3317187359545031E-3</v>
      </c>
      <c r="K15" s="570">
        <v>-0.17742232867114349</v>
      </c>
      <c r="L15" s="570">
        <v>8.025243694700368E-2</v>
      </c>
      <c r="M15" s="570">
        <v>3.9031412198855975E-2</v>
      </c>
      <c r="N15" s="570">
        <v>0.1547124850338728</v>
      </c>
      <c r="O15" s="570">
        <v>0.21891360792409853</v>
      </c>
      <c r="P15" s="570">
        <v>0.77112223173808281</v>
      </c>
      <c r="Q15" s="570">
        <v>8.7507093766767685E-3</v>
      </c>
      <c r="R15" s="570">
        <v>0.11115230762262818</v>
      </c>
    </row>
    <row r="16" spans="1:18" ht="15" customHeight="1" x14ac:dyDescent="0.25">
      <c r="B16" s="361" t="s">
        <v>272</v>
      </c>
      <c r="C16" s="570">
        <v>0.17224413746924983</v>
      </c>
      <c r="D16" s="570">
        <v>0.25586403037374872</v>
      </c>
      <c r="E16" s="570">
        <v>0.25323778984503953</v>
      </c>
      <c r="F16" s="570">
        <v>0.21916611765513783</v>
      </c>
      <c r="G16" s="570">
        <v>8.8848808030112858E-2</v>
      </c>
      <c r="H16" s="570">
        <v>6.6816319378725453E-2</v>
      </c>
      <c r="I16" s="570">
        <v>0.16116395916908299</v>
      </c>
      <c r="J16" s="570">
        <v>0.14164459003240748</v>
      </c>
      <c r="K16" s="570">
        <v>-3.460650659230835E-2</v>
      </c>
      <c r="L16" s="570">
        <v>-3.460650659230835E-2</v>
      </c>
      <c r="M16" s="570">
        <v>2.0992182121213565E-2</v>
      </c>
      <c r="N16" s="570">
        <v>1.8546023712847344</v>
      </c>
      <c r="O16" s="570">
        <v>0.53145785119729805</v>
      </c>
      <c r="P16" s="570">
        <v>0.57690055692479469</v>
      </c>
      <c r="Q16" s="570">
        <v>0.57690055692479469</v>
      </c>
      <c r="R16" s="570">
        <v>0.15376508909752817</v>
      </c>
    </row>
    <row r="17" spans="1:18" ht="15" customHeight="1" x14ac:dyDescent="0.25">
      <c r="B17" s="361" t="s">
        <v>273</v>
      </c>
      <c r="C17" s="570">
        <v>0.22008511208658654</v>
      </c>
      <c r="D17" s="570">
        <v>0.208770558893139</v>
      </c>
      <c r="E17" s="570">
        <v>0.34093104685240383</v>
      </c>
      <c r="F17" s="570">
        <v>0.25338468353093146</v>
      </c>
      <c r="G17" s="570">
        <v>9.7641810070108415E-2</v>
      </c>
      <c r="H17" s="570">
        <v>-0.22141707723821724</v>
      </c>
      <c r="I17" s="570">
        <v>0.21920673830104875</v>
      </c>
      <c r="J17" s="570">
        <v>0.21199729892293107</v>
      </c>
      <c r="K17" s="570">
        <v>-4.5584729115746181E-2</v>
      </c>
      <c r="L17" s="570">
        <v>-4.5584729115746181E-2</v>
      </c>
      <c r="M17" s="570">
        <v>1.9486393223906218E-2</v>
      </c>
      <c r="N17" s="570">
        <v>3.5980277154483993</v>
      </c>
      <c r="O17" s="570">
        <v>0.61840033537845351</v>
      </c>
      <c r="P17" s="570">
        <v>0.60461057740251967</v>
      </c>
      <c r="Q17" s="570">
        <v>0.60461057740251967</v>
      </c>
      <c r="R17" s="570">
        <v>0.26977937403796814</v>
      </c>
    </row>
    <row r="18" spans="1:18" ht="15" customHeight="1" x14ac:dyDescent="0.25">
      <c r="B18" s="361" t="s">
        <v>274</v>
      </c>
      <c r="C18" s="570">
        <v>0.22068056681081827</v>
      </c>
      <c r="D18" s="570">
        <v>0.22022173117458199</v>
      </c>
      <c r="E18" s="570">
        <v>0.32088681252111528</v>
      </c>
      <c r="F18" s="570">
        <v>0.24893116752498434</v>
      </c>
      <c r="G18" s="570">
        <v>8.2874251497006002E-2</v>
      </c>
      <c r="H18" s="570">
        <v>-8.4102482703028003E-2</v>
      </c>
      <c r="I18" s="570">
        <v>0.21153301690398862</v>
      </c>
      <c r="J18" s="570">
        <v>0.17073198824748381</v>
      </c>
      <c r="K18" s="570">
        <v>-3.1391968017445038E-2</v>
      </c>
      <c r="L18" s="570">
        <v>-3.1391968017445038E-2</v>
      </c>
      <c r="M18" s="570">
        <v>1.8328960119691873E-2</v>
      </c>
      <c r="N18" s="570">
        <v>1.2593118949880582</v>
      </c>
      <c r="O18" s="570">
        <v>0.43307613182313021</v>
      </c>
      <c r="P18" s="570">
        <v>0.59879178413209821</v>
      </c>
      <c r="Q18" s="570">
        <v>0.59879178413209821</v>
      </c>
      <c r="R18" s="570">
        <v>0.2239846609726337</v>
      </c>
    </row>
    <row r="19" spans="1:18" ht="15" customHeight="1" x14ac:dyDescent="0.25">
      <c r="B19" s="361" t="s">
        <v>275</v>
      </c>
      <c r="C19" s="570"/>
      <c r="D19" s="570"/>
      <c r="E19" s="570">
        <v>0.27222466214509405</v>
      </c>
      <c r="F19" s="570">
        <v>0.33384949972775368</v>
      </c>
      <c r="G19" s="570">
        <v>-1.4090071108770081E-2</v>
      </c>
      <c r="H19" s="570"/>
      <c r="I19" s="570">
        <v>-0.14964746345657781</v>
      </c>
      <c r="J19" s="570"/>
      <c r="K19" s="570">
        <v>-0.10535828769609872</v>
      </c>
      <c r="L19" s="570">
        <v>0.83026951915004465</v>
      </c>
      <c r="M19" s="570">
        <v>0.43087684069611776</v>
      </c>
      <c r="N19" s="570"/>
      <c r="O19" s="570">
        <v>1.7873594323897455</v>
      </c>
      <c r="P19" s="570">
        <v>1.2520632100958513</v>
      </c>
      <c r="Q19" s="570">
        <v>0.13321149355264494</v>
      </c>
      <c r="R19" s="570">
        <v>1.145405887600357</v>
      </c>
    </row>
    <row r="20" spans="1:18" ht="15" customHeight="1" x14ac:dyDescent="0.25">
      <c r="B20" s="361"/>
    </row>
    <row r="21" spans="1:18" ht="15" customHeight="1" x14ac:dyDescent="0.25">
      <c r="A21" s="366" t="s">
        <v>38</v>
      </c>
      <c r="B21" s="583" t="s">
        <v>276</v>
      </c>
      <c r="C21" s="584" t="str">
        <f>C12</f>
        <v>ACM RESEARCH-A</v>
      </c>
      <c r="D21" s="584" t="str">
        <f t="shared" ref="D21:R21" si="0">D12</f>
        <v>NAURA TECH GR -A</v>
      </c>
      <c r="E21" s="584" t="str">
        <f t="shared" si="0"/>
        <v>LAM RESEARCH</v>
      </c>
      <c r="F21" s="584" t="str">
        <f t="shared" si="0"/>
        <v>TOKYO ELECTRON</v>
      </c>
      <c r="G21" s="584" t="str">
        <f>G12</f>
        <v>APPLIED MATERIAL</v>
      </c>
      <c r="H21" s="584" t="str">
        <f>H12</f>
        <v>KINGSEMI CO LT-A</v>
      </c>
      <c r="I21" s="584" t="str">
        <f t="shared" si="0"/>
        <v>SCREEN HOLDINGS</v>
      </c>
      <c r="J21" s="584" t="str">
        <f>J12</f>
        <v>SAMSUNG ELECTRON</v>
      </c>
      <c r="K21" s="584" t="str">
        <f t="shared" si="0"/>
        <v>HIMAX TECHNO-ADR</v>
      </c>
      <c r="L21" s="584" t="str">
        <f t="shared" si="0"/>
        <v>ENTEGRIS INC</v>
      </c>
      <c r="M21" s="584" t="str">
        <f t="shared" si="0"/>
        <v>ONTO INNOVATION</v>
      </c>
      <c r="N21" s="584" t="str">
        <f t="shared" si="0"/>
        <v>SK HYNIX INC</v>
      </c>
      <c r="O21" s="584" t="str">
        <f t="shared" si="0"/>
        <v>TAIWAN SEMIC-ADR</v>
      </c>
      <c r="P21" s="584" t="str">
        <f t="shared" si="0"/>
        <v>NVIDIA CORP</v>
      </c>
      <c r="Q21" s="584" t="str">
        <f t="shared" si="0"/>
        <v>QUALCOMM INC</v>
      </c>
      <c r="R21" s="584" t="str">
        <f t="shared" si="0"/>
        <v>ADV MICRO DEVICE</v>
      </c>
    </row>
    <row r="22" spans="1:18" ht="4.05" customHeight="1" x14ac:dyDescent="0.25">
      <c r="A22" s="366"/>
      <c r="B22" s="582"/>
      <c r="C22" s="37"/>
      <c r="D22" s="37"/>
      <c r="E22" s="37"/>
      <c r="F22" s="37"/>
      <c r="G22" s="37"/>
      <c r="H22" s="37"/>
      <c r="I22" s="37"/>
      <c r="J22" s="37"/>
      <c r="K22" s="37"/>
      <c r="L22" s="37"/>
      <c r="M22" s="37"/>
      <c r="N22" s="37"/>
      <c r="O22" s="37"/>
      <c r="P22" s="37"/>
      <c r="Q22" s="37"/>
      <c r="R22" s="37"/>
    </row>
    <row r="23" spans="1:18" ht="15" customHeight="1" x14ac:dyDescent="0.25">
      <c r="B23" s="361" t="s">
        <v>277</v>
      </c>
      <c r="C23" s="570">
        <v>0.50063289682631007</v>
      </c>
      <c r="D23" s="570">
        <v>0.42854289149356917</v>
      </c>
      <c r="E23" s="570">
        <v>0.48705023885591736</v>
      </c>
      <c r="F23" s="570">
        <v>0.47141926526422462</v>
      </c>
      <c r="G23" s="570">
        <v>0.4745731527818664</v>
      </c>
      <c r="H23" s="570">
        <v>0.3767412504752623</v>
      </c>
      <c r="I23" s="570">
        <v>0.37631483409540534</v>
      </c>
      <c r="J23" s="570">
        <v>0.37992585477765528</v>
      </c>
      <c r="K23" s="570">
        <v>0.30458799164536476</v>
      </c>
      <c r="L23" s="570">
        <v>0.45869287006572856</v>
      </c>
      <c r="M23" s="570">
        <v>0.52192549332993021</v>
      </c>
      <c r="N23" s="570">
        <v>0.48083883845049391</v>
      </c>
      <c r="O23" s="570">
        <v>0.5612235231800764</v>
      </c>
      <c r="P23" s="570">
        <v>0.74988697058169917</v>
      </c>
      <c r="Q23" s="570">
        <v>0.56213746727580727</v>
      </c>
      <c r="R23" s="570">
        <v>0.49350397517936784</v>
      </c>
    </row>
    <row r="24" spans="1:18" ht="15" customHeight="1" x14ac:dyDescent="0.25">
      <c r="B24" s="361" t="s">
        <v>278</v>
      </c>
      <c r="C24" s="570">
        <v>0.19306293935186247</v>
      </c>
      <c r="D24" s="570">
        <v>0.22063905554441562</v>
      </c>
      <c r="E24" s="570">
        <v>0.32008564303688447</v>
      </c>
      <c r="F24" s="570">
        <v>0.28677750324070722</v>
      </c>
      <c r="G24" s="570">
        <v>0.28948336767736238</v>
      </c>
      <c r="H24" s="570">
        <v>0.12628751202828517</v>
      </c>
      <c r="I24" s="570">
        <v>0.21699940345675223</v>
      </c>
      <c r="J24" s="570">
        <v>0.10877077402197313</v>
      </c>
      <c r="K24" s="570">
        <v>7.5232520439963743E-2</v>
      </c>
      <c r="L24" s="570">
        <v>0.16472932314124858</v>
      </c>
      <c r="M24" s="570">
        <v>0.18950574331954853</v>
      </c>
      <c r="N24" s="570">
        <v>0.35452892573470046</v>
      </c>
      <c r="O24" s="570">
        <v>0.45676670364272837</v>
      </c>
      <c r="P24" s="570">
        <v>0.62417526839697468</v>
      </c>
      <c r="Q24" s="570">
        <v>0.25848262409527234</v>
      </c>
      <c r="R24" s="570">
        <v>7.3686251696722896E-2</v>
      </c>
    </row>
    <row r="25" spans="1:18" ht="15" customHeight="1" x14ac:dyDescent="0.25">
      <c r="B25" s="361" t="s">
        <v>279</v>
      </c>
      <c r="C25" s="570">
        <v>0.19772046429806933</v>
      </c>
      <c r="D25" s="570">
        <f>1052.9/4114.4</f>
        <v>0.25590608594205722</v>
      </c>
      <c r="E25" s="570">
        <v>0.34103842941623086</v>
      </c>
      <c r="F25" s="570">
        <v>0.306082685547032</v>
      </c>
      <c r="G25" s="570">
        <v>0.31642959493936323</v>
      </c>
      <c r="H25" s="682">
        <f>39.8/243.6</f>
        <v>0.16338259441707717</v>
      </c>
      <c r="I25" s="570">
        <v>0.23210659230390041</v>
      </c>
      <c r="J25" s="570">
        <v>0.23484276191921147</v>
      </c>
      <c r="K25" s="570">
        <v>9.9470412934020272E-2</v>
      </c>
      <c r="L25" s="570">
        <v>0.27791020594570931</v>
      </c>
      <c r="M25" s="570">
        <v>0.24012474513992818</v>
      </c>
      <c r="N25" s="570">
        <v>0.58050797995011005</v>
      </c>
      <c r="O25" s="570">
        <v>0.69350797064569403</v>
      </c>
      <c r="P25" s="570">
        <v>0.5972896415644785</v>
      </c>
      <c r="Q25" s="570">
        <v>0.3164343343273921</v>
      </c>
      <c r="R25" s="570">
        <v>0.17827702702702702</v>
      </c>
    </row>
    <row r="26" spans="1:18" ht="15" customHeight="1" x14ac:dyDescent="0.25">
      <c r="B26" s="361" t="s">
        <v>280</v>
      </c>
      <c r="C26" s="570">
        <v>0.13249535236370982</v>
      </c>
      <c r="D26" s="570">
        <v>0.18838984112751614</v>
      </c>
      <c r="E26" s="570">
        <v>0.29064525243589967</v>
      </c>
      <c r="F26" s="570">
        <v>0.22377864818092688</v>
      </c>
      <c r="G26" s="570">
        <v>0.26409331763320576</v>
      </c>
      <c r="H26" s="570">
        <v>0.11565425889479819</v>
      </c>
      <c r="I26" s="570">
        <v>0.15907873251352617</v>
      </c>
      <c r="J26" s="570">
        <v>9.8214470410254329E-2</v>
      </c>
      <c r="K26" s="570">
        <v>8.795194540814863E-2</v>
      </c>
      <c r="L26" s="570">
        <v>9.0332678433472952E-2</v>
      </c>
      <c r="M26" s="570">
        <v>0.20425981013267214</v>
      </c>
      <c r="N26" s="570">
        <v>0.29895335826341651</v>
      </c>
      <c r="O26" s="570">
        <v>0.40537075702261055</v>
      </c>
      <c r="P26" s="570">
        <v>0.55848027157712443</v>
      </c>
      <c r="Q26" s="570">
        <v>0.26030491247882553</v>
      </c>
      <c r="R26" s="570">
        <v>6.3641652123327522E-2</v>
      </c>
    </row>
    <row r="27" spans="1:18" ht="15" customHeight="1" x14ac:dyDescent="0.25">
      <c r="B27" s="361" t="s">
        <v>281</v>
      </c>
      <c r="C27" s="570">
        <v>0.17271434745140757</v>
      </c>
      <c r="D27" s="570">
        <v>9.9535053292471518E-2</v>
      </c>
      <c r="E27" s="570">
        <v>5.3250476212018373E-2</v>
      </c>
      <c r="F27" s="570">
        <v>8.18196324347088E-2</v>
      </c>
      <c r="G27" s="570">
        <v>6.6124521636738307E-2</v>
      </c>
      <c r="H27" s="570">
        <v>0.18146370481097873</v>
      </c>
      <c r="I27" s="570">
        <v>0.10860605595351761</v>
      </c>
      <c r="J27" s="570">
        <v>0.14683642239741607</v>
      </c>
      <c r="K27" s="570">
        <v>5.2548406377577468E-2</v>
      </c>
      <c r="L27" s="570">
        <v>0.13777795192409742</v>
      </c>
      <c r="M27" s="570">
        <v>0.16408138791740476</v>
      </c>
      <c r="N27" s="570">
        <v>5.0834076614794076E-2</v>
      </c>
      <c r="O27" s="570">
        <v>3.3475532692489998E-2</v>
      </c>
      <c r="P27" s="570">
        <v>2.6751572833091947E-2</v>
      </c>
      <c r="Q27" s="570">
        <v>7.0812586622863299E-2</v>
      </c>
      <c r="R27" s="570">
        <v>0.10793096761683149</v>
      </c>
    </row>
    <row r="28" spans="1:18" ht="15" customHeight="1" x14ac:dyDescent="0.25">
      <c r="B28" s="361" t="s">
        <v>282</v>
      </c>
      <c r="C28" s="570">
        <v>0.1434149608791338</v>
      </c>
      <c r="D28" s="570"/>
      <c r="E28" s="570">
        <v>0.11371411960701452</v>
      </c>
      <c r="F28" s="570">
        <v>0.10664185850195562</v>
      </c>
      <c r="G28" s="570">
        <v>0.12270646209764792</v>
      </c>
      <c r="H28" s="570">
        <v>0.1761982280253126</v>
      </c>
      <c r="I28" s="570">
        <v>5.2763318055571065E-2</v>
      </c>
      <c r="J28" s="570">
        <v>0.12059922327673317</v>
      </c>
      <c r="K28" s="570">
        <v>0.1764836812764948</v>
      </c>
      <c r="L28" s="570">
        <v>0.10283479014659969</v>
      </c>
      <c r="M28" s="570">
        <v>0.12205397195743148</v>
      </c>
      <c r="N28" s="570">
        <v>7.3727013971820687E-2</v>
      </c>
      <c r="O28" s="570">
        <v>6.6988848573803508E-2</v>
      </c>
      <c r="P28" s="570">
        <v>9.3113341161374666E-2</v>
      </c>
      <c r="Q28" s="570">
        <v>0.20745775250248516</v>
      </c>
      <c r="R28" s="570">
        <v>0.23547297297297298</v>
      </c>
    </row>
    <row r="29" spans="1:18" ht="15" customHeight="1" x14ac:dyDescent="0.25">
      <c r="B29" s="361"/>
    </row>
    <row r="30" spans="1:18" ht="15" customHeight="1" x14ac:dyDescent="0.25">
      <c r="A30" s="366" t="s">
        <v>38</v>
      </c>
      <c r="B30" s="583" t="s">
        <v>283</v>
      </c>
      <c r="C30" s="584" t="str">
        <f>+C21</f>
        <v>ACM RESEARCH-A</v>
      </c>
      <c r="D30" s="584" t="str">
        <f t="shared" ref="D30:R30" si="1">D21</f>
        <v>NAURA TECH GR -A</v>
      </c>
      <c r="E30" s="584" t="str">
        <f t="shared" si="1"/>
        <v>LAM RESEARCH</v>
      </c>
      <c r="F30" s="584" t="str">
        <f t="shared" si="1"/>
        <v>TOKYO ELECTRON</v>
      </c>
      <c r="G30" s="584" t="str">
        <f>G21</f>
        <v>APPLIED MATERIAL</v>
      </c>
      <c r="H30" s="584" t="str">
        <f>H21</f>
        <v>KINGSEMI CO LT-A</v>
      </c>
      <c r="I30" s="584" t="str">
        <f t="shared" si="1"/>
        <v>SCREEN HOLDINGS</v>
      </c>
      <c r="J30" s="584" t="str">
        <f t="shared" si="1"/>
        <v>SAMSUNG ELECTRON</v>
      </c>
      <c r="K30" s="584" t="str">
        <f t="shared" si="1"/>
        <v>HIMAX TECHNO-ADR</v>
      </c>
      <c r="L30" s="584" t="str">
        <f t="shared" si="1"/>
        <v>ENTEGRIS INC</v>
      </c>
      <c r="M30" s="584" t="str">
        <f t="shared" si="1"/>
        <v>ONTO INNOVATION</v>
      </c>
      <c r="N30" s="584" t="str">
        <f t="shared" si="1"/>
        <v>SK HYNIX INC</v>
      </c>
      <c r="O30" s="584" t="str">
        <f t="shared" si="1"/>
        <v>TAIWAN SEMIC-ADR</v>
      </c>
      <c r="P30" s="584" t="str">
        <f t="shared" si="1"/>
        <v>NVIDIA CORP</v>
      </c>
      <c r="Q30" s="584" t="str">
        <f t="shared" si="1"/>
        <v>QUALCOMM INC</v>
      </c>
      <c r="R30" s="584" t="str">
        <f t="shared" si="1"/>
        <v>ADV MICRO DEVICE</v>
      </c>
    </row>
    <row r="31" spans="1:18" ht="4.05" customHeight="1" x14ac:dyDescent="0.25">
      <c r="A31" s="366"/>
      <c r="B31" s="582"/>
      <c r="C31" s="37"/>
      <c r="D31" s="37"/>
      <c r="E31" s="37"/>
      <c r="F31" s="37"/>
      <c r="G31" s="37"/>
      <c r="H31" s="37"/>
      <c r="I31" s="37"/>
      <c r="J31" s="37"/>
      <c r="K31" s="37"/>
      <c r="L31" s="37"/>
      <c r="M31" s="37"/>
      <c r="N31" s="37"/>
      <c r="O31" s="37"/>
      <c r="P31" s="37"/>
      <c r="Q31" s="37"/>
      <c r="R31" s="37"/>
    </row>
    <row r="32" spans="1:18" ht="15" customHeight="1" x14ac:dyDescent="0.25">
      <c r="B32" s="361" t="s">
        <v>284</v>
      </c>
      <c r="C32" s="570">
        <v>9.3969143161026808E-2</v>
      </c>
      <c r="D32" s="570">
        <v>0.13661975725376654</v>
      </c>
      <c r="E32" s="570">
        <v>0.36742097418112307</v>
      </c>
      <c r="F32" s="570"/>
      <c r="G32" s="570">
        <v>0.25026918947095511</v>
      </c>
      <c r="H32" s="570">
        <v>3.7240064175973538E-2</v>
      </c>
      <c r="I32" s="570">
        <v>0.2330593933921527</v>
      </c>
      <c r="J32" s="570">
        <v>6.3682368341920551E-2</v>
      </c>
      <c r="K32" s="570">
        <v>4.6776380074959698E-2</v>
      </c>
      <c r="L32" s="570">
        <v>5.9044886133561729E-2</v>
      </c>
      <c r="M32" s="570">
        <v>9.087851197793885E-2</v>
      </c>
      <c r="N32" s="570">
        <v>0.26721459955478039</v>
      </c>
      <c r="O32" s="570">
        <v>0.2584188900147471</v>
      </c>
      <c r="P32" s="570">
        <v>1.0268123455387232</v>
      </c>
      <c r="Q32" s="570">
        <v>0.28951274639975549</v>
      </c>
      <c r="R32" s="570">
        <v>4.3249389930738374E-2</v>
      </c>
    </row>
    <row r="33" spans="1:18" ht="15" customHeight="1" x14ac:dyDescent="0.25">
      <c r="B33" s="361" t="s">
        <v>285</v>
      </c>
      <c r="C33" s="570">
        <v>5.3793367429290855E-2</v>
      </c>
      <c r="D33" s="570">
        <v>-1.4716985254406206E-2</v>
      </c>
      <c r="E33" s="570">
        <v>0.35698560789803785</v>
      </c>
      <c r="F33" s="570">
        <v>0.22111462012163913</v>
      </c>
      <c r="G33" s="570">
        <v>0.31050928998009292</v>
      </c>
      <c r="H33" s="570">
        <v>4.4838494927423027E-2</v>
      </c>
      <c r="I33" s="570">
        <v>0.11130794944231223</v>
      </c>
      <c r="J33" s="570">
        <v>5.2296567092638642E-2</v>
      </c>
      <c r="K33" s="570">
        <v>8.0962719807182018E-2</v>
      </c>
      <c r="L33" s="570">
        <v>4.0014779829153482E-2</v>
      </c>
      <c r="M33" s="570">
        <v>0.11246362752055825</v>
      </c>
      <c r="N33" s="570">
        <v>0.13869851873034969</v>
      </c>
      <c r="O33" s="570">
        <v>0.17068653072132592</v>
      </c>
      <c r="P33" s="570">
        <v>0.7570193444050507</v>
      </c>
      <c r="Q33" s="570">
        <v>0.29568696020770413</v>
      </c>
      <c r="R33" s="570">
        <v>4.0362507342451961E-2</v>
      </c>
    </row>
    <row r="34" spans="1:18" ht="15" customHeight="1" x14ac:dyDescent="0.25">
      <c r="B34" s="361" t="s">
        <v>286</v>
      </c>
      <c r="C34" s="570">
        <v>0.11770327468878372</v>
      </c>
      <c r="D34" s="570">
        <v>0.16396785489939708</v>
      </c>
      <c r="E34" s="570">
        <v>0.55333883330673361</v>
      </c>
      <c r="F34" s="570">
        <v>0.45359657219651717</v>
      </c>
      <c r="G34" s="570">
        <v>0.47742444471416434</v>
      </c>
      <c r="H34" s="570">
        <v>6.2094107539012726E-2</v>
      </c>
      <c r="I34" s="570">
        <v>0.39663997708145149</v>
      </c>
      <c r="J34" s="570">
        <v>9.8340046523437516E-2</v>
      </c>
      <c r="K34" s="570">
        <v>0.12317328143111463</v>
      </c>
      <c r="L34" s="570">
        <v>0.18223215809413293</v>
      </c>
      <c r="M34" s="570">
        <v>0.12608358715868354</v>
      </c>
      <c r="N34" s="570">
        <v>0.270668553773805</v>
      </c>
      <c r="O34" s="570">
        <v>0.24860964118690349</v>
      </c>
      <c r="P34" s="570">
        <v>0.91328332604527562</v>
      </c>
      <c r="Q34" s="570">
        <v>0.46605581007913371</v>
      </c>
      <c r="R34" s="570">
        <v>0.11306831706736491</v>
      </c>
    </row>
    <row r="35" spans="1:18" ht="15" customHeight="1" x14ac:dyDescent="0.25">
      <c r="B35" s="361" t="s">
        <v>287</v>
      </c>
      <c r="C35" s="570">
        <v>0.13778371502665374</v>
      </c>
      <c r="D35" s="570">
        <v>0.20429490674525216</v>
      </c>
      <c r="E35" s="570">
        <v>0.59837720358087243</v>
      </c>
      <c r="F35" s="570">
        <v>0.37587085875499743</v>
      </c>
      <c r="G35" s="570">
        <v>0.41403084048207989</v>
      </c>
      <c r="H35" s="570">
        <v>7.8537620031079475E-2</v>
      </c>
      <c r="I35" s="570">
        <v>0.32252183297123327</v>
      </c>
      <c r="J35" s="570">
        <v>8.1368986215963932E-2</v>
      </c>
      <c r="K35" s="570">
        <v>7.61117315444029E-2</v>
      </c>
      <c r="L35" s="570">
        <v>0.1446353572961048</v>
      </c>
      <c r="M35" s="570">
        <v>9.7151850424896227E-2</v>
      </c>
      <c r="N35" s="570">
        <v>0.31748759370539176</v>
      </c>
      <c r="O35" s="570">
        <v>0.30577083143191247</v>
      </c>
      <c r="P35" s="570">
        <v>1.0268004588601611</v>
      </c>
      <c r="Q35" s="570">
        <v>0.38330669102534826</v>
      </c>
      <c r="R35" s="570">
        <v>3.3004446914952752E-2</v>
      </c>
    </row>
    <row r="36" spans="1:18" ht="15" customHeight="1" x14ac:dyDescent="0.25">
      <c r="B36" s="361" t="s">
        <v>288</v>
      </c>
      <c r="C36" s="570">
        <v>0.12323898574371887</v>
      </c>
      <c r="D36" s="570">
        <v>0.19888031699100503</v>
      </c>
      <c r="E36" s="570">
        <v>0.5823809296338317</v>
      </c>
      <c r="F36" s="570">
        <v>0.29389652277259876</v>
      </c>
      <c r="G36" s="570">
        <v>0.35635301481326936</v>
      </c>
      <c r="H36" s="570">
        <v>5.5096325114989499E-2</v>
      </c>
      <c r="I36" s="570">
        <v>0.24658313705595258</v>
      </c>
      <c r="J36" s="570">
        <v>6.9935051719912336E-2</v>
      </c>
      <c r="K36" s="570">
        <v>8.6130425542046099E-2</v>
      </c>
      <c r="L36" s="570">
        <v>8.0838515815517764E-2</v>
      </c>
      <c r="M36" s="570">
        <v>0.10533705126455162</v>
      </c>
      <c r="N36" s="570">
        <v>0.3926755911446197</v>
      </c>
      <c r="O36" s="570">
        <v>0.34870792820988306</v>
      </c>
      <c r="P36" s="570">
        <v>1.0941701202870717</v>
      </c>
      <c r="Q36" s="570">
        <v>0.44634630582702056</v>
      </c>
      <c r="R36" s="570">
        <v>4.8776709723501115E-2</v>
      </c>
    </row>
    <row r="37" spans="1:18" ht="15" customHeight="1" x14ac:dyDescent="0.25">
      <c r="B37" s="361" t="s">
        <v>289</v>
      </c>
      <c r="C37" s="570">
        <v>6.0488389092841398E-2</v>
      </c>
      <c r="D37" s="570">
        <v>8.3794920319929037E-2</v>
      </c>
      <c r="E37" s="570">
        <v>0.2673094838541733</v>
      </c>
      <c r="F37" s="570">
        <v>0.21408956240204538</v>
      </c>
      <c r="G37" s="570">
        <v>0.20136166701052197</v>
      </c>
      <c r="H37" s="570">
        <v>2.7273065589741723E-2</v>
      </c>
      <c r="I37" s="570">
        <v>0.15409814141016817</v>
      </c>
      <c r="J37" s="570">
        <v>6.1213637302609113E-2</v>
      </c>
      <c r="K37" s="570">
        <v>4.3843925509902446E-2</v>
      </c>
      <c r="L37" s="570">
        <v>3.5210709631774792E-2</v>
      </c>
      <c r="M37" s="570">
        <v>9.6425147900876154E-2</v>
      </c>
      <c r="N37" s="570">
        <v>0.24586253808015801</v>
      </c>
      <c r="O37" s="570">
        <v>0.22477584418496266</v>
      </c>
      <c r="P37" s="570">
        <v>0.76645704903813394</v>
      </c>
      <c r="Q37" s="570">
        <v>0.21519846100945142</v>
      </c>
      <c r="R37" s="570">
        <v>3.9718021666923606E-2</v>
      </c>
    </row>
    <row r="38" spans="1:18" ht="15" customHeight="1" x14ac:dyDescent="0.25">
      <c r="B38" s="361"/>
    </row>
    <row r="39" spans="1:18" ht="15" customHeight="1" x14ac:dyDescent="0.25">
      <c r="A39" s="366" t="s">
        <v>38</v>
      </c>
      <c r="B39" s="583" t="s">
        <v>290</v>
      </c>
      <c r="C39" s="584" t="s">
        <v>254</v>
      </c>
      <c r="D39" s="584" t="str">
        <f t="shared" ref="D39:R39" si="2">D30</f>
        <v>NAURA TECH GR -A</v>
      </c>
      <c r="E39" s="584" t="str">
        <f t="shared" si="2"/>
        <v>LAM RESEARCH</v>
      </c>
      <c r="F39" s="584" t="str">
        <f t="shared" si="2"/>
        <v>TOKYO ELECTRON</v>
      </c>
      <c r="G39" s="584" t="str">
        <f>G30</f>
        <v>APPLIED MATERIAL</v>
      </c>
      <c r="H39" s="584" t="str">
        <f>H30</f>
        <v>KINGSEMI CO LT-A</v>
      </c>
      <c r="I39" s="584" t="str">
        <f t="shared" si="2"/>
        <v>SCREEN HOLDINGS</v>
      </c>
      <c r="J39" s="584" t="str">
        <f t="shared" si="2"/>
        <v>SAMSUNG ELECTRON</v>
      </c>
      <c r="K39" s="584" t="str">
        <f t="shared" si="2"/>
        <v>HIMAX TECHNO-ADR</v>
      </c>
      <c r="L39" s="584" t="str">
        <f t="shared" si="2"/>
        <v>ENTEGRIS INC</v>
      </c>
      <c r="M39" s="584" t="str">
        <f t="shared" si="2"/>
        <v>ONTO INNOVATION</v>
      </c>
      <c r="N39" s="584" t="str">
        <f t="shared" si="2"/>
        <v>SK HYNIX INC</v>
      </c>
      <c r="O39" s="584" t="str">
        <f t="shared" si="2"/>
        <v>TAIWAN SEMIC-ADR</v>
      </c>
      <c r="P39" s="584" t="str">
        <f t="shared" si="2"/>
        <v>NVIDIA CORP</v>
      </c>
      <c r="Q39" s="584" t="str">
        <f t="shared" si="2"/>
        <v>QUALCOMM INC</v>
      </c>
      <c r="R39" s="584" t="str">
        <f t="shared" si="2"/>
        <v>ADV MICRO DEVICE</v>
      </c>
    </row>
    <row r="40" spans="1:18" ht="4.05" customHeight="1" x14ac:dyDescent="0.25">
      <c r="A40" s="366"/>
      <c r="B40" s="582"/>
      <c r="C40" s="37"/>
      <c r="D40" s="37"/>
      <c r="E40" s="37"/>
      <c r="F40" s="37"/>
      <c r="G40" s="37"/>
      <c r="H40" s="37"/>
      <c r="I40" s="37"/>
      <c r="J40" s="37"/>
      <c r="K40" s="37"/>
      <c r="L40" s="37"/>
      <c r="M40" s="37"/>
      <c r="N40" s="37"/>
      <c r="O40" s="37"/>
      <c r="P40" s="37"/>
      <c r="Q40" s="37"/>
      <c r="R40" s="37"/>
    </row>
    <row r="41" spans="1:18" ht="15" customHeight="1" x14ac:dyDescent="0.25">
      <c r="B41" s="361" t="s">
        <v>291</v>
      </c>
      <c r="C41" s="745">
        <v>0.439763816696293</v>
      </c>
      <c r="D41" s="745">
        <v>0.46610335108661077</v>
      </c>
      <c r="E41" s="745">
        <v>0.91971047733913003</v>
      </c>
      <c r="F41" s="745">
        <v>0.96948930521244514</v>
      </c>
      <c r="G41" s="745">
        <v>0.84331987385422502</v>
      </c>
      <c r="H41" s="745">
        <v>0.33836023294726381</v>
      </c>
      <c r="I41" s="745">
        <v>0.98627121644212801</v>
      </c>
      <c r="J41" s="745">
        <v>0.62302357471814307</v>
      </c>
      <c r="K41" s="745">
        <v>0.52590067986993794</v>
      </c>
      <c r="L41" s="745">
        <v>0.3840241256955314</v>
      </c>
      <c r="M41" s="745">
        <v>0.49996743599726179</v>
      </c>
      <c r="N41" s="745">
        <v>0.65792251129074586</v>
      </c>
      <c r="O41" s="745">
        <v>0.5237160458582667</v>
      </c>
      <c r="P41" s="745">
        <v>1.4623197192510411</v>
      </c>
      <c r="Q41" s="745">
        <v>0.80401104058437034</v>
      </c>
      <c r="R41" s="745">
        <v>0.41483889955572995</v>
      </c>
    </row>
    <row r="42" spans="1:18" ht="15" customHeight="1" x14ac:dyDescent="0.25">
      <c r="B42" s="361" t="s">
        <v>292</v>
      </c>
      <c r="C42" s="745">
        <v>0.63958987376139054</v>
      </c>
      <c r="D42" s="745">
        <v>0.66141513155058129</v>
      </c>
      <c r="E42" s="745">
        <v>1.8077571919169617</v>
      </c>
      <c r="F42" s="745">
        <v>1.1533070504623535</v>
      </c>
      <c r="G42" s="745">
        <v>1.4823542246222658</v>
      </c>
      <c r="H42" s="745">
        <v>0.70870010897159263</v>
      </c>
      <c r="I42" s="745">
        <v>1.3408352061210136</v>
      </c>
      <c r="J42" s="745">
        <v>0.78648784067098121</v>
      </c>
      <c r="K42" s="745">
        <v>1.0376816768569348</v>
      </c>
      <c r="L42" s="745">
        <v>0.81063638750984768</v>
      </c>
      <c r="M42" s="745">
        <v>0.79010710593115918</v>
      </c>
      <c r="N42" s="745">
        <v>0.82252709384237954</v>
      </c>
      <c r="O42" s="745">
        <v>0.89799022995868283</v>
      </c>
      <c r="P42" s="745">
        <v>2.2452641902238435</v>
      </c>
      <c r="Q42" s="745">
        <v>1.4750511092602407</v>
      </c>
      <c r="R42" s="745">
        <v>0.41765201334672325</v>
      </c>
    </row>
    <row r="43" spans="1:18" ht="15" customHeight="1" x14ac:dyDescent="0.25">
      <c r="B43" s="361" t="s">
        <v>293</v>
      </c>
      <c r="C43" s="745">
        <v>2.9565154314998812</v>
      </c>
      <c r="D43" s="745">
        <v>4.3901526705700684</v>
      </c>
      <c r="E43" s="745">
        <v>7.5707083960098887</v>
      </c>
      <c r="F43" s="745">
        <v>5.8148561375672152</v>
      </c>
      <c r="G43" s="745">
        <v>7.0666831316374417</v>
      </c>
      <c r="H43" s="745">
        <v>1.5648718565505604</v>
      </c>
      <c r="I43" s="745">
        <v>5.7420796863477932</v>
      </c>
      <c r="J43" s="745">
        <v>1.5449951138926521</v>
      </c>
      <c r="K43" s="745">
        <v>7.1986097399129259</v>
      </c>
      <c r="L43" s="745">
        <v>1.9414065982252784</v>
      </c>
      <c r="M43" s="745">
        <v>7.4820448769781684</v>
      </c>
      <c r="N43" s="745">
        <v>1.259933522688675</v>
      </c>
      <c r="O43" s="745">
        <v>1.0345164013393289</v>
      </c>
      <c r="P43" s="745">
        <v>18.70463036340994</v>
      </c>
      <c r="Q43" s="745">
        <v>9.3629870129870127</v>
      </c>
      <c r="R43" s="745">
        <v>13.36644840821856</v>
      </c>
    </row>
    <row r="44" spans="1:18" ht="15" customHeight="1" x14ac:dyDescent="0.25">
      <c r="B44" s="361" t="s">
        <v>294</v>
      </c>
      <c r="C44" s="571">
        <v>402.94908551655959</v>
      </c>
      <c r="D44" s="571">
        <v>285.04788570459101</v>
      </c>
      <c r="E44" s="571">
        <v>970.29426315789476</v>
      </c>
      <c r="F44" s="571">
        <v>829.20077888454932</v>
      </c>
      <c r="G44" s="571">
        <v>801.48459383753504</v>
      </c>
      <c r="H44" s="571">
        <v>179.44498934165904</v>
      </c>
      <c r="I44" s="571">
        <v>653.68633378247239</v>
      </c>
      <c r="J44" s="571" t="e">
        <v>#VALUE!</v>
      </c>
      <c r="K44" s="571">
        <v>408.61782269177769</v>
      </c>
      <c r="L44" s="571">
        <v>393.06475609756097</v>
      </c>
      <c r="M44" s="571">
        <v>668.18375241779495</v>
      </c>
      <c r="N44" s="571" t="e">
        <v>#VALUE!</v>
      </c>
      <c r="O44" s="571">
        <v>1266.3072715496223</v>
      </c>
      <c r="P44" s="571">
        <v>4589.3888888888887</v>
      </c>
      <c r="Q44" s="571">
        <v>882.79591836734699</v>
      </c>
      <c r="R44" s="571">
        <v>1057.1428571428571</v>
      </c>
    </row>
    <row r="45" spans="1:18" ht="15" customHeight="1" x14ac:dyDescent="0.25">
      <c r="B45" s="361" t="s">
        <v>295</v>
      </c>
      <c r="C45" s="571">
        <v>71.994068215521509</v>
      </c>
      <c r="D45" s="571">
        <v>57.307324570308381</v>
      </c>
      <c r="E45" s="571">
        <v>312.82015789473684</v>
      </c>
      <c r="F45" s="571">
        <v>231.14291751108394</v>
      </c>
      <c r="G45" s="571">
        <v>241.20448179271708</v>
      </c>
      <c r="H45" s="571">
        <v>17.231958188525287</v>
      </c>
      <c r="I45" s="571">
        <v>137.96785391697503</v>
      </c>
      <c r="J45" s="571" t="e">
        <v>#VALUE!</v>
      </c>
      <c r="K45" s="571">
        <v>29.237023426734037</v>
      </c>
      <c r="L45" s="571">
        <v>63.087682926829267</v>
      </c>
      <c r="M45" s="571">
        <v>159.55705996131528</v>
      </c>
      <c r="N45" s="571" t="e">
        <v>#VALUE!</v>
      </c>
      <c r="O45" s="571">
        <v>616.90415810995773</v>
      </c>
      <c r="P45" s="571">
        <v>2681.75</v>
      </c>
      <c r="Q45" s="571">
        <v>252.53061224489795</v>
      </c>
      <c r="R45" s="571">
        <v>95.25</v>
      </c>
    </row>
    <row r="46" spans="1:18" ht="15" customHeight="1" x14ac:dyDescent="0.25">
      <c r="B46" s="361"/>
    </row>
    <row r="47" spans="1:18" ht="15" customHeight="1" x14ac:dyDescent="0.25">
      <c r="A47" s="366" t="s">
        <v>38</v>
      </c>
      <c r="B47" s="583" t="s">
        <v>296</v>
      </c>
      <c r="C47" s="584" t="s">
        <v>254</v>
      </c>
      <c r="D47" s="584" t="str">
        <f t="shared" ref="D47:R47" si="3">D39</f>
        <v>NAURA TECH GR -A</v>
      </c>
      <c r="E47" s="584" t="str">
        <f t="shared" si="3"/>
        <v>LAM RESEARCH</v>
      </c>
      <c r="F47" s="584" t="str">
        <f t="shared" si="3"/>
        <v>TOKYO ELECTRON</v>
      </c>
      <c r="G47" s="584" t="str">
        <f>G39</f>
        <v>APPLIED MATERIAL</v>
      </c>
      <c r="H47" s="584" t="str">
        <f>H39</f>
        <v>KINGSEMI CO LT-A</v>
      </c>
      <c r="I47" s="584" t="str">
        <f t="shared" si="3"/>
        <v>SCREEN HOLDINGS</v>
      </c>
      <c r="J47" s="584" t="str">
        <f t="shared" si="3"/>
        <v>SAMSUNG ELECTRON</v>
      </c>
      <c r="K47" s="584" t="str">
        <f t="shared" si="3"/>
        <v>HIMAX TECHNO-ADR</v>
      </c>
      <c r="L47" s="584" t="str">
        <f t="shared" si="3"/>
        <v>ENTEGRIS INC</v>
      </c>
      <c r="M47" s="584" t="str">
        <f t="shared" si="3"/>
        <v>ONTO INNOVATION</v>
      </c>
      <c r="N47" s="584" t="str">
        <f t="shared" si="3"/>
        <v>SK HYNIX INC</v>
      </c>
      <c r="O47" s="584" t="str">
        <f t="shared" si="3"/>
        <v>TAIWAN SEMIC-ADR</v>
      </c>
      <c r="P47" s="584" t="str">
        <f t="shared" si="3"/>
        <v>NVIDIA CORP</v>
      </c>
      <c r="Q47" s="584" t="str">
        <f t="shared" si="3"/>
        <v>QUALCOMM INC</v>
      </c>
      <c r="R47" s="584" t="str">
        <f t="shared" si="3"/>
        <v>ADV MICRO DEVICE</v>
      </c>
    </row>
    <row r="48" spans="1:18" ht="4.05" customHeight="1" x14ac:dyDescent="0.25">
      <c r="A48" s="366"/>
      <c r="B48" s="582"/>
      <c r="C48" s="37"/>
      <c r="D48" s="37"/>
      <c r="E48" s="37"/>
      <c r="F48" s="37"/>
      <c r="G48" s="37"/>
      <c r="H48" s="37"/>
      <c r="I48" s="37"/>
      <c r="J48" s="37"/>
      <c r="K48" s="37"/>
      <c r="L48" s="37"/>
      <c r="M48" s="37"/>
      <c r="N48" s="37"/>
      <c r="O48" s="37"/>
      <c r="P48" s="37"/>
      <c r="Q48" s="37"/>
      <c r="R48" s="37"/>
    </row>
    <row r="49" spans="1:18" ht="15" customHeight="1" x14ac:dyDescent="0.25">
      <c r="B49" s="361" t="s">
        <v>297</v>
      </c>
      <c r="C49" s="571">
        <v>162.7973719463275</v>
      </c>
      <c r="D49" s="571">
        <v>82.436897849962932</v>
      </c>
      <c r="E49" s="571">
        <v>58.219583087952003</v>
      </c>
      <c r="F49" s="571">
        <v>56.541620793682654</v>
      </c>
      <c r="G49" s="571">
        <v>68.32712403452976</v>
      </c>
      <c r="H49" s="571">
        <v>100.79116056175874</v>
      </c>
      <c r="I49" s="571">
        <v>50.221512929198497</v>
      </c>
      <c r="J49" s="571">
        <v>51.576144347284725</v>
      </c>
      <c r="K49" s="571">
        <v>94.661869731249453</v>
      </c>
      <c r="L49" s="571">
        <v>53.71164684277494</v>
      </c>
      <c r="M49" s="571">
        <v>91.875005910148374</v>
      </c>
      <c r="N49" s="571">
        <v>55.188517702944047</v>
      </c>
      <c r="O49" s="571">
        <v>23.925654502469737</v>
      </c>
      <c r="P49" s="571">
        <v>46.20005084191795</v>
      </c>
      <c r="Q49" s="571">
        <v>27.265159396167093</v>
      </c>
      <c r="R49" s="571">
        <v>66.798918918918915</v>
      </c>
    </row>
    <row r="50" spans="1:18" ht="15" customHeight="1" x14ac:dyDescent="0.25">
      <c r="B50" s="361" t="s">
        <v>298</v>
      </c>
      <c r="C50" s="571">
        <v>553.55537252791464</v>
      </c>
      <c r="D50" s="571">
        <v>485.13179955478529</v>
      </c>
      <c r="E50" s="571">
        <v>164.08938604553975</v>
      </c>
      <c r="F50" s="571">
        <v>215.34158702543789</v>
      </c>
      <c r="G50" s="571">
        <v>140.49881235154393</v>
      </c>
      <c r="H50" s="571">
        <v>636.69380450224583</v>
      </c>
      <c r="I50" s="571">
        <v>167.01703735749186</v>
      </c>
      <c r="J50" s="571">
        <v>99.037351480062654</v>
      </c>
      <c r="K50" s="571">
        <v>99.870868587513982</v>
      </c>
      <c r="L50" s="571">
        <v>137.6332953883458</v>
      </c>
      <c r="M50" s="571">
        <v>213.78950680092629</v>
      </c>
      <c r="N50" s="571">
        <v>137.24235662888188</v>
      </c>
      <c r="O50" s="571">
        <v>74.710076085294347</v>
      </c>
      <c r="P50" s="571">
        <v>79.046408928499744</v>
      </c>
      <c r="Q50" s="571">
        <v>119.57691304574618</v>
      </c>
      <c r="R50" s="571">
        <v>136.96955624355007</v>
      </c>
    </row>
    <row r="51" spans="1:18" ht="15" customHeight="1" x14ac:dyDescent="0.25">
      <c r="B51" s="361" t="s">
        <v>299</v>
      </c>
      <c r="C51" s="571">
        <v>131.15285449387036</v>
      </c>
      <c r="D51" s="571">
        <v>143.06844649898997</v>
      </c>
      <c r="E51" s="571">
        <v>27.989828419524056</v>
      </c>
      <c r="F51" s="571">
        <v>25.434942418463528</v>
      </c>
      <c r="G51" s="571">
        <v>39.368104714839056</v>
      </c>
      <c r="H51" s="571">
        <v>96.771231113194744</v>
      </c>
      <c r="I51" s="571">
        <v>48.820484610176557</v>
      </c>
      <c r="J51" s="571">
        <v>24.52404556740294</v>
      </c>
      <c r="K51" s="571">
        <v>96.94892825657729</v>
      </c>
      <c r="L51" s="571">
        <v>29.882592536750021</v>
      </c>
      <c r="M51" s="571">
        <v>35.874323530321298</v>
      </c>
      <c r="N51" s="571">
        <v>20.254173629379075</v>
      </c>
      <c r="O51" s="571">
        <v>18.842624761845183</v>
      </c>
      <c r="P51" s="571">
        <v>39.917528611995522</v>
      </c>
      <c r="Q51" s="571">
        <v>46.858048129714199</v>
      </c>
      <c r="R51" s="571">
        <v>50.597905759162309</v>
      </c>
    </row>
    <row r="52" spans="1:18" ht="15" customHeight="1" x14ac:dyDescent="0.25">
      <c r="B52" s="361" t="s">
        <v>300</v>
      </c>
      <c r="C52" s="571">
        <v>565.09835975017074</v>
      </c>
      <c r="D52" s="571">
        <v>387.87772571573413</v>
      </c>
      <c r="E52" s="571">
        <v>194.31914071396773</v>
      </c>
      <c r="F52" s="571">
        <v>251.72768188348616</v>
      </c>
      <c r="G52" s="571">
        <v>172.01492149850318</v>
      </c>
      <c r="H52" s="571">
        <v>595.85989690373367</v>
      </c>
      <c r="I52" s="571">
        <v>154.91904815063401</v>
      </c>
      <c r="J52" s="571">
        <v>127.0084080451102</v>
      </c>
      <c r="K52" s="571">
        <v>133.95944931101428</v>
      </c>
      <c r="L52" s="571">
        <v>150.07984914169532</v>
      </c>
      <c r="M52" s="571">
        <v>290.80925698120961</v>
      </c>
      <c r="N52" s="571">
        <v>174.86502075937216</v>
      </c>
      <c r="O52" s="571">
        <v>89.204707116374152</v>
      </c>
      <c r="P52" s="571">
        <v>87.976881088083417</v>
      </c>
      <c r="Q52" s="571">
        <v>124.64536427957037</v>
      </c>
      <c r="R52" s="571">
        <v>171.22044297042936</v>
      </c>
    </row>
    <row r="53" spans="1:18" ht="15" customHeight="1" x14ac:dyDescent="0.25">
      <c r="B53" s="361" t="s">
        <v>301</v>
      </c>
      <c r="C53" s="570">
        <v>1.0621351970028192</v>
      </c>
      <c r="D53" s="570">
        <v>0.77161558230569338</v>
      </c>
      <c r="E53" s="570">
        <v>0.44732365780950561</v>
      </c>
      <c r="F53" s="570">
        <v>0.42887300228392844</v>
      </c>
      <c r="G53" s="570">
        <v>0.44172229406213959</v>
      </c>
      <c r="H53" s="570">
        <v>1.2604599618028851</v>
      </c>
      <c r="I53" s="570">
        <v>0.34999210321024443</v>
      </c>
      <c r="J53" s="570">
        <v>0.42330918033290493</v>
      </c>
      <c r="K53" s="570">
        <v>0.49321856511245432</v>
      </c>
      <c r="L53" s="570">
        <v>0.36070950885955305</v>
      </c>
      <c r="M53" s="570">
        <v>1.24253849798283</v>
      </c>
      <c r="N53" s="570">
        <v>0.20857267631791798</v>
      </c>
      <c r="O53" s="570">
        <v>0.5042847685847186</v>
      </c>
      <c r="P53" s="570">
        <v>0.37412993741602002</v>
      </c>
      <c r="Q53" s="570">
        <v>0.35483274383336799</v>
      </c>
      <c r="R53" s="570">
        <v>0.43827702702702703</v>
      </c>
    </row>
    <row r="54" spans="1:18" ht="15" customHeight="1" x14ac:dyDescent="0.25">
      <c r="B54" s="361" t="s">
        <v>302</v>
      </c>
      <c r="C54" s="745">
        <v>1.0096160214042571</v>
      </c>
      <c r="D54" s="745">
        <v>0.22101467989535406</v>
      </c>
      <c r="E54" s="745">
        <v>1.0461442936142002</v>
      </c>
      <c r="F54" s="745">
        <v>0.83487471300796334</v>
      </c>
      <c r="G54" s="745">
        <v>1.1029617389093682</v>
      </c>
      <c r="H54" s="745">
        <v>1.9169258007041008</v>
      </c>
      <c r="I54" s="745">
        <v>0.52500313230102513</v>
      </c>
      <c r="J54" s="745">
        <v>2.2301139147602114</v>
      </c>
      <c r="K54" s="745">
        <v>1.7000043974729189</v>
      </c>
      <c r="L54" s="745">
        <v>1.183170950063867</v>
      </c>
      <c r="M54" s="745">
        <v>1.3130521691260961</v>
      </c>
      <c r="N54" s="745">
        <v>1.2696757137021064</v>
      </c>
      <c r="O54" s="745">
        <v>1.4276350385017809</v>
      </c>
      <c r="P54" s="745">
        <v>0.78682184818238743</v>
      </c>
      <c r="Q54" s="745">
        <v>1.2115976566378712</v>
      </c>
      <c r="R54" s="745">
        <v>1.6005263157894736</v>
      </c>
    </row>
    <row r="55" spans="1:18" ht="15" customHeight="1" x14ac:dyDescent="0.25">
      <c r="B55" s="361" t="s">
        <v>303</v>
      </c>
      <c r="C55" s="570">
        <v>0.19491943670903877</v>
      </c>
      <c r="D55" s="570">
        <v>4.8764470233562271E-2</v>
      </c>
      <c r="E55" s="570">
        <v>0.33485576893086855</v>
      </c>
      <c r="F55" s="570">
        <v>0.23942328571522573</v>
      </c>
      <c r="G55" s="570">
        <v>0.3192890785987636</v>
      </c>
      <c r="H55" s="570">
        <v>0.24208379011374934</v>
      </c>
      <c r="I55" s="570">
        <v>0.11392536652224883</v>
      </c>
      <c r="J55" s="570">
        <v>0.2425712166656408</v>
      </c>
      <c r="K55" s="570">
        <v>0.12789561558090962</v>
      </c>
      <c r="L55" s="570">
        <v>0.19490294976440883</v>
      </c>
      <c r="M55" s="570">
        <v>0.24883092732758644</v>
      </c>
      <c r="N55" s="570">
        <v>0.45013676681024684</v>
      </c>
      <c r="O55" s="570">
        <v>0.65209615054131809</v>
      </c>
      <c r="P55" s="570">
        <v>0.49111473826984531</v>
      </c>
      <c r="Q55" s="570">
        <v>0.31317694163543963</v>
      </c>
      <c r="R55" s="570">
        <v>0.11793678495249175</v>
      </c>
    </row>
    <row r="56" spans="1:18" ht="15" customHeight="1" x14ac:dyDescent="0.25">
      <c r="B56" s="361"/>
    </row>
    <row r="57" spans="1:18" ht="15" customHeight="1" x14ac:dyDescent="0.25">
      <c r="A57" s="366" t="s">
        <v>38</v>
      </c>
      <c r="B57" s="583" t="s">
        <v>304</v>
      </c>
      <c r="C57" s="584" t="s">
        <v>254</v>
      </c>
      <c r="D57" s="584" t="str">
        <f t="shared" ref="D57:R57" si="4">D47</f>
        <v>NAURA TECH GR -A</v>
      </c>
      <c r="E57" s="584" t="str">
        <f t="shared" si="4"/>
        <v>LAM RESEARCH</v>
      </c>
      <c r="F57" s="584" t="str">
        <f t="shared" si="4"/>
        <v>TOKYO ELECTRON</v>
      </c>
      <c r="G57" s="584" t="str">
        <f>G47</f>
        <v>APPLIED MATERIAL</v>
      </c>
      <c r="H57" s="584" t="str">
        <f>H47</f>
        <v>KINGSEMI CO LT-A</v>
      </c>
      <c r="I57" s="584" t="str">
        <f t="shared" si="4"/>
        <v>SCREEN HOLDINGS</v>
      </c>
      <c r="J57" s="584" t="str">
        <f t="shared" si="4"/>
        <v>SAMSUNG ELECTRON</v>
      </c>
      <c r="K57" s="584" t="str">
        <f t="shared" si="4"/>
        <v>HIMAX TECHNO-ADR</v>
      </c>
      <c r="L57" s="584" t="str">
        <f t="shared" si="4"/>
        <v>ENTEGRIS INC</v>
      </c>
      <c r="M57" s="584" t="str">
        <f t="shared" si="4"/>
        <v>ONTO INNOVATION</v>
      </c>
      <c r="N57" s="584" t="str">
        <f t="shared" si="4"/>
        <v>SK HYNIX INC</v>
      </c>
      <c r="O57" s="584" t="str">
        <f t="shared" si="4"/>
        <v>TAIWAN SEMIC-ADR</v>
      </c>
      <c r="P57" s="584" t="str">
        <f t="shared" si="4"/>
        <v>NVIDIA CORP</v>
      </c>
      <c r="Q57" s="584" t="str">
        <f t="shared" si="4"/>
        <v>QUALCOMM INC</v>
      </c>
      <c r="R57" s="584" t="str">
        <f t="shared" si="4"/>
        <v>ADV MICRO DEVICE</v>
      </c>
    </row>
    <row r="58" spans="1:18" ht="4.05" customHeight="1" x14ac:dyDescent="0.25">
      <c r="A58" s="366"/>
      <c r="B58" s="582"/>
      <c r="C58" s="37"/>
      <c r="D58" s="37"/>
      <c r="E58" s="37"/>
      <c r="F58" s="37"/>
      <c r="G58" s="37"/>
      <c r="H58" s="37"/>
      <c r="I58" s="37"/>
      <c r="J58" s="37"/>
      <c r="K58" s="37"/>
      <c r="L58" s="37"/>
      <c r="M58" s="37"/>
      <c r="N58" s="37"/>
      <c r="O58" s="37"/>
      <c r="P58" s="37"/>
      <c r="Q58" s="37"/>
      <c r="R58" s="37"/>
    </row>
    <row r="59" spans="1:18" ht="15" customHeight="1" x14ac:dyDescent="0.25">
      <c r="B59" s="361" t="s">
        <v>305</v>
      </c>
      <c r="C59" s="745">
        <v>-1.2833814177136655</v>
      </c>
      <c r="D59" s="733">
        <f>'Trading Comps'!T15</f>
        <v>-0.53024978630449227</v>
      </c>
      <c r="E59" s="745">
        <v>-0.25990779745341552</v>
      </c>
      <c r="F59" s="733">
        <f>'Trading Comps'!T17</f>
        <v>-0.8614249219415272</v>
      </c>
      <c r="G59" s="745">
        <v>-2.7833001988071572E-2</v>
      </c>
      <c r="H59" s="733">
        <f>'Trading Comps'!T19</f>
        <v>0.33248081841432225</v>
      </c>
      <c r="I59" s="745">
        <v>-1.1344257112026008</v>
      </c>
      <c r="J59" s="745">
        <v>-1.1963192324104703</v>
      </c>
      <c r="K59" s="745">
        <v>2.3392665423518104</v>
      </c>
      <c r="L59" s="745">
        <v>4.1076605849235435</v>
      </c>
      <c r="M59" s="745">
        <v>-3.5423461145892774</v>
      </c>
      <c r="N59" s="745">
        <v>0.16525226298787846</v>
      </c>
      <c r="O59" s="745">
        <v>-0.68824959896329174</v>
      </c>
      <c r="P59" s="745">
        <v>-0.46809480862965253</v>
      </c>
      <c r="Q59" s="745">
        <v>0.34899181765049681</v>
      </c>
      <c r="R59" s="745">
        <v>-0.37540269092287282</v>
      </c>
    </row>
    <row r="60" spans="1:18" ht="15" customHeight="1" x14ac:dyDescent="0.25">
      <c r="B60" s="361" t="s">
        <v>306</v>
      </c>
      <c r="C60" s="745">
        <v>-3.6479917699001239</v>
      </c>
      <c r="D60" s="745">
        <v>6.894612177561882</v>
      </c>
      <c r="E60" s="745">
        <v>-0.30182498294261723</v>
      </c>
      <c r="F60" s="745">
        <v>-1.1204318074563473</v>
      </c>
      <c r="G60" s="745">
        <v>-0.38279684786964069</v>
      </c>
      <c r="H60" s="745">
        <v>0.47214077117941256</v>
      </c>
      <c r="I60" s="745">
        <v>-3.9604230707005339</v>
      </c>
      <c r="J60" s="745">
        <v>-4.3251972329225081</v>
      </c>
      <c r="K60" s="745">
        <v>2.8066273538071025</v>
      </c>
      <c r="L60" s="745">
        <v>11.824317099789633</v>
      </c>
      <c r="M60" s="745">
        <v>-3.9161587291192057</v>
      </c>
      <c r="N60" s="745">
        <v>0.81555665989981052</v>
      </c>
      <c r="O60" s="745">
        <v>-1.4760762309134661</v>
      </c>
      <c r="P60" s="745">
        <v>-0.5413044549981102</v>
      </c>
      <c r="Q60" s="745">
        <v>0.19173909147925813</v>
      </c>
      <c r="R60" s="745">
        <v>-1.2162162162162162</v>
      </c>
    </row>
    <row r="61" spans="1:18" ht="15" customHeight="1" x14ac:dyDescent="0.25">
      <c r="B61" s="361" t="s">
        <v>307</v>
      </c>
      <c r="C61" s="745">
        <v>36.376294868706339</v>
      </c>
      <c r="D61" s="745">
        <v>37.905027897843205</v>
      </c>
      <c r="E61" s="745">
        <v>33.113741070576815</v>
      </c>
      <c r="F61" s="745"/>
      <c r="G61" s="745">
        <v>31.850202429149796</v>
      </c>
      <c r="H61" s="745">
        <v>8.3201208146492416</v>
      </c>
      <c r="I61" s="745">
        <v>1005.0592592592593</v>
      </c>
      <c r="J61" s="745">
        <v>36.204568334738326</v>
      </c>
      <c r="K61" s="745">
        <v>16.995764823119082</v>
      </c>
      <c r="L61" s="745">
        <v>2.4808542076137106</v>
      </c>
      <c r="M61" s="745"/>
      <c r="N61" s="745">
        <v>17.44472097523191</v>
      </c>
      <c r="O61" s="745">
        <v>125.96313280586016</v>
      </c>
      <c r="P61" s="745">
        <v>329.76923076923077</v>
      </c>
      <c r="Q61" s="745">
        <v>14.449067431850789</v>
      </c>
      <c r="R61" s="745">
        <v>20.652173913043477</v>
      </c>
    </row>
    <row r="62" spans="1:18" ht="15" customHeight="1" x14ac:dyDescent="0.25">
      <c r="B62" s="361" t="s">
        <v>308</v>
      </c>
      <c r="C62" s="570">
        <v>0.14694840541173779</v>
      </c>
      <c r="D62" s="570">
        <v>0.20403397025975054</v>
      </c>
      <c r="E62" s="570">
        <v>0.32538639914944228</v>
      </c>
      <c r="F62" s="570">
        <v>1.1403020769388173E-2</v>
      </c>
      <c r="G62" s="570">
        <v>0.25794735608841679</v>
      </c>
      <c r="H62" s="570">
        <v>0.36323440974147725</v>
      </c>
      <c r="I62" s="570">
        <v>1.072765581202852E-2</v>
      </c>
      <c r="J62" s="570">
        <v>4.5858039087065622E-2</v>
      </c>
      <c r="K62" s="570">
        <v>0.37827905779825999</v>
      </c>
      <c r="L62" s="570">
        <v>0.52420249064227253</v>
      </c>
      <c r="M62" s="570">
        <v>7.8097268424520659E-3</v>
      </c>
      <c r="N62" s="570">
        <v>0.25614037615983359</v>
      </c>
      <c r="O62" s="570">
        <v>0.1949574736630057</v>
      </c>
      <c r="P62" s="570">
        <v>0.11462437358393697</v>
      </c>
      <c r="Q62" s="570">
        <v>0.37013952150357193</v>
      </c>
      <c r="R62" s="570">
        <v>3.9316467525532341E-2</v>
      </c>
    </row>
    <row r="63" spans="1:18" ht="15" customHeight="1" x14ac:dyDescent="0.25">
      <c r="B63" s="361" t="s">
        <v>309</v>
      </c>
      <c r="C63" s="570">
        <v>0.42068406583219886</v>
      </c>
      <c r="D63" s="570">
        <v>0.50260586742868651</v>
      </c>
      <c r="E63" s="570">
        <v>0.17513053039437154</v>
      </c>
      <c r="F63" s="570">
        <v>0.17360624328239638</v>
      </c>
      <c r="G63" s="570">
        <v>0.13414080242240728</v>
      </c>
      <c r="H63" s="570">
        <v>0.34494414637897497</v>
      </c>
      <c r="I63" s="570">
        <v>0.43467777290661991</v>
      </c>
      <c r="J63" s="570">
        <v>0.7956361925990979</v>
      </c>
      <c r="K63" s="570">
        <v>0.94141117793750917</v>
      </c>
      <c r="L63" s="570">
        <v>3.3913957930759267E-3</v>
      </c>
      <c r="M63" s="570">
        <v>0.35727950392506103</v>
      </c>
      <c r="N63" s="570">
        <v>0.22947383260066975</v>
      </c>
      <c r="O63" s="570">
        <v>5.7168549628337631E-2</v>
      </c>
      <c r="P63" s="570">
        <v>2.8042843232716649E-2</v>
      </c>
      <c r="Q63" s="570">
        <v>9.4689119170984451E-2</v>
      </c>
      <c r="R63" s="570">
        <v>6.1120543293718167E-2</v>
      </c>
    </row>
    <row r="64" spans="1:18" ht="15" customHeight="1" x14ac:dyDescent="0.25">
      <c r="B64" s="361"/>
    </row>
    <row r="65" spans="1:18" ht="15" customHeight="1" x14ac:dyDescent="0.25">
      <c r="A65" s="366" t="s">
        <v>38</v>
      </c>
      <c r="B65" s="583" t="s">
        <v>310</v>
      </c>
      <c r="C65" s="584" t="s">
        <v>254</v>
      </c>
      <c r="D65" s="584" t="str">
        <f t="shared" ref="D65:R65" si="5">D57</f>
        <v>NAURA TECH GR -A</v>
      </c>
      <c r="E65" s="584" t="str">
        <f t="shared" si="5"/>
        <v>LAM RESEARCH</v>
      </c>
      <c r="F65" s="584" t="str">
        <f t="shared" si="5"/>
        <v>TOKYO ELECTRON</v>
      </c>
      <c r="G65" s="584" t="str">
        <f>G57</f>
        <v>APPLIED MATERIAL</v>
      </c>
      <c r="H65" s="584" t="str">
        <f>H57</f>
        <v>KINGSEMI CO LT-A</v>
      </c>
      <c r="I65" s="584" t="str">
        <f t="shared" si="5"/>
        <v>SCREEN HOLDINGS</v>
      </c>
      <c r="J65" s="584" t="str">
        <f t="shared" si="5"/>
        <v>SAMSUNG ELECTRON</v>
      </c>
      <c r="K65" s="584" t="str">
        <f t="shared" si="5"/>
        <v>HIMAX TECHNO-ADR</v>
      </c>
      <c r="L65" s="584" t="str">
        <f t="shared" si="5"/>
        <v>ENTEGRIS INC</v>
      </c>
      <c r="M65" s="584" t="str">
        <f t="shared" si="5"/>
        <v>ONTO INNOVATION</v>
      </c>
      <c r="N65" s="584" t="str">
        <f t="shared" si="5"/>
        <v>SK HYNIX INC</v>
      </c>
      <c r="O65" s="584" t="str">
        <f t="shared" si="5"/>
        <v>TAIWAN SEMIC-ADR</v>
      </c>
      <c r="P65" s="584" t="str">
        <f t="shared" si="5"/>
        <v>NVIDIA CORP</v>
      </c>
      <c r="Q65" s="584" t="str">
        <f t="shared" si="5"/>
        <v>QUALCOMM INC</v>
      </c>
      <c r="R65" s="584" t="str">
        <f t="shared" si="5"/>
        <v>ADV MICRO DEVICE</v>
      </c>
    </row>
    <row r="66" spans="1:18" ht="4.05" customHeight="1" x14ac:dyDescent="0.25">
      <c r="A66" s="366"/>
      <c r="B66" s="582"/>
      <c r="C66" s="37"/>
      <c r="D66" s="37"/>
      <c r="E66" s="37"/>
      <c r="F66" s="37"/>
      <c r="G66" s="37"/>
      <c r="H66" s="37"/>
      <c r="I66" s="37"/>
      <c r="J66" s="37"/>
      <c r="K66" s="37"/>
      <c r="L66" s="37"/>
      <c r="M66" s="37"/>
      <c r="N66" s="37"/>
      <c r="O66" s="37"/>
      <c r="P66" s="37"/>
      <c r="Q66" s="37"/>
      <c r="R66" s="37"/>
    </row>
    <row r="67" spans="1:18" ht="15" customHeight="1" x14ac:dyDescent="0.25">
      <c r="B67" s="361" t="s">
        <v>311</v>
      </c>
      <c r="C67" s="745">
        <v>2.3133229262998007</v>
      </c>
      <c r="D67" s="745">
        <v>1.9679204904385739</v>
      </c>
      <c r="E67" s="745">
        <v>2.2101181028937682</v>
      </c>
      <c r="F67" s="745">
        <v>2.6562761367407899</v>
      </c>
      <c r="G67" s="745">
        <v>2.5059045819555976</v>
      </c>
      <c r="H67" s="745">
        <v>2.7011154674194375</v>
      </c>
      <c r="I67" s="745">
        <v>2.0025028887507665</v>
      </c>
      <c r="J67" s="745">
        <v>2.4329933623533062</v>
      </c>
      <c r="K67" s="745">
        <v>1.6529674484952603</v>
      </c>
      <c r="L67" s="745">
        <v>3.0776308223116735</v>
      </c>
      <c r="M67" s="745">
        <v>8.6867581089899986</v>
      </c>
      <c r="N67" s="745">
        <v>1.6934962983233945</v>
      </c>
      <c r="O67" s="745">
        <v>2.4423022146045987</v>
      </c>
      <c r="P67" s="745">
        <v>4.4398514988640772</v>
      </c>
      <c r="Q67" s="745">
        <v>2.402037319116527</v>
      </c>
      <c r="R67" s="745">
        <v>2.6162615025408598</v>
      </c>
    </row>
    <row r="68" spans="1:18" ht="15" customHeight="1" x14ac:dyDescent="0.25">
      <c r="B68" s="361" t="s">
        <v>312</v>
      </c>
      <c r="C68" s="745">
        <v>1.2961591184483645</v>
      </c>
      <c r="D68" s="745">
        <v>0.83827813659739914</v>
      </c>
      <c r="E68" s="745">
        <v>1.4872256286704955</v>
      </c>
      <c r="F68" s="745">
        <v>1.4481011911347126</v>
      </c>
      <c r="G68" s="745">
        <v>1.7365375531412377</v>
      </c>
      <c r="H68" s="745">
        <v>1.3257343403592299</v>
      </c>
      <c r="I68" s="745">
        <v>1.2346583348281142</v>
      </c>
      <c r="J68" s="745">
        <v>1.6744997355997155</v>
      </c>
      <c r="K68" s="745">
        <v>0.646870940260446</v>
      </c>
      <c r="L68" s="745">
        <v>1.569991507641219</v>
      </c>
      <c r="M68" s="745">
        <v>6.8227222218955959</v>
      </c>
      <c r="N68" s="745">
        <v>1.0793717107534719</v>
      </c>
      <c r="O68" s="745">
        <v>2.1303563050891259</v>
      </c>
      <c r="P68" s="745">
        <v>3.672355516152269</v>
      </c>
      <c r="Q68" s="745">
        <v>1.6402322924600152</v>
      </c>
      <c r="R68" s="745">
        <v>1.5552808680126355</v>
      </c>
    </row>
    <row r="69" spans="1:18" ht="15" customHeight="1" x14ac:dyDescent="0.25">
      <c r="B69" s="361" t="s">
        <v>313</v>
      </c>
      <c r="C69" s="745">
        <v>0.69256416934250109</v>
      </c>
      <c r="D69" s="745">
        <v>0.52533531528419564</v>
      </c>
      <c r="E69" s="745">
        <v>0.97293628228989437</v>
      </c>
      <c r="F69" s="745">
        <v>0.73199542722277533</v>
      </c>
      <c r="G69" s="745">
        <v>1.1184459140292868</v>
      </c>
      <c r="H69" s="745">
        <v>0.95897898131968906</v>
      </c>
      <c r="I69" s="745">
        <v>0.83595232831226041</v>
      </c>
      <c r="J69" s="745">
        <v>1.207074438899586</v>
      </c>
      <c r="K69" s="745">
        <v>0.31174271263482933</v>
      </c>
      <c r="L69" s="745">
        <v>0.6268598456142489</v>
      </c>
      <c r="M69" s="745">
        <v>5.0110706747643876</v>
      </c>
      <c r="N69" s="745">
        <v>0.55789065878419786</v>
      </c>
      <c r="O69" s="745">
        <v>1.9151864067113822</v>
      </c>
      <c r="P69" s="745">
        <v>2.3943037623981827</v>
      </c>
      <c r="Q69" s="745">
        <v>1.2661843107387662</v>
      </c>
      <c r="R69" s="745">
        <v>0.70484823513253669</v>
      </c>
    </row>
    <row r="71" spans="1:18" ht="15" customHeight="1" x14ac:dyDescent="0.25">
      <c r="A71" s="366" t="s">
        <v>38</v>
      </c>
      <c r="B71" s="583" t="s">
        <v>314</v>
      </c>
      <c r="C71" s="584" t="s">
        <v>254</v>
      </c>
      <c r="D71" s="584" t="str">
        <f t="shared" ref="D71:R71" si="6">D65</f>
        <v>NAURA TECH GR -A</v>
      </c>
      <c r="E71" s="584" t="str">
        <f t="shared" si="6"/>
        <v>LAM RESEARCH</v>
      </c>
      <c r="F71" s="584" t="str">
        <f t="shared" si="6"/>
        <v>TOKYO ELECTRON</v>
      </c>
      <c r="G71" s="584" t="str">
        <f>G65</f>
        <v>APPLIED MATERIAL</v>
      </c>
      <c r="H71" s="584" t="str">
        <f>H65</f>
        <v>KINGSEMI CO LT-A</v>
      </c>
      <c r="I71" s="584" t="str">
        <f t="shared" si="6"/>
        <v>SCREEN HOLDINGS</v>
      </c>
      <c r="J71" s="584" t="str">
        <f t="shared" si="6"/>
        <v>SAMSUNG ELECTRON</v>
      </c>
      <c r="K71" s="584" t="str">
        <f t="shared" si="6"/>
        <v>HIMAX TECHNO-ADR</v>
      </c>
      <c r="L71" s="584" t="str">
        <f t="shared" si="6"/>
        <v>ENTEGRIS INC</v>
      </c>
      <c r="M71" s="584" t="str">
        <f t="shared" si="6"/>
        <v>ONTO INNOVATION</v>
      </c>
      <c r="N71" s="584" t="str">
        <f t="shared" si="6"/>
        <v>SK HYNIX INC</v>
      </c>
      <c r="O71" s="584" t="str">
        <f t="shared" si="6"/>
        <v>TAIWAN SEMIC-ADR</v>
      </c>
      <c r="P71" s="584" t="str">
        <f t="shared" si="6"/>
        <v>NVIDIA CORP</v>
      </c>
      <c r="Q71" s="584" t="str">
        <f t="shared" si="6"/>
        <v>QUALCOMM INC</v>
      </c>
      <c r="R71" s="584" t="str">
        <f t="shared" si="6"/>
        <v>ADV MICRO DEVICE</v>
      </c>
    </row>
    <row r="72" spans="1:18" ht="4.05" customHeight="1" x14ac:dyDescent="0.25">
      <c r="A72" s="366"/>
      <c r="B72" s="582"/>
      <c r="C72" s="37"/>
      <c r="D72" s="37"/>
      <c r="E72" s="37"/>
      <c r="F72" s="37"/>
      <c r="G72" s="37"/>
      <c r="H72" s="37"/>
      <c r="I72" s="37"/>
      <c r="J72" s="37"/>
      <c r="K72" s="37"/>
      <c r="L72" s="37"/>
      <c r="M72" s="37"/>
      <c r="N72" s="37"/>
      <c r="O72" s="37"/>
      <c r="P72" s="37"/>
      <c r="Q72" s="37"/>
      <c r="R72" s="37"/>
    </row>
    <row r="73" spans="1:18" ht="15" customHeight="1" x14ac:dyDescent="0.25">
      <c r="B73" s="361" t="s">
        <v>315</v>
      </c>
      <c r="C73" s="570">
        <v>0.10989134631858619</v>
      </c>
      <c r="D73" s="570">
        <v>6.8575290368253161E-2</v>
      </c>
      <c r="E73" s="570">
        <v>4.1180453612797117E-2</v>
      </c>
      <c r="F73" s="570">
        <v>6.9107259184197189E-2</v>
      </c>
      <c r="G73" s="570">
        <v>4.3788637032675888E-2</v>
      </c>
      <c r="H73" s="570">
        <v>0.12790759836781659</v>
      </c>
      <c r="I73" s="570">
        <v>4.0889601115679811E-2</v>
      </c>
      <c r="J73" s="570">
        <v>0.17862026026491501</v>
      </c>
      <c r="K73" s="570">
        <v>8.398305252965918E-2</v>
      </c>
      <c r="L73" s="570">
        <v>9.7372954774886403E-2</v>
      </c>
      <c r="M73" s="570">
        <v>3.2312692629853916E-2</v>
      </c>
      <c r="N73" s="570">
        <v>0.25172828046970552</v>
      </c>
      <c r="O73" s="570">
        <v>0.33337236270123333</v>
      </c>
      <c r="P73" s="570">
        <v>2.4797504923484832E-2</v>
      </c>
      <c r="Q73" s="570">
        <v>2.6718340947589958E-2</v>
      </c>
      <c r="R73" s="570">
        <v>2.4665503199534613E-2</v>
      </c>
    </row>
    <row r="74" spans="1:18" ht="15" customHeight="1" x14ac:dyDescent="0.25">
      <c r="B74" s="361" t="s">
        <v>316</v>
      </c>
      <c r="C74" s="570">
        <v>8.6232567472659767</v>
      </c>
      <c r="D74" s="570">
        <v>2.0296000295036918</v>
      </c>
      <c r="E74" s="570">
        <v>1.9653927104124762</v>
      </c>
      <c r="F74" s="570">
        <v>2.6987713803902675</v>
      </c>
      <c r="G74" s="570">
        <v>3.0357142857142856</v>
      </c>
      <c r="H74" s="570">
        <v>3.5676870688584548</v>
      </c>
      <c r="I74" s="570">
        <v>1.9925960564258436</v>
      </c>
      <c r="J74" s="570">
        <v>1.260628730077032</v>
      </c>
      <c r="K74" s="570">
        <v>3.4068175717992308</v>
      </c>
      <c r="L74" s="570">
        <v>0.83440893191870757</v>
      </c>
      <c r="M74" s="570">
        <v>0.5120127108443403</v>
      </c>
      <c r="N74" s="570">
        <v>1.3243737404149132</v>
      </c>
      <c r="O74" s="570">
        <v>1.4557741319854467</v>
      </c>
      <c r="P74" s="570">
        <v>1.7360515021459229</v>
      </c>
      <c r="Q74" s="570">
        <v>0.61019929660023442</v>
      </c>
      <c r="R74" s="570">
        <v>0.20757180156657964</v>
      </c>
    </row>
    <row r="75" spans="1:18" ht="15" customHeight="1" x14ac:dyDescent="0.25">
      <c r="B75" s="361" t="s">
        <v>317</v>
      </c>
      <c r="C75" s="570" t="e">
        <v>#VALUE!</v>
      </c>
      <c r="D75" s="570">
        <v>0.42476519382473599</v>
      </c>
      <c r="E75" s="570" t="e">
        <v>#VALUE!</v>
      </c>
      <c r="F75" s="570" t="e">
        <v>#VALUE!</v>
      </c>
      <c r="G75" s="570" t="e">
        <v>#VALUE!</v>
      </c>
      <c r="H75" s="570">
        <v>0</v>
      </c>
      <c r="I75" s="570" t="e">
        <v>#VALUE!</v>
      </c>
      <c r="J75" s="570" t="e">
        <v>#VALUE!</v>
      </c>
      <c r="K75" s="570" t="e">
        <v>#VALUE!</v>
      </c>
      <c r="L75" s="570" t="e">
        <v>#VALUE!</v>
      </c>
      <c r="M75" s="570" t="e">
        <v>#VALUE!</v>
      </c>
      <c r="N75" s="570">
        <v>8.4312941484690415E-2</v>
      </c>
      <c r="O75" s="570" t="e">
        <v>#VALUE!</v>
      </c>
      <c r="P75" s="570" t="e">
        <v>#VALUE!</v>
      </c>
      <c r="Q75" s="570" t="e">
        <v>#VALUE!</v>
      </c>
      <c r="R75" s="570" t="e">
        <v>#VALUE!</v>
      </c>
    </row>
    <row r="76" spans="1:18" ht="15" customHeight="1" x14ac:dyDescent="0.25">
      <c r="B76" s="361" t="s">
        <v>318</v>
      </c>
      <c r="C76" s="745" t="e">
        <v>#VALUE!</v>
      </c>
      <c r="D76" s="745" t="e">
        <v>#VALUE!</v>
      </c>
      <c r="E76" s="745" t="e">
        <v>#VALUE!</v>
      </c>
      <c r="F76" s="745" t="e">
        <v>#VALUE!</v>
      </c>
      <c r="G76" s="745" t="e">
        <v>#VALUE!</v>
      </c>
      <c r="H76" s="745" t="e">
        <v>#VALUE!</v>
      </c>
      <c r="I76" s="745" t="e">
        <v>#VALUE!</v>
      </c>
      <c r="J76" s="745" t="e">
        <v>#VALUE!</v>
      </c>
      <c r="K76" s="745" t="e">
        <v>#VALUE!</v>
      </c>
      <c r="L76" s="745" t="e">
        <v>#VALUE!</v>
      </c>
      <c r="M76" s="745" t="e">
        <v>#VALUE!</v>
      </c>
      <c r="N76" s="745">
        <v>2.4163117272812835</v>
      </c>
      <c r="O76" s="745" t="e">
        <v>#VALUE!</v>
      </c>
      <c r="P76" s="745" t="e">
        <v>#VALUE!</v>
      </c>
      <c r="Q76" s="745" t="e">
        <v>#VALUE!</v>
      </c>
      <c r="R76" s="745" t="e">
        <v>#VALUE!</v>
      </c>
    </row>
    <row r="77" spans="1:18" ht="15" customHeight="1" x14ac:dyDescent="0.25">
      <c r="B77" s="361" t="s">
        <v>319</v>
      </c>
      <c r="C77" s="570">
        <v>0</v>
      </c>
      <c r="D77" s="570">
        <v>0.10073061255498458</v>
      </c>
      <c r="E77" s="570">
        <v>0.22082213542303342</v>
      </c>
      <c r="F77" s="570">
        <v>0.50127818015080872</v>
      </c>
      <c r="G77" s="570">
        <v>0.16608610840183921</v>
      </c>
      <c r="H77" s="570">
        <v>0.10903676542226445</v>
      </c>
      <c r="I77" s="570">
        <v>0.2989132073954176</v>
      </c>
      <c r="J77" s="570">
        <v>0.2917618295012564</v>
      </c>
      <c r="K77" s="570">
        <v>0.63558196978245884</v>
      </c>
      <c r="L77" s="570">
        <v>0.20621953843579116</v>
      </c>
      <c r="M77" s="570">
        <v>0</v>
      </c>
      <c r="N77" s="570">
        <v>7.6816420041609448E-2</v>
      </c>
      <c r="O77" s="570">
        <v>0.37574599289894534</v>
      </c>
      <c r="P77" s="570">
        <v>1.1443468715697036E-2</v>
      </c>
      <c r="Q77" s="570">
        <v>0.36468842729970324</v>
      </c>
      <c r="R77" s="570">
        <v>0</v>
      </c>
    </row>
    <row r="78" spans="1:18" ht="15" customHeight="1" x14ac:dyDescent="0.25">
      <c r="B78" s="361" t="s">
        <v>320</v>
      </c>
      <c r="C78" s="570">
        <v>-0.15858659465329278</v>
      </c>
      <c r="D78" s="570">
        <v>1.2071042492469259</v>
      </c>
      <c r="E78" s="570">
        <v>0.7620617471709864</v>
      </c>
      <c r="F78" s="570">
        <v>0.99756960830580466</v>
      </c>
      <c r="G78" s="570">
        <v>0.63737144383598232</v>
      </c>
      <c r="H78" s="570">
        <v>-0.96511557855736996</v>
      </c>
      <c r="I78" s="570">
        <v>0.98424607668662034</v>
      </c>
      <c r="J78" s="570" t="e">
        <v>#VALUE!</v>
      </c>
      <c r="K78" s="570">
        <v>0.43704480111894878</v>
      </c>
      <c r="L78" s="570">
        <v>0.14656817930183635</v>
      </c>
      <c r="M78" s="570">
        <v>0.16359848063132387</v>
      </c>
      <c r="N78" s="570">
        <v>0.10297652384405276</v>
      </c>
      <c r="O78" s="570">
        <v>0.47334055729682623</v>
      </c>
      <c r="P78" s="570">
        <v>0.56437644816196408</v>
      </c>
      <c r="Q78" s="570">
        <v>0.65702086372188873</v>
      </c>
      <c r="R78" s="570">
        <v>0.13703347484050732</v>
      </c>
    </row>
    <row r="79" spans="1:18" ht="15" customHeight="1" x14ac:dyDescent="0.25">
      <c r="B79" s="361" t="s">
        <v>321</v>
      </c>
      <c r="C79" s="570">
        <v>0</v>
      </c>
      <c r="D79" s="570">
        <v>0</v>
      </c>
      <c r="E79" s="570">
        <v>0.55437787854204834</v>
      </c>
      <c r="F79" s="570">
        <v>0.25766866950430628</v>
      </c>
      <c r="G79" s="570">
        <v>0.44059006569090697</v>
      </c>
      <c r="H79" s="570">
        <v>0</v>
      </c>
      <c r="I79" s="570">
        <v>0.26584215402757111</v>
      </c>
      <c r="J79" s="570">
        <v>2.4824745606217679E-2</v>
      </c>
      <c r="K79" s="570">
        <v>2.5867420845692213E-2</v>
      </c>
      <c r="L79" s="570">
        <v>0</v>
      </c>
      <c r="M79" s="570">
        <v>0.17956169914847198</v>
      </c>
      <c r="N79" s="570">
        <v>0</v>
      </c>
      <c r="O79" s="570">
        <v>1.6367654774856499E-3</v>
      </c>
      <c r="P79" s="570">
        <v>0.5259248857058153</v>
      </c>
      <c r="Q79" s="570">
        <v>0.33773151942304541</v>
      </c>
      <c r="R79" s="570">
        <v>0.52285432423544886</v>
      </c>
    </row>
    <row r="80" spans="1:18" ht="15" customHeight="1" x14ac:dyDescent="0.25">
      <c r="B80" s="361"/>
    </row>
    <row r="81" spans="1:18" ht="15" customHeight="1" x14ac:dyDescent="0.25">
      <c r="A81" s="366" t="s">
        <v>38</v>
      </c>
      <c r="B81" s="583" t="s">
        <v>322</v>
      </c>
      <c r="C81" s="584" t="s">
        <v>254</v>
      </c>
      <c r="D81" s="584" t="str">
        <f t="shared" ref="D81:R81" si="7">D71</f>
        <v>NAURA TECH GR -A</v>
      </c>
      <c r="E81" s="584" t="str">
        <f t="shared" si="7"/>
        <v>LAM RESEARCH</v>
      </c>
      <c r="F81" s="584" t="str">
        <f t="shared" si="7"/>
        <v>TOKYO ELECTRON</v>
      </c>
      <c r="G81" s="584" t="str">
        <f>G71</f>
        <v>APPLIED MATERIAL</v>
      </c>
      <c r="H81" s="584" t="str">
        <f>H71</f>
        <v>KINGSEMI CO LT-A</v>
      </c>
      <c r="I81" s="584" t="str">
        <f t="shared" si="7"/>
        <v>SCREEN HOLDINGS</v>
      </c>
      <c r="J81" s="584" t="str">
        <f t="shared" si="7"/>
        <v>SAMSUNG ELECTRON</v>
      </c>
      <c r="K81" s="584" t="str">
        <f t="shared" si="7"/>
        <v>HIMAX TECHNO-ADR</v>
      </c>
      <c r="L81" s="584" t="str">
        <f t="shared" si="7"/>
        <v>ENTEGRIS INC</v>
      </c>
      <c r="M81" s="584" t="str">
        <f t="shared" si="7"/>
        <v>ONTO INNOVATION</v>
      </c>
      <c r="N81" s="584" t="str">
        <f t="shared" si="7"/>
        <v>SK HYNIX INC</v>
      </c>
      <c r="O81" s="584" t="str">
        <f t="shared" si="7"/>
        <v>TAIWAN SEMIC-ADR</v>
      </c>
      <c r="P81" s="584" t="str">
        <f t="shared" si="7"/>
        <v>NVIDIA CORP</v>
      </c>
      <c r="Q81" s="584" t="str">
        <f t="shared" si="7"/>
        <v>QUALCOMM INC</v>
      </c>
      <c r="R81" s="584" t="str">
        <f t="shared" si="7"/>
        <v>ADV MICRO DEVICE</v>
      </c>
    </row>
    <row r="82" spans="1:18" ht="4.05" customHeight="1" x14ac:dyDescent="0.25">
      <c r="A82" s="366"/>
      <c r="B82" s="582"/>
      <c r="C82" s="37"/>
      <c r="D82" s="37"/>
      <c r="E82" s="37"/>
      <c r="F82" s="37"/>
      <c r="G82" s="37"/>
      <c r="H82" s="37"/>
      <c r="I82" s="37"/>
      <c r="J82" s="37"/>
      <c r="K82" s="37"/>
      <c r="L82" s="37"/>
      <c r="M82" s="37"/>
      <c r="N82" s="37"/>
      <c r="O82" s="37"/>
      <c r="P82" s="37"/>
      <c r="Q82" s="37"/>
      <c r="R82" s="37"/>
    </row>
    <row r="83" spans="1:18" ht="15" customHeight="1" x14ac:dyDescent="0.25">
      <c r="B83" s="361" t="s">
        <v>323</v>
      </c>
      <c r="C83" s="745">
        <v>4.1471708378672467</v>
      </c>
      <c r="D83" s="745">
        <v>0.70547279296484844</v>
      </c>
      <c r="E83" s="745">
        <v>3.9952082849297192</v>
      </c>
      <c r="F83" s="745">
        <v>4.8234811250875325</v>
      </c>
      <c r="G83" s="745">
        <v>5.1321694816609371</v>
      </c>
      <c r="H83" s="745" t="e">
        <v>#VALUE!</v>
      </c>
      <c r="I83" s="745">
        <v>2.7983873739829015</v>
      </c>
      <c r="J83" s="745">
        <v>8.5041046625436092</v>
      </c>
      <c r="K83" s="745">
        <v>164.50496453900709</v>
      </c>
      <c r="L83" s="745">
        <v>5.7691415525114156</v>
      </c>
      <c r="M83" s="745">
        <v>5.7356710947166905</v>
      </c>
      <c r="N83" s="745">
        <v>3.5360125682685379</v>
      </c>
      <c r="O83" s="745">
        <v>4.669443299006617</v>
      </c>
      <c r="P83" s="745">
        <v>2.1035389928988288</v>
      </c>
      <c r="Q83" s="745">
        <v>3.9394521507658875</v>
      </c>
      <c r="R83" s="745">
        <v>1.6066009585717786</v>
      </c>
    </row>
    <row r="84" spans="1:18" ht="15" customHeight="1" x14ac:dyDescent="0.25">
      <c r="B84" s="361" t="s">
        <v>324</v>
      </c>
      <c r="C84" s="745">
        <v>1.9038900979325353</v>
      </c>
      <c r="D84" s="745">
        <v>-0.28660199822545451</v>
      </c>
      <c r="E84" s="745">
        <v>3.5038788687565812</v>
      </c>
      <c r="F84" s="745">
        <v>3.5113064149414024</v>
      </c>
      <c r="G84" s="745">
        <v>4.4283223359681267</v>
      </c>
      <c r="H84" s="745" t="e">
        <v>#VALUE!</v>
      </c>
      <c r="I84" s="745">
        <v>1.9425366941166649</v>
      </c>
      <c r="J84" s="745">
        <v>2.5141166729389059</v>
      </c>
      <c r="K84" s="745">
        <v>164.28794326241135</v>
      </c>
      <c r="L84" s="745">
        <v>2.88689497716895</v>
      </c>
      <c r="M84" s="745">
        <v>4.9908481778068312</v>
      </c>
      <c r="N84" s="745">
        <v>1.6436838580539128</v>
      </c>
      <c r="O84" s="745">
        <v>2.3042337088390443</v>
      </c>
      <c r="P84" s="745">
        <v>1.9973265043123223</v>
      </c>
      <c r="Q84" s="745">
        <v>3.6033621910095128</v>
      </c>
      <c r="R84" s="745">
        <v>1.2705936551677501</v>
      </c>
    </row>
    <row r="86" spans="1:18" ht="15" customHeight="1" x14ac:dyDescent="0.25">
      <c r="A86" s="366" t="s">
        <v>38</v>
      </c>
      <c r="B86" s="583" t="s">
        <v>325</v>
      </c>
      <c r="C86" s="584" t="s">
        <v>254</v>
      </c>
      <c r="D86" s="584" t="str">
        <f t="shared" ref="D86:R86" si="8">D81</f>
        <v>NAURA TECH GR -A</v>
      </c>
      <c r="E86" s="584" t="str">
        <f t="shared" si="8"/>
        <v>LAM RESEARCH</v>
      </c>
      <c r="F86" s="584" t="str">
        <f t="shared" si="8"/>
        <v>TOKYO ELECTRON</v>
      </c>
      <c r="G86" s="584" t="str">
        <f>G81</f>
        <v>APPLIED MATERIAL</v>
      </c>
      <c r="H86" s="584" t="str">
        <f>H81</f>
        <v>KINGSEMI CO LT-A</v>
      </c>
      <c r="I86" s="584" t="str">
        <f t="shared" si="8"/>
        <v>SCREEN HOLDINGS</v>
      </c>
      <c r="J86" s="584" t="str">
        <f t="shared" si="8"/>
        <v>SAMSUNG ELECTRON</v>
      </c>
      <c r="K86" s="584" t="str">
        <f t="shared" si="8"/>
        <v>HIMAX TECHNO-ADR</v>
      </c>
      <c r="L86" s="584" t="str">
        <f t="shared" si="8"/>
        <v>ENTEGRIS INC</v>
      </c>
      <c r="M86" s="584" t="str">
        <f t="shared" si="8"/>
        <v>ONTO INNOVATION</v>
      </c>
      <c r="N86" s="584" t="str">
        <f t="shared" si="8"/>
        <v>SK HYNIX INC</v>
      </c>
      <c r="O86" s="584" t="str">
        <f t="shared" si="8"/>
        <v>TAIWAN SEMIC-ADR</v>
      </c>
      <c r="P86" s="584" t="str">
        <f t="shared" si="8"/>
        <v>NVIDIA CORP</v>
      </c>
      <c r="Q86" s="584" t="str">
        <f t="shared" si="8"/>
        <v>QUALCOMM INC</v>
      </c>
      <c r="R86" s="584" t="str">
        <f t="shared" si="8"/>
        <v>ADV MICRO DEVICE</v>
      </c>
    </row>
    <row r="87" spans="1:18" ht="4.05" customHeight="1" x14ac:dyDescent="0.25">
      <c r="A87" s="366"/>
      <c r="B87" s="582"/>
      <c r="C87" s="37"/>
      <c r="D87" s="37"/>
      <c r="E87" s="37"/>
      <c r="F87" s="37"/>
      <c r="G87" s="37"/>
      <c r="H87" s="37"/>
      <c r="I87" s="37"/>
      <c r="J87" s="37"/>
      <c r="K87" s="37"/>
      <c r="L87" s="37"/>
      <c r="M87" s="37"/>
      <c r="N87" s="37"/>
      <c r="O87" s="37"/>
      <c r="P87" s="37"/>
      <c r="Q87" s="37"/>
      <c r="R87" s="37"/>
    </row>
    <row r="88" spans="1:18" ht="15" customHeight="1" x14ac:dyDescent="0.25">
      <c r="B88" s="361" t="s">
        <v>326</v>
      </c>
      <c r="C88" s="570">
        <v>6.469520652651406E-2</v>
      </c>
      <c r="D88" s="570">
        <v>7.5725306450702412E-4</v>
      </c>
      <c r="E88" s="570">
        <v>3.1420549396974362E-3</v>
      </c>
      <c r="F88" s="570">
        <v>2.818383334466823E-3</v>
      </c>
      <c r="G88" s="570">
        <v>8.46432889963733E-3</v>
      </c>
      <c r="H88" s="570">
        <v>0</v>
      </c>
      <c r="I88" s="570">
        <v>1.1833714049638289E-3</v>
      </c>
      <c r="J88" s="570">
        <v>0</v>
      </c>
      <c r="K88" s="570">
        <v>1.2471681274170976E-3</v>
      </c>
      <c r="L88" s="570">
        <v>5.9226478343248345E-3</v>
      </c>
      <c r="M88" s="570">
        <v>6.4244168372411536E-3</v>
      </c>
      <c r="N88" s="570">
        <v>3.0641934463307319E-2</v>
      </c>
      <c r="O88" s="570" t="e">
        <v>#VALUE!</v>
      </c>
      <c r="P88" s="570">
        <v>1.0140500916310247E-2</v>
      </c>
      <c r="Q88" s="570">
        <v>1.2544802867383575E-2</v>
      </c>
      <c r="R88" s="570">
        <v>1.0493827160493741E-2</v>
      </c>
    </row>
    <row r="89" spans="1:18" ht="15" customHeight="1" x14ac:dyDescent="0.25">
      <c r="B89" s="361" t="s">
        <v>327</v>
      </c>
      <c r="C89" s="570">
        <v>6.3386854668988565E-2</v>
      </c>
      <c r="D89" s="570" t="e" cm="1">
        <f t="array" aca="1" ref="D89" ca="1">_xll.BDP(Inputs!$E$21,"CF_STOCK_BASED_COMPENSATION")/_xll.BDP(Inputs!$E$21,"sales_rev_turn")</f>
        <v>#NAME?</v>
      </c>
      <c r="E89" s="570">
        <v>1.8625440323556754E-2</v>
      </c>
      <c r="F89" s="570" t="e">
        <v>#VALUE!</v>
      </c>
      <c r="G89" s="570">
        <v>2.1231969384751252E-2</v>
      </c>
      <c r="H89" s="570" t="e">
        <v>#VALUE!</v>
      </c>
      <c r="I89" s="570" t="e">
        <v>#VALUE!</v>
      </c>
      <c r="J89" s="570" t="e">
        <v>#VALUE!</v>
      </c>
      <c r="K89" s="570">
        <v>1.3751623838500577E-3</v>
      </c>
      <c r="L89" s="570">
        <v>2.031927602301364E-2</v>
      </c>
      <c r="M89" s="570">
        <v>2.894398073169719E-2</v>
      </c>
      <c r="N89" s="570" t="e">
        <v>#VALUE!</v>
      </c>
      <c r="O89" s="570">
        <v>4.2936658062629854E-4</v>
      </c>
      <c r="P89" s="570">
        <v>3.629968505023104E-2</v>
      </c>
      <c r="Q89" s="570">
        <v>6.796365689646322E-2</v>
      </c>
      <c r="R89" s="570">
        <v>5.4566608493310062E-2</v>
      </c>
    </row>
    <row r="90" spans="1:18" ht="15" customHeight="1" x14ac:dyDescent="0.25">
      <c r="B90" s="361" t="s">
        <v>328</v>
      </c>
      <c r="C90" s="570">
        <v>0.32519514594949167</v>
      </c>
      <c r="D90" s="570" t="e" cm="1">
        <f t="array" aca="1" ref="D90" ca="1">_xll.BDP(Inputs!$E$21,"CF_STOCK_BASED_COMPENSATION")/_xll.BDP(Inputs!$E$21,"cf_cash_from_oper")</f>
        <v>#NAME?</v>
      </c>
      <c r="E90" s="570">
        <v>5.5622276967257508E-2</v>
      </c>
      <c r="F90" s="570" t="e">
        <v>#VALUE!</v>
      </c>
      <c r="G90" s="570">
        <v>6.649763743229227E-2</v>
      </c>
      <c r="H90" s="570" t="e">
        <v>#VALUE!</v>
      </c>
      <c r="I90" s="570" t="e">
        <v>#VALUE!</v>
      </c>
      <c r="J90" s="570" t="e">
        <v>#VALUE!</v>
      </c>
      <c r="K90" s="570">
        <v>1.0752224598192731E-2</v>
      </c>
      <c r="L90" s="570">
        <v>0.10425330169489379</v>
      </c>
      <c r="M90" s="570">
        <v>0.11631986844461813</v>
      </c>
      <c r="N90" s="570" t="e">
        <v>#VALUE!</v>
      </c>
      <c r="O90" s="570">
        <v>6.5844060000948127E-4</v>
      </c>
      <c r="P90" s="570">
        <v>7.3912839956934887E-2</v>
      </c>
      <c r="Q90" s="570">
        <v>0.21701360432715949</v>
      </c>
      <c r="R90" s="570">
        <v>0.46267675106872741</v>
      </c>
    </row>
    <row r="91" spans="1:18" ht="15" customHeight="1" x14ac:dyDescent="0.25">
      <c r="B91" s="361" t="s">
        <v>329</v>
      </c>
      <c r="C91" s="579">
        <v>1.7132909999999999</v>
      </c>
      <c r="D91" s="579">
        <v>1.1653284761353537</v>
      </c>
      <c r="E91" s="579">
        <v>4.1332319999999996</v>
      </c>
      <c r="F91" s="579">
        <v>7.8213257617292928</v>
      </c>
      <c r="G91" s="579">
        <v>9.5116589999999999</v>
      </c>
      <c r="H91" s="579">
        <v>8.4260282107272738E-2</v>
      </c>
      <c r="I91" s="579">
        <v>6.7495978385755873</v>
      </c>
      <c r="J91" s="579">
        <v>3.2041373205503589</v>
      </c>
      <c r="K91" s="579">
        <v>0.40258300000000002</v>
      </c>
      <c r="L91" s="579">
        <v>1.9875389999999999</v>
      </c>
      <c r="M91" s="579">
        <v>4.7202699999999993</v>
      </c>
      <c r="N91" s="579">
        <v>27.325777328955365</v>
      </c>
      <c r="O91" s="579" t="s">
        <v>330</v>
      </c>
      <c r="P91" s="579">
        <v>3.4466769999999998</v>
      </c>
      <c r="Q91" s="579">
        <v>9.9342110000000012</v>
      </c>
      <c r="R91" s="579">
        <v>1.8419340000000002</v>
      </c>
    </row>
  </sheetData>
  <mergeCells count="3">
    <mergeCell ref="D11:H11"/>
    <mergeCell ref="I11:M11"/>
    <mergeCell ref="N11:R11"/>
  </mergeCells>
  <conditionalFormatting sqref="C14:M14">
    <cfRule type="colorScale" priority="57">
      <colorScale>
        <cfvo type="min"/>
        <cfvo type="num" val="0"/>
        <cfvo type="max"/>
        <color theme="4" tint="0.79998168889431442"/>
        <color theme="0"/>
        <color rgb="FF8DEB91"/>
      </colorScale>
    </cfRule>
  </conditionalFormatting>
  <conditionalFormatting sqref="C15:M15">
    <cfRule type="colorScale" priority="56">
      <colorScale>
        <cfvo type="min"/>
        <cfvo type="num" val="0"/>
        <cfvo type="max"/>
        <color theme="4" tint="0.79998168889431442"/>
        <color theme="0"/>
        <color rgb="FF8DEB91"/>
      </colorScale>
    </cfRule>
  </conditionalFormatting>
  <conditionalFormatting sqref="C16:M16">
    <cfRule type="colorScale" priority="55">
      <colorScale>
        <cfvo type="min"/>
        <cfvo type="num" val="0"/>
        <cfvo type="max"/>
        <color theme="4" tint="0.79998168889431442"/>
        <color theme="0"/>
        <color rgb="FF8DEB91"/>
      </colorScale>
    </cfRule>
  </conditionalFormatting>
  <conditionalFormatting sqref="C17:M17">
    <cfRule type="colorScale" priority="54">
      <colorScale>
        <cfvo type="min"/>
        <cfvo type="num" val="0"/>
        <cfvo type="max"/>
        <color theme="4" tint="0.79998168889431442"/>
        <color theme="0"/>
        <color rgb="FF8DEB91"/>
      </colorScale>
    </cfRule>
  </conditionalFormatting>
  <conditionalFormatting sqref="C18:M18">
    <cfRule type="colorScale" priority="53">
      <colorScale>
        <cfvo type="min"/>
        <cfvo type="num" val="0"/>
        <cfvo type="max"/>
        <color theme="4" tint="0.79998168889431442"/>
        <color theme="0"/>
        <color rgb="FF8DEB91"/>
      </colorScale>
    </cfRule>
  </conditionalFormatting>
  <conditionalFormatting sqref="C19:M19">
    <cfRule type="colorScale" priority="52">
      <colorScale>
        <cfvo type="min"/>
        <cfvo type="num" val="0"/>
        <cfvo type="max"/>
        <color theme="4" tint="0.79998168889431442"/>
        <color theme="0"/>
        <color rgb="FF8DEB91"/>
      </colorScale>
    </cfRule>
  </conditionalFormatting>
  <conditionalFormatting sqref="C23:R23">
    <cfRule type="colorScale" priority="45">
      <colorScale>
        <cfvo type="min"/>
        <cfvo type="percentile" val="50"/>
        <cfvo type="max"/>
        <color theme="4" tint="0.79998168889431442"/>
        <color theme="0"/>
        <color rgb="FF8DEB91"/>
      </colorScale>
    </cfRule>
  </conditionalFormatting>
  <conditionalFormatting sqref="C24:R24">
    <cfRule type="colorScale" priority="44">
      <colorScale>
        <cfvo type="min"/>
        <cfvo type="percentile" val="50"/>
        <cfvo type="max"/>
        <color theme="4" tint="0.79998168889431442"/>
        <color theme="0"/>
        <color rgb="FF8DEB91"/>
      </colorScale>
    </cfRule>
  </conditionalFormatting>
  <conditionalFormatting sqref="C25:R25">
    <cfRule type="colorScale" priority="43">
      <colorScale>
        <cfvo type="min"/>
        <cfvo type="percentile" val="50"/>
        <cfvo type="max"/>
        <color theme="4" tint="0.79998168889431442"/>
        <color theme="0"/>
        <color rgb="FF8DEB91"/>
      </colorScale>
    </cfRule>
  </conditionalFormatting>
  <conditionalFormatting sqref="C26:R26">
    <cfRule type="colorScale" priority="42">
      <colorScale>
        <cfvo type="min"/>
        <cfvo type="percentile" val="50"/>
        <cfvo type="max"/>
        <color theme="4" tint="0.79998168889431442"/>
        <color theme="0"/>
        <color rgb="FF8DEB91"/>
      </colorScale>
    </cfRule>
  </conditionalFormatting>
  <conditionalFormatting sqref="C27:R27">
    <cfRule type="colorScale" priority="41">
      <colorScale>
        <cfvo type="min"/>
        <cfvo type="percentile" val="50"/>
        <cfvo type="max"/>
        <color theme="4" tint="0.79998168889431442"/>
        <color theme="0"/>
        <color rgb="FF8DEB91"/>
      </colorScale>
    </cfRule>
  </conditionalFormatting>
  <conditionalFormatting sqref="C28:R28">
    <cfRule type="colorScale" priority="40">
      <colorScale>
        <cfvo type="min"/>
        <cfvo type="percentile" val="50"/>
        <cfvo type="max"/>
        <color theme="4" tint="0.79998168889431442"/>
        <color theme="0"/>
        <color rgb="FF8DEB91"/>
      </colorScale>
    </cfRule>
  </conditionalFormatting>
  <conditionalFormatting sqref="C32:R32">
    <cfRule type="colorScale" priority="51">
      <colorScale>
        <cfvo type="min"/>
        <cfvo type="percentile" val="50"/>
        <cfvo type="max"/>
        <color theme="4" tint="0.79998168889431442"/>
        <color theme="0"/>
        <color rgb="FF8DEB91"/>
      </colorScale>
    </cfRule>
  </conditionalFormatting>
  <conditionalFormatting sqref="C33:R33">
    <cfRule type="colorScale" priority="50">
      <colorScale>
        <cfvo type="min"/>
        <cfvo type="percentile" val="50"/>
        <cfvo type="max"/>
        <color theme="4" tint="0.79998168889431442"/>
        <color theme="0"/>
        <color rgb="FF8DEB91"/>
      </colorScale>
    </cfRule>
  </conditionalFormatting>
  <conditionalFormatting sqref="C34:R34">
    <cfRule type="colorScale" priority="49">
      <colorScale>
        <cfvo type="min"/>
        <cfvo type="percentile" val="50"/>
        <cfvo type="max"/>
        <color theme="4" tint="0.79998168889431442"/>
        <color theme="0"/>
        <color rgb="FF8DEB91"/>
      </colorScale>
    </cfRule>
  </conditionalFormatting>
  <conditionalFormatting sqref="C35:R35">
    <cfRule type="colorScale" priority="48">
      <colorScale>
        <cfvo type="min"/>
        <cfvo type="percentile" val="50"/>
        <cfvo type="max"/>
        <color theme="4" tint="0.79998168889431442"/>
        <color theme="0"/>
        <color rgb="FF8DEB91"/>
      </colorScale>
    </cfRule>
  </conditionalFormatting>
  <conditionalFormatting sqref="C36:R36">
    <cfRule type="colorScale" priority="47">
      <colorScale>
        <cfvo type="min"/>
        <cfvo type="percentile" val="50"/>
        <cfvo type="max"/>
        <color theme="4" tint="0.79998168889431442"/>
        <color theme="0"/>
        <color rgb="FF8DEB91"/>
      </colorScale>
    </cfRule>
  </conditionalFormatting>
  <conditionalFormatting sqref="C37:R37">
    <cfRule type="colorScale" priority="46">
      <colorScale>
        <cfvo type="min"/>
        <cfvo type="percentile" val="50"/>
        <cfvo type="max"/>
        <color theme="4" tint="0.79998168889431442"/>
        <color theme="0"/>
        <color rgb="FF8DEB91"/>
      </colorScale>
    </cfRule>
  </conditionalFormatting>
  <conditionalFormatting sqref="C41:R41">
    <cfRule type="colorScale" priority="39">
      <colorScale>
        <cfvo type="min"/>
        <cfvo type="percentile" val="50"/>
        <cfvo type="max"/>
        <color theme="4" tint="0.79998168889431442"/>
        <color theme="0" tint="-4.9989318521683403E-2"/>
        <color rgb="FF8DEB91"/>
      </colorScale>
    </cfRule>
  </conditionalFormatting>
  <conditionalFormatting sqref="C42:R42">
    <cfRule type="colorScale" priority="38">
      <colorScale>
        <cfvo type="min"/>
        <cfvo type="percentile" val="50"/>
        <cfvo type="max"/>
        <color theme="4" tint="0.79998168889431442"/>
        <color theme="0" tint="-4.9989318521683403E-2"/>
        <color rgb="FF8DEB91"/>
      </colorScale>
    </cfRule>
  </conditionalFormatting>
  <conditionalFormatting sqref="C43:R43">
    <cfRule type="colorScale" priority="37">
      <colorScale>
        <cfvo type="min"/>
        <cfvo type="percentile" val="50"/>
        <cfvo type="max"/>
        <color theme="4" tint="0.79998168889431442"/>
        <color theme="0" tint="-4.9989318521683403E-2"/>
        <color rgb="FF8DEB91"/>
      </colorScale>
    </cfRule>
  </conditionalFormatting>
  <conditionalFormatting sqref="C44:R44">
    <cfRule type="colorScale" priority="36">
      <colorScale>
        <cfvo type="min"/>
        <cfvo type="percentile" val="50"/>
        <cfvo type="max"/>
        <color theme="4" tint="0.79998168889431442"/>
        <color theme="0"/>
        <color rgb="FF8DEB91"/>
      </colorScale>
    </cfRule>
  </conditionalFormatting>
  <conditionalFormatting sqref="C45:R45">
    <cfRule type="colorScale" priority="35">
      <colorScale>
        <cfvo type="min"/>
        <cfvo type="percentile" val="50"/>
        <cfvo type="max"/>
        <color theme="4" tint="0.79998168889431442"/>
        <color theme="0"/>
        <color rgb="FF8DEB91"/>
      </colorScale>
    </cfRule>
  </conditionalFormatting>
  <conditionalFormatting sqref="C49:R49">
    <cfRule type="colorScale" priority="34">
      <colorScale>
        <cfvo type="min"/>
        <cfvo type="percentile" val="50"/>
        <cfvo type="max"/>
        <color theme="4" tint="0.79998168889431442"/>
        <color theme="0"/>
        <color rgb="FF8DEB91"/>
      </colorScale>
    </cfRule>
  </conditionalFormatting>
  <conditionalFormatting sqref="C50:R50">
    <cfRule type="colorScale" priority="33">
      <colorScale>
        <cfvo type="min"/>
        <cfvo type="percentile" val="50"/>
        <cfvo type="max"/>
        <color theme="4" tint="0.79998168889431442"/>
        <color theme="0"/>
        <color rgb="FF8DEB91"/>
      </colorScale>
    </cfRule>
  </conditionalFormatting>
  <conditionalFormatting sqref="C51:R51">
    <cfRule type="colorScale" priority="32">
      <colorScale>
        <cfvo type="min"/>
        <cfvo type="percentile" val="50"/>
        <cfvo type="max"/>
        <color theme="4" tint="0.79998168889431442"/>
        <color theme="0"/>
        <color rgb="FF8DEB91"/>
      </colorScale>
    </cfRule>
  </conditionalFormatting>
  <conditionalFormatting sqref="C52:R52">
    <cfRule type="colorScale" priority="31">
      <colorScale>
        <cfvo type="min"/>
        <cfvo type="percentile" val="50"/>
        <cfvo type="max"/>
        <color theme="4" tint="0.79998168889431442"/>
        <color theme="0"/>
        <color rgb="FF8DEB91"/>
      </colorScale>
    </cfRule>
  </conditionalFormatting>
  <conditionalFormatting sqref="C53:R53">
    <cfRule type="colorScale" priority="30">
      <colorScale>
        <cfvo type="min"/>
        <cfvo type="percentile" val="50"/>
        <cfvo type="max"/>
        <color theme="4" tint="0.79998168889431442"/>
        <color theme="0"/>
        <color rgb="FF8DEB91"/>
      </colorScale>
    </cfRule>
  </conditionalFormatting>
  <conditionalFormatting sqref="C54:R54">
    <cfRule type="colorScale" priority="29">
      <colorScale>
        <cfvo type="min"/>
        <cfvo type="percentile" val="50"/>
        <cfvo type="max"/>
        <color theme="4" tint="0.79998168889431442"/>
        <color theme="0" tint="-4.9989318521683403E-2"/>
        <color rgb="FF8DEB91"/>
      </colorScale>
    </cfRule>
  </conditionalFormatting>
  <conditionalFormatting sqref="C55:R55">
    <cfRule type="colorScale" priority="28">
      <colorScale>
        <cfvo type="min"/>
        <cfvo type="percentile" val="50"/>
        <cfvo type="max"/>
        <color theme="4" tint="0.79998168889431442"/>
        <color theme="0"/>
        <color rgb="FF8DEB91"/>
      </colorScale>
    </cfRule>
  </conditionalFormatting>
  <conditionalFormatting sqref="C59:R59">
    <cfRule type="colorScale" priority="27">
      <colorScale>
        <cfvo type="min"/>
        <cfvo type="percentile" val="50"/>
        <cfvo type="max"/>
        <color theme="4" tint="0.79998168889431442"/>
        <color theme="0" tint="-4.9989318521683403E-2"/>
        <color rgb="FF8DEB91"/>
      </colorScale>
    </cfRule>
  </conditionalFormatting>
  <conditionalFormatting sqref="C60:R60">
    <cfRule type="colorScale" priority="26">
      <colorScale>
        <cfvo type="min"/>
        <cfvo type="percentile" val="50"/>
        <cfvo type="max"/>
        <color theme="4" tint="0.79998168889431442"/>
        <color theme="0" tint="-4.9989318521683403E-2"/>
        <color rgb="FF8DEB91"/>
      </colorScale>
    </cfRule>
  </conditionalFormatting>
  <conditionalFormatting sqref="C61:R61">
    <cfRule type="colorScale" priority="25">
      <colorScale>
        <cfvo type="min"/>
        <cfvo type="percentile" val="50"/>
        <cfvo type="max"/>
        <color theme="4" tint="0.79998168889431442"/>
        <color theme="0" tint="-4.9989318521683403E-2"/>
        <color rgb="FF8DEB91"/>
      </colorScale>
    </cfRule>
  </conditionalFormatting>
  <conditionalFormatting sqref="C62:R62">
    <cfRule type="colorScale" priority="24">
      <colorScale>
        <cfvo type="min"/>
        <cfvo type="percentile" val="50"/>
        <cfvo type="max"/>
        <color theme="4" tint="0.79998168889431442"/>
        <color theme="0"/>
        <color rgb="FF8DEB91"/>
      </colorScale>
    </cfRule>
  </conditionalFormatting>
  <conditionalFormatting sqref="C63:R63">
    <cfRule type="colorScale" priority="23">
      <colorScale>
        <cfvo type="min"/>
        <cfvo type="percentile" val="50"/>
        <cfvo type="max"/>
        <color theme="4" tint="0.79998168889431442"/>
        <color theme="0"/>
        <color rgb="FF8DEB91"/>
      </colorScale>
    </cfRule>
  </conditionalFormatting>
  <conditionalFormatting sqref="C67:R67">
    <cfRule type="colorScale" priority="22">
      <colorScale>
        <cfvo type="min"/>
        <cfvo type="percentile" val="50"/>
        <cfvo type="max"/>
        <color theme="4" tint="0.79998168889431442"/>
        <color theme="0" tint="-4.9989318521683403E-2"/>
        <color rgb="FF8DEB91"/>
      </colorScale>
    </cfRule>
  </conditionalFormatting>
  <conditionalFormatting sqref="C68:R68">
    <cfRule type="colorScale" priority="21">
      <colorScale>
        <cfvo type="min"/>
        <cfvo type="percentile" val="50"/>
        <cfvo type="max"/>
        <color theme="4" tint="0.79998168889431442"/>
        <color theme="0" tint="-4.9989318521683403E-2"/>
        <color rgb="FF8DEB91"/>
      </colorScale>
    </cfRule>
  </conditionalFormatting>
  <conditionalFormatting sqref="C69:R69">
    <cfRule type="colorScale" priority="20">
      <colorScale>
        <cfvo type="min"/>
        <cfvo type="percentile" val="50"/>
        <cfvo type="max"/>
        <color theme="4" tint="0.79998168889431442"/>
        <color theme="0" tint="-4.9989318521683403E-2"/>
        <color rgb="FF8DEB91"/>
      </colorScale>
    </cfRule>
  </conditionalFormatting>
  <conditionalFormatting sqref="C73:R73">
    <cfRule type="colorScale" priority="19">
      <colorScale>
        <cfvo type="min"/>
        <cfvo type="percentile" val="50"/>
        <cfvo type="max"/>
        <color theme="4" tint="0.79998168889431442"/>
        <color theme="0"/>
        <color rgb="FF8DEB91"/>
      </colorScale>
    </cfRule>
  </conditionalFormatting>
  <conditionalFormatting sqref="C74:R74">
    <cfRule type="colorScale" priority="18">
      <colorScale>
        <cfvo type="min"/>
        <cfvo type="percentile" val="50"/>
        <cfvo type="max"/>
        <color theme="4" tint="0.79998168889431442"/>
        <color theme="0"/>
        <color rgb="FF8DEB91"/>
      </colorScale>
    </cfRule>
  </conditionalFormatting>
  <conditionalFormatting sqref="C75:R75">
    <cfRule type="colorScale" priority="17">
      <colorScale>
        <cfvo type="min"/>
        <cfvo type="percentile" val="50"/>
        <cfvo type="max"/>
        <color theme="4" tint="0.79998168889431442"/>
        <color theme="0"/>
        <color rgb="FF8DEB91"/>
      </colorScale>
    </cfRule>
  </conditionalFormatting>
  <conditionalFormatting sqref="C76:R76">
    <cfRule type="colorScale" priority="16">
      <colorScale>
        <cfvo type="min"/>
        <cfvo type="percentile" val="50"/>
        <cfvo type="max"/>
        <color theme="4" tint="0.79998168889431442"/>
        <color theme="0" tint="-4.9989318521683403E-2"/>
        <color rgb="FF8DEB91"/>
      </colorScale>
    </cfRule>
  </conditionalFormatting>
  <conditionalFormatting sqref="C77:R77">
    <cfRule type="colorScale" priority="15">
      <colorScale>
        <cfvo type="min"/>
        <cfvo type="percentile" val="50"/>
        <cfvo type="max"/>
        <color theme="4" tint="0.79998168889431442"/>
        <color theme="0"/>
        <color rgb="FF8DEB91"/>
      </colorScale>
    </cfRule>
  </conditionalFormatting>
  <conditionalFormatting sqref="C78:R78">
    <cfRule type="colorScale" priority="13">
      <colorScale>
        <cfvo type="min"/>
        <cfvo type="percentile" val="50"/>
        <cfvo type="max"/>
        <color theme="4" tint="0.79998168889431442"/>
        <color theme="0"/>
        <color rgb="FF8DEB91"/>
      </colorScale>
    </cfRule>
  </conditionalFormatting>
  <conditionalFormatting sqref="C79:R79">
    <cfRule type="colorScale" priority="14">
      <colorScale>
        <cfvo type="min"/>
        <cfvo type="percentile" val="50"/>
        <cfvo type="max"/>
        <color theme="4" tint="0.79998168889431442"/>
        <color theme="0"/>
        <color rgb="FF8DEB91"/>
      </colorScale>
    </cfRule>
  </conditionalFormatting>
  <conditionalFormatting sqref="C83:R83">
    <cfRule type="colorScale" priority="12">
      <colorScale>
        <cfvo type="min"/>
        <cfvo type="percentile" val="50"/>
        <cfvo type="max"/>
        <color theme="4" tint="0.79998168889431442"/>
        <color theme="0" tint="-4.9989318521683403E-2"/>
        <color rgb="FF8DEB91"/>
      </colorScale>
    </cfRule>
  </conditionalFormatting>
  <conditionalFormatting sqref="C84:R84">
    <cfRule type="colorScale" priority="11">
      <colorScale>
        <cfvo type="min"/>
        <cfvo type="percentile" val="50"/>
        <cfvo type="max"/>
        <color theme="4" tint="0.79998168889431442"/>
        <color theme="0" tint="-4.9989318521683403E-2"/>
        <color rgb="FF8DEB91"/>
      </colorScale>
    </cfRule>
  </conditionalFormatting>
  <conditionalFormatting sqref="C88:R88">
    <cfRule type="colorScale" priority="10">
      <colorScale>
        <cfvo type="min"/>
        <cfvo type="percentile" val="50"/>
        <cfvo type="max"/>
        <color theme="4" tint="0.79998168889431442"/>
        <color theme="0"/>
        <color rgb="FF8DEB91"/>
      </colorScale>
    </cfRule>
  </conditionalFormatting>
  <conditionalFormatting sqref="C89:R89">
    <cfRule type="colorScale" priority="9">
      <colorScale>
        <cfvo type="min"/>
        <cfvo type="percentile" val="50"/>
        <cfvo type="max"/>
        <color theme="4" tint="0.79998168889431442"/>
        <color theme="0"/>
        <color rgb="FF8DEB91"/>
      </colorScale>
    </cfRule>
  </conditionalFormatting>
  <conditionalFormatting sqref="C90:R90">
    <cfRule type="colorScale" priority="8">
      <colorScale>
        <cfvo type="min"/>
        <cfvo type="percentile" val="50"/>
        <cfvo type="max"/>
        <color theme="4" tint="0.79998168889431442"/>
        <color theme="0"/>
        <color rgb="FF8DEB91"/>
      </colorScale>
    </cfRule>
  </conditionalFormatting>
  <conditionalFormatting sqref="C91:R91">
    <cfRule type="colorScale" priority="7">
      <colorScale>
        <cfvo type="min"/>
        <cfvo type="percentile" val="50"/>
        <cfvo type="max"/>
        <color theme="4" tint="0.79998168889431442"/>
        <color theme="0"/>
        <color rgb="FF8DEB91"/>
      </colorScale>
    </cfRule>
  </conditionalFormatting>
  <conditionalFormatting sqref="N14:R14">
    <cfRule type="colorScale" priority="6">
      <colorScale>
        <cfvo type="min"/>
        <cfvo type="num" val="0"/>
        <cfvo type="max"/>
        <color theme="4" tint="0.79998168889431442"/>
        <color theme="0"/>
        <color rgb="FF8DEB91"/>
      </colorScale>
    </cfRule>
  </conditionalFormatting>
  <conditionalFormatting sqref="N15:R15">
    <cfRule type="colorScale" priority="5">
      <colorScale>
        <cfvo type="min"/>
        <cfvo type="num" val="0"/>
        <cfvo type="max"/>
        <color theme="4" tint="0.79998168889431442"/>
        <color theme="0"/>
        <color rgb="FF8DEB91"/>
      </colorScale>
    </cfRule>
  </conditionalFormatting>
  <conditionalFormatting sqref="N16:R16">
    <cfRule type="colorScale" priority="4">
      <colorScale>
        <cfvo type="min"/>
        <cfvo type="num" val="0"/>
        <cfvo type="max"/>
        <color theme="4" tint="0.79998168889431442"/>
        <color theme="0"/>
        <color rgb="FF8DEB91"/>
      </colorScale>
    </cfRule>
  </conditionalFormatting>
  <conditionalFormatting sqref="N17:R17">
    <cfRule type="colorScale" priority="3">
      <colorScale>
        <cfvo type="min"/>
        <cfvo type="num" val="0"/>
        <cfvo type="max"/>
        <color theme="4" tint="0.79998168889431442"/>
        <color theme="0"/>
        <color rgb="FF8DEB91"/>
      </colorScale>
    </cfRule>
  </conditionalFormatting>
  <conditionalFormatting sqref="N18:R18">
    <cfRule type="colorScale" priority="2">
      <colorScale>
        <cfvo type="min"/>
        <cfvo type="num" val="0"/>
        <cfvo type="max"/>
        <color theme="4" tint="0.79998168889431442"/>
        <color theme="0"/>
        <color rgb="FF8DEB91"/>
      </colorScale>
    </cfRule>
  </conditionalFormatting>
  <conditionalFormatting sqref="N19:R19">
    <cfRule type="colorScale" priority="1">
      <colorScale>
        <cfvo type="min"/>
        <cfvo type="num" val="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Z55"/>
  <sheetViews>
    <sheetView showGridLines="0" zoomScale="110" zoomScaleNormal="110" workbookViewId="0">
      <selection activeCell="T11" sqref="T11"/>
    </sheetView>
  </sheetViews>
  <sheetFormatPr defaultColWidth="9" defaultRowHeight="15" customHeight="1" x14ac:dyDescent="0.25"/>
  <cols>
    <col min="1" max="1" width="2" style="557" customWidth="1"/>
    <col min="2" max="2" width="28" style="557" customWidth="1"/>
    <col min="3" max="4" width="10.5" style="557" customWidth="1"/>
    <col min="5" max="5" width="8.5" style="557" customWidth="1"/>
    <col min="6" max="6" width="24" style="557" customWidth="1"/>
    <col min="7" max="7" width="17" style="557" customWidth="1"/>
    <col min="8" max="8" width="1.5" style="557" customWidth="1"/>
    <col min="9" max="9" width="14.5" style="557" customWidth="1"/>
    <col min="10" max="11" width="8.796875" style="557" bestFit="1" customWidth="1"/>
    <col min="12" max="17" width="9.5" style="557" customWidth="1"/>
    <col min="18" max="18" width="1.5" style="557" customWidth="1"/>
    <col min="19" max="20" width="8.5" style="557" customWidth="1"/>
    <col min="21" max="21" width="1.5" style="557" customWidth="1"/>
    <col min="22" max="24" width="9.5" style="557" customWidth="1"/>
    <col min="25" max="25" width="1.5" style="557" customWidth="1"/>
    <col min="26" max="26" width="8.5" style="557" customWidth="1"/>
    <col min="27" max="16384" width="9" style="557"/>
  </cols>
  <sheetData>
    <row r="1" spans="2:26" s="569" customFormat="1" ht="15" customHeight="1" x14ac:dyDescent="0.25"/>
    <row r="2" spans="2:26" s="569" customFormat="1" ht="15" customHeight="1" x14ac:dyDescent="0.25"/>
    <row r="3" spans="2:26" s="569" customFormat="1" ht="15" customHeight="1" x14ac:dyDescent="0.25"/>
    <row r="4" spans="2:26" s="569" customFormat="1" ht="15" customHeight="1" x14ac:dyDescent="0.25"/>
    <row r="5" spans="2:26" s="555" customFormat="1" ht="4.05" customHeight="1" x14ac:dyDescent="0.25">
      <c r="B5" s="37"/>
      <c r="C5" s="37"/>
      <c r="D5" s="37"/>
      <c r="E5" s="37"/>
      <c r="F5" s="37"/>
      <c r="G5" s="37"/>
      <c r="H5" s="37"/>
      <c r="I5" s="37"/>
      <c r="J5" s="37"/>
      <c r="K5" s="37"/>
      <c r="L5" s="37"/>
      <c r="M5" s="37"/>
      <c r="N5" s="37"/>
      <c r="O5" s="37"/>
      <c r="P5" s="37"/>
      <c r="Q5" s="37"/>
      <c r="R5" s="37"/>
      <c r="S5" s="37"/>
      <c r="T5" s="37"/>
      <c r="U5" s="37"/>
      <c r="V5" s="37"/>
      <c r="W5" s="37"/>
      <c r="X5" s="37"/>
      <c r="Y5" s="37"/>
      <c r="Z5" s="37"/>
    </row>
    <row r="7" spans="2:26" s="556" customFormat="1" ht="15" customHeight="1" x14ac:dyDescent="0.25">
      <c r="B7" s="608"/>
      <c r="C7" s="358"/>
      <c r="D7" s="609" t="s">
        <v>331</v>
      </c>
      <c r="E7" s="609" t="s">
        <v>332</v>
      </c>
      <c r="F7" s="609"/>
      <c r="G7" s="609"/>
      <c r="H7" s="609"/>
      <c r="I7" s="805" t="s">
        <v>333</v>
      </c>
      <c r="J7" s="805"/>
      <c r="K7" s="805"/>
      <c r="L7" s="805"/>
      <c r="M7" s="805"/>
      <c r="N7" s="805"/>
      <c r="O7" s="805"/>
      <c r="P7" s="805"/>
      <c r="Q7" s="805"/>
      <c r="R7" s="609"/>
      <c r="S7" s="609" t="s">
        <v>334</v>
      </c>
      <c r="T7" s="609" t="s">
        <v>335</v>
      </c>
      <c r="U7" s="609"/>
      <c r="V7" s="805" t="s">
        <v>336</v>
      </c>
      <c r="W7" s="805"/>
      <c r="X7" s="805"/>
      <c r="Y7" s="609"/>
      <c r="Z7" s="609" t="s">
        <v>337</v>
      </c>
    </row>
    <row r="8" spans="2:26" s="556" customFormat="1" ht="15" customHeight="1" x14ac:dyDescent="0.25">
      <c r="B8" s="358"/>
      <c r="C8" s="358"/>
      <c r="D8" s="609" t="s">
        <v>338</v>
      </c>
      <c r="E8" s="609" t="s">
        <v>339</v>
      </c>
      <c r="F8" s="609" t="s">
        <v>340</v>
      </c>
      <c r="G8" s="609" t="s">
        <v>341</v>
      </c>
      <c r="H8" s="609"/>
      <c r="I8" s="609" t="s">
        <v>334</v>
      </c>
      <c r="J8" s="519">
        <v>2025</v>
      </c>
      <c r="K8" s="519">
        <v>2026</v>
      </c>
      <c r="L8" s="609" t="s">
        <v>334</v>
      </c>
      <c r="M8" s="609" t="s">
        <v>342</v>
      </c>
      <c r="N8" s="609" t="s">
        <v>343</v>
      </c>
      <c r="O8" s="609" t="s">
        <v>334</v>
      </c>
      <c r="P8" s="609" t="s">
        <v>342</v>
      </c>
      <c r="Q8" s="609" t="s">
        <v>343</v>
      </c>
      <c r="R8" s="609"/>
      <c r="S8" s="609" t="s">
        <v>344</v>
      </c>
      <c r="T8" s="609" t="s">
        <v>345</v>
      </c>
      <c r="U8" s="609"/>
      <c r="V8" s="609" t="s">
        <v>334</v>
      </c>
      <c r="W8" s="609" t="s">
        <v>342</v>
      </c>
      <c r="X8" s="609" t="s">
        <v>343</v>
      </c>
      <c r="Y8" s="609"/>
      <c r="Z8" s="609" t="s">
        <v>346</v>
      </c>
    </row>
    <row r="9" spans="2:26" s="556" customFormat="1" ht="15" customHeight="1" x14ac:dyDescent="0.25">
      <c r="B9" s="358" t="s">
        <v>347</v>
      </c>
      <c r="C9" s="358" t="s">
        <v>12</v>
      </c>
      <c r="D9" s="609" t="s">
        <v>348</v>
      </c>
      <c r="E9" s="609" t="s">
        <v>349</v>
      </c>
      <c r="F9" s="609" t="s">
        <v>350</v>
      </c>
      <c r="G9" s="609" t="s">
        <v>350</v>
      </c>
      <c r="H9" s="609"/>
      <c r="I9" s="609" t="s">
        <v>351</v>
      </c>
      <c r="J9" s="609" t="s">
        <v>351</v>
      </c>
      <c r="K9" s="609" t="s">
        <v>351</v>
      </c>
      <c r="L9" s="609" t="s">
        <v>344</v>
      </c>
      <c r="M9" s="609" t="s">
        <v>344</v>
      </c>
      <c r="N9" s="609" t="s">
        <v>344</v>
      </c>
      <c r="O9" s="609" t="s">
        <v>352</v>
      </c>
      <c r="P9" s="609" t="s">
        <v>352</v>
      </c>
      <c r="Q9" s="609" t="s">
        <v>352</v>
      </c>
      <c r="R9" s="609"/>
      <c r="S9" s="609" t="s">
        <v>353</v>
      </c>
      <c r="T9" s="609" t="s">
        <v>344</v>
      </c>
      <c r="U9" s="609"/>
      <c r="V9" s="609" t="s">
        <v>346</v>
      </c>
      <c r="W9" s="609" t="s">
        <v>346</v>
      </c>
      <c r="X9" s="609" t="s">
        <v>346</v>
      </c>
      <c r="Y9" s="609"/>
      <c r="Z9" s="609" t="s">
        <v>253</v>
      </c>
    </row>
    <row r="10" spans="2:26" ht="13.8" x14ac:dyDescent="0.25">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spans="2:26" ht="13.8" x14ac:dyDescent="0.25">
      <c r="B11" s="24" t="s">
        <v>254</v>
      </c>
      <c r="C11" s="24" t="s">
        <v>354</v>
      </c>
      <c r="D11" s="24" t="s">
        <v>355</v>
      </c>
      <c r="E11" s="467">
        <v>0.91023936170212771</v>
      </c>
      <c r="F11" s="653">
        <v>2411.3301998219995</v>
      </c>
      <c r="G11" s="653">
        <v>1659.0664537999996</v>
      </c>
      <c r="H11" s="24"/>
      <c r="I11" s="743">
        <v>2.0352498188099104</v>
      </c>
      <c r="J11" s="743">
        <v>1.8196506211132433</v>
      </c>
      <c r="K11" s="743">
        <v>1.5585405860028179</v>
      </c>
      <c r="L11" s="743">
        <v>10.293571917480996</v>
      </c>
      <c r="M11" s="743">
        <v>9.4695573847031955</v>
      </c>
      <c r="N11" s="743">
        <v>7.360543273291924</v>
      </c>
      <c r="O11" s="743">
        <v>11.391244773557439</v>
      </c>
      <c r="P11" s="743">
        <v>9.9868560048156478</v>
      </c>
      <c r="Q11" s="743">
        <v>7.9906873151113773</v>
      </c>
      <c r="R11" s="743"/>
      <c r="S11" s="662">
        <v>0.19772046429806936</v>
      </c>
      <c r="T11" s="743">
        <v>1.7829874360167517</v>
      </c>
      <c r="U11" s="743"/>
      <c r="V11" s="743">
        <v>22.304964888338279</v>
      </c>
      <c r="W11" s="743">
        <v>18.033452349096148</v>
      </c>
      <c r="X11" s="743">
        <v>15.237473616568717</v>
      </c>
      <c r="Y11" s="24"/>
      <c r="Z11" s="662">
        <v>0.12620777047240361</v>
      </c>
    </row>
    <row r="12" spans="2:26" s="558" customFormat="1" ht="15" customHeight="1" x14ac:dyDescent="0.25">
      <c r="B12" s="358" t="s">
        <v>356</v>
      </c>
      <c r="C12" s="33"/>
      <c r="D12" s="33"/>
      <c r="E12" s="33"/>
      <c r="F12" s="33"/>
      <c r="G12" s="33"/>
      <c r="H12" s="33"/>
      <c r="I12" s="33"/>
      <c r="J12" s="33"/>
      <c r="K12" s="33"/>
      <c r="L12" s="33"/>
      <c r="M12" s="33"/>
      <c r="N12" s="33"/>
      <c r="O12" s="33"/>
      <c r="P12" s="33"/>
      <c r="Q12" s="33"/>
      <c r="R12" s="33"/>
      <c r="S12" s="33"/>
      <c r="T12" s="33"/>
      <c r="U12" s="33"/>
      <c r="V12" s="33"/>
      <c r="W12" s="33"/>
      <c r="X12" s="33"/>
      <c r="Y12" s="33"/>
      <c r="Z12" s="33"/>
    </row>
    <row r="13" spans="2:26" ht="4.05" customHeight="1" x14ac:dyDescent="0.25">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spans="2:26" ht="4.05" customHeight="1" x14ac:dyDescent="0.25">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2:26" ht="15" customHeight="1" x14ac:dyDescent="0.25">
      <c r="B15" s="24" t="s">
        <v>255</v>
      </c>
      <c r="C15" s="24" t="s">
        <v>357</v>
      </c>
      <c r="D15" s="610" t="s">
        <v>358</v>
      </c>
      <c r="E15" s="467">
        <v>0.96704387113119117</v>
      </c>
      <c r="F15" s="611">
        <v>317078.42859300005</v>
      </c>
      <c r="G15" s="611">
        <v>246241.31141221998</v>
      </c>
      <c r="H15" s="24"/>
      <c r="I15" s="612">
        <v>7.3188719714158497</v>
      </c>
      <c r="J15" s="612">
        <v>6.3666720772149699</v>
      </c>
      <c r="K15" s="613">
        <v>5.0283569552294773</v>
      </c>
      <c r="L15" s="612">
        <v>31.176999771587226</v>
      </c>
      <c r="M15" s="612">
        <v>26.536196801773809</v>
      </c>
      <c r="N15" s="613">
        <v>20.194639018831499</v>
      </c>
      <c r="O15" s="612">
        <v>36.404229247086164</v>
      </c>
      <c r="P15" s="612">
        <v>30.166942796238445</v>
      </c>
      <c r="Q15" s="613">
        <v>22.686216023427235</v>
      </c>
      <c r="R15" s="24"/>
      <c r="S15" s="475">
        <v>0.23475228614158739</v>
      </c>
      <c r="T15" s="732">
        <f>+-558.3/1052.9</f>
        <v>-0.53024978630449227</v>
      </c>
      <c r="U15" s="614"/>
      <c r="V15" s="612">
        <v>52.353312193706294</v>
      </c>
      <c r="W15" s="612">
        <v>42.888819840752419</v>
      </c>
      <c r="X15" s="612">
        <v>32.903183680626505</v>
      </c>
      <c r="Y15" s="614"/>
      <c r="Z15" s="475">
        <v>0.23977320922233036</v>
      </c>
    </row>
    <row r="16" spans="2:26" ht="15" customHeight="1" x14ac:dyDescent="0.25">
      <c r="B16" s="24" t="s">
        <v>256</v>
      </c>
      <c r="C16" s="24" t="s">
        <v>359</v>
      </c>
      <c r="D16" s="610" t="s">
        <v>360</v>
      </c>
      <c r="E16" s="467">
        <v>0.91740134682325392</v>
      </c>
      <c r="F16" s="611">
        <v>169243.14498300003</v>
      </c>
      <c r="G16" s="611">
        <v>121687.424</v>
      </c>
      <c r="H16" s="24"/>
      <c r="I16" s="612">
        <v>6.6006793055888471</v>
      </c>
      <c r="J16" s="612">
        <v>6.6634108559447318</v>
      </c>
      <c r="K16" s="613">
        <v>6.0554512003020058</v>
      </c>
      <c r="L16" s="612">
        <v>19.224346825996154</v>
      </c>
      <c r="M16" s="612">
        <v>19.499719176532704</v>
      </c>
      <c r="N16" s="613">
        <v>17.452230731721308</v>
      </c>
      <c r="O16" s="612">
        <v>20.47374857892958</v>
      </c>
      <c r="P16" s="612">
        <v>20.7712722328497</v>
      </c>
      <c r="Q16" s="613">
        <v>18.769509736629004</v>
      </c>
      <c r="R16" s="24"/>
      <c r="S16" s="475">
        <v>0.34334999078684264</v>
      </c>
      <c r="T16" s="612">
        <v>0.75654042430349067</v>
      </c>
      <c r="U16" s="614"/>
      <c r="V16" s="612">
        <v>31.838034517111343</v>
      </c>
      <c r="W16" s="612">
        <v>32.665485125359481</v>
      </c>
      <c r="X16" s="612">
        <v>29.848879185714292</v>
      </c>
      <c r="Y16" s="614"/>
      <c r="Z16" s="475">
        <v>0.11251984984430052</v>
      </c>
    </row>
    <row r="17" spans="2:26" ht="15" customHeight="1" x14ac:dyDescent="0.25">
      <c r="B17" s="24" t="s">
        <v>257</v>
      </c>
      <c r="C17" s="24" t="s">
        <v>361</v>
      </c>
      <c r="D17" s="610" t="s">
        <v>362</v>
      </c>
      <c r="E17" s="467">
        <v>0.94225888324873097</v>
      </c>
      <c r="F17" s="611">
        <v>13809406.422239998</v>
      </c>
      <c r="G17" s="730">
        <v>17860478.600000001</v>
      </c>
      <c r="H17" s="24"/>
      <c r="I17" s="612">
        <v>7.361858023818642</v>
      </c>
      <c r="J17" s="612">
        <v>7.3885397375714454</v>
      </c>
      <c r="K17" s="613">
        <v>7.4411086663175254</v>
      </c>
      <c r="L17" s="612">
        <v>24.051860400602227</v>
      </c>
      <c r="M17" s="612">
        <v>23.573634036499463</v>
      </c>
      <c r="N17" s="613">
        <v>25.557035449861878</v>
      </c>
      <c r="O17" s="612">
        <v>26.409887324776722</v>
      </c>
      <c r="P17" s="612">
        <v>25.834296090707486</v>
      </c>
      <c r="Q17" s="613">
        <v>29.047341995476152</v>
      </c>
      <c r="R17" s="24"/>
      <c r="S17" s="475">
        <v>0.306082685547032</v>
      </c>
      <c r="T17" s="732">
        <f>+-3034.8/3523</f>
        <v>-0.8614249219415272</v>
      </c>
      <c r="U17" s="614"/>
      <c r="V17" s="612">
        <v>25.718893637621019</v>
      </c>
      <c r="W17" s="612">
        <v>25.948484203461106</v>
      </c>
      <c r="X17" s="612">
        <v>28.886836345544751</v>
      </c>
      <c r="Y17" s="614"/>
      <c r="Z17" s="475">
        <v>5.1737426938262887E-2</v>
      </c>
    </row>
    <row r="18" spans="2:26" ht="15" customHeight="1" x14ac:dyDescent="0.25">
      <c r="B18" s="24" t="s">
        <v>258</v>
      </c>
      <c r="C18" s="24" t="s">
        <v>363</v>
      </c>
      <c r="D18" s="610" t="s">
        <v>364</v>
      </c>
      <c r="E18" s="467">
        <v>0.97266987504967106</v>
      </c>
      <c r="F18" s="611">
        <v>170075.19174023002</v>
      </c>
      <c r="G18" s="611">
        <v>147742.93</v>
      </c>
      <c r="H18" s="24"/>
      <c r="I18" s="612">
        <v>5.1634896725264738</v>
      </c>
      <c r="J18" s="612">
        <v>5.2298900661670267</v>
      </c>
      <c r="K18" s="613">
        <v>5.0800178901873831</v>
      </c>
      <c r="L18" s="612">
        <v>16.339629506746295</v>
      </c>
      <c r="M18" s="612">
        <v>16.502925955858672</v>
      </c>
      <c r="N18" s="613">
        <v>16.277123655749449</v>
      </c>
      <c r="O18" s="612">
        <v>17.157464870514456</v>
      </c>
      <c r="P18" s="612">
        <v>17.325197299758823</v>
      </c>
      <c r="Q18" s="613">
        <v>17.225010007111848</v>
      </c>
      <c r="R18" s="24"/>
      <c r="S18" s="475">
        <v>0.31601020515150458</v>
      </c>
      <c r="T18" s="612">
        <v>0.7468522200132538</v>
      </c>
      <c r="U18" s="614"/>
      <c r="V18" s="612">
        <v>22.058298222327043</v>
      </c>
      <c r="W18" s="612">
        <v>22.470918540647776</v>
      </c>
      <c r="X18" s="612">
        <v>22.584847186804332</v>
      </c>
      <c r="Y18" s="614"/>
      <c r="Z18" s="475">
        <v>4.0295709062667218E-2</v>
      </c>
    </row>
    <row r="19" spans="2:26" ht="15" customHeight="1" x14ac:dyDescent="0.25">
      <c r="B19" s="24" t="s">
        <v>259</v>
      </c>
      <c r="C19" s="24" t="s">
        <v>365</v>
      </c>
      <c r="D19" s="610" t="s">
        <v>366</v>
      </c>
      <c r="E19" s="467">
        <v>0.94473816717019132</v>
      </c>
      <c r="F19" s="611">
        <v>29945.686001920003</v>
      </c>
      <c r="G19" s="611">
        <v>22227.609405730003</v>
      </c>
      <c r="H19" s="24"/>
      <c r="I19" s="612">
        <v>12.5642269743407</v>
      </c>
      <c r="J19" s="612">
        <v>10.670494172254083</v>
      </c>
      <c r="K19" s="613">
        <v>8.1705498233259828</v>
      </c>
      <c r="L19" s="612">
        <v>90.537005162901636</v>
      </c>
      <c r="M19" s="612">
        <v>112.54485775053166</v>
      </c>
      <c r="N19" s="613">
        <v>79.384319306178583</v>
      </c>
      <c r="O19" s="612">
        <v>130.83757230783414</v>
      </c>
      <c r="P19" s="612">
        <v>82.446622424814549</v>
      </c>
      <c r="Q19" s="613">
        <v>51.860964549066736</v>
      </c>
      <c r="R19" s="24"/>
      <c r="S19" s="475">
        <v>0.13877449283565441</v>
      </c>
      <c r="T19" s="732">
        <f>13/39.1</f>
        <v>0.33248081841432225</v>
      </c>
      <c r="U19" s="614"/>
      <c r="V19" s="612">
        <v>245.25830421715585</v>
      </c>
      <c r="W19" s="612">
        <v>118.83208730920636</v>
      </c>
      <c r="X19" s="612">
        <v>75.735169453515439</v>
      </c>
      <c r="Y19" s="614"/>
      <c r="Z19" s="731">
        <v>-0.69310000000000005</v>
      </c>
    </row>
    <row r="20" spans="2:26" ht="15" customHeight="1" x14ac:dyDescent="0.25">
      <c r="B20" s="24"/>
      <c r="C20" s="24"/>
      <c r="D20" s="24"/>
      <c r="E20" s="24"/>
      <c r="F20" s="24"/>
      <c r="G20" s="24"/>
      <c r="H20" s="24"/>
      <c r="I20" s="24"/>
      <c r="J20" s="24"/>
      <c r="K20" s="614"/>
      <c r="L20" s="24"/>
      <c r="M20" s="24"/>
      <c r="N20" s="614"/>
      <c r="O20" s="24"/>
      <c r="P20" s="24"/>
      <c r="Q20" s="614"/>
      <c r="R20" s="24"/>
      <c r="S20" s="24"/>
      <c r="T20" s="24"/>
      <c r="U20" s="614"/>
      <c r="V20" s="24"/>
      <c r="W20" s="24"/>
      <c r="X20" s="24"/>
      <c r="Y20" s="614"/>
      <c r="Z20" s="24"/>
    </row>
    <row r="21" spans="2:26" ht="15" customHeight="1" x14ac:dyDescent="0.25">
      <c r="B21" s="615" t="s">
        <v>367</v>
      </c>
      <c r="C21" s="616"/>
      <c r="D21" s="616"/>
      <c r="E21" s="616"/>
      <c r="F21" s="616"/>
      <c r="G21" s="616"/>
      <c r="H21" s="616"/>
      <c r="I21" s="617">
        <f>AVERAGE(I15:I19)</f>
        <v>7.8018251895381026</v>
      </c>
      <c r="J21" s="617"/>
      <c r="K21" s="618">
        <f t="shared" ref="K21:Q21" si="0">AVERAGE(K15:K19)</f>
        <v>6.3550969070724745</v>
      </c>
      <c r="L21" s="617">
        <f>AVERAGE(L15:L19)</f>
        <v>36.265968333566704</v>
      </c>
      <c r="M21" s="617">
        <f t="shared" si="0"/>
        <v>39.731466744239263</v>
      </c>
      <c r="N21" s="618">
        <f t="shared" si="0"/>
        <v>31.773069632468541</v>
      </c>
      <c r="O21" s="617">
        <f t="shared" si="0"/>
        <v>46.256580465828208</v>
      </c>
      <c r="P21" s="617">
        <f t="shared" si="0"/>
        <v>35.308866168873799</v>
      </c>
      <c r="Q21" s="618">
        <f t="shared" si="0"/>
        <v>27.91780846234219</v>
      </c>
      <c r="R21" s="616"/>
      <c r="S21" s="619">
        <f>AVERAGE(S15:S19)</f>
        <v>0.26779393209252422</v>
      </c>
      <c r="T21" s="617">
        <f>AVERAGE(T15:T19)</f>
        <v>8.8839750897009448E-2</v>
      </c>
      <c r="U21" s="620"/>
      <c r="V21" s="617">
        <f t="shared" ref="V21:X21" si="1">AVERAGE(V15:V19)</f>
        <v>75.445368557584317</v>
      </c>
      <c r="W21" s="617">
        <f t="shared" si="1"/>
        <v>48.561159003885429</v>
      </c>
      <c r="X21" s="617">
        <f t="shared" si="1"/>
        <v>37.991783170441067</v>
      </c>
      <c r="Y21" s="620"/>
      <c r="Z21" s="619">
        <f>AVERAGE(Z15:Z19)</f>
        <v>-4.975476098648781E-2</v>
      </c>
    </row>
    <row r="22" spans="2:26" ht="15" customHeight="1" x14ac:dyDescent="0.25">
      <c r="B22" s="621" t="s">
        <v>368</v>
      </c>
      <c r="C22" s="622"/>
      <c r="D22" s="622"/>
      <c r="E22" s="622"/>
      <c r="F22" s="622"/>
      <c r="G22" s="622"/>
      <c r="H22" s="622"/>
      <c r="I22" s="623">
        <f>MEDIAN(I15:I19)</f>
        <v>7.3188719714158497</v>
      </c>
      <c r="J22" s="623">
        <f t="shared" ref="J22:T22" si="2">MEDIAN(J15:J19)</f>
        <v>6.6634108559447318</v>
      </c>
      <c r="K22" s="624">
        <f t="shared" si="2"/>
        <v>6.0554512003020058</v>
      </c>
      <c r="L22" s="623">
        <f>MEDIAN(L15:L19)</f>
        <v>24.051860400602227</v>
      </c>
      <c r="M22" s="623">
        <f t="shared" si="2"/>
        <v>23.573634036499463</v>
      </c>
      <c r="N22" s="624">
        <f t="shared" si="2"/>
        <v>20.194639018831499</v>
      </c>
      <c r="O22" s="623">
        <f t="shared" si="2"/>
        <v>26.409887324776722</v>
      </c>
      <c r="P22" s="623">
        <f t="shared" si="2"/>
        <v>25.834296090707486</v>
      </c>
      <c r="Q22" s="624">
        <f t="shared" si="2"/>
        <v>22.686216023427235</v>
      </c>
      <c r="R22" s="622"/>
      <c r="S22" s="625">
        <f t="shared" si="2"/>
        <v>0.306082685547032</v>
      </c>
      <c r="T22" s="623">
        <f t="shared" si="2"/>
        <v>0.33248081841432225</v>
      </c>
      <c r="U22" s="626"/>
      <c r="V22" s="623">
        <f t="shared" ref="V22:X22" si="3">MEDIAN(V15:V19)</f>
        <v>31.838034517111343</v>
      </c>
      <c r="W22" s="623">
        <f t="shared" si="3"/>
        <v>32.665485125359481</v>
      </c>
      <c r="X22" s="623">
        <f t="shared" si="3"/>
        <v>29.848879185714292</v>
      </c>
      <c r="Y22" s="626"/>
      <c r="Z22" s="625">
        <f>MEDIAN(Z15:Z19)</f>
        <v>5.1737426938262887E-2</v>
      </c>
    </row>
    <row r="24" spans="2:26" s="558" customFormat="1" ht="15" customHeight="1" x14ac:dyDescent="0.25">
      <c r="B24" s="358" t="s">
        <v>369</v>
      </c>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2:26" ht="4.05" customHeight="1" x14ac:dyDescent="0.25">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spans="2:26" ht="4.05" customHeight="1" x14ac:dyDescent="0.25">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2:26" ht="15" customHeight="1" x14ac:dyDescent="0.25">
      <c r="B27" s="24" t="s">
        <v>260</v>
      </c>
      <c r="C27" s="24" t="s">
        <v>370</v>
      </c>
      <c r="D27" s="610" t="s">
        <v>371</v>
      </c>
      <c r="E27" s="467">
        <v>0.92106958762886593</v>
      </c>
      <c r="F27" s="611">
        <v>1318628.30645</v>
      </c>
      <c r="G27" s="611">
        <v>945983.94512000005</v>
      </c>
      <c r="H27" s="24"/>
      <c r="I27" s="612">
        <v>1.5091386518664343</v>
      </c>
      <c r="J27" s="612">
        <v>1.5312018343656084</v>
      </c>
      <c r="K27" s="613">
        <v>1.5030303245897767</v>
      </c>
      <c r="L27" s="612">
        <v>6.5019206774209071</v>
      </c>
      <c r="M27" s="612">
        <v>6.7231960962158288</v>
      </c>
      <c r="N27" s="613">
        <v>6.8134050506242598</v>
      </c>
      <c r="O27" s="612">
        <v>7.1502403241094177</v>
      </c>
      <c r="P27" s="612">
        <v>7.3664876547599647</v>
      </c>
      <c r="Q27" s="613">
        <v>7.672261250148491</v>
      </c>
      <c r="R27" s="24"/>
      <c r="S27" s="475">
        <v>0.23210659230390038</v>
      </c>
      <c r="T27" s="612">
        <v>3.0943069426020497E-2</v>
      </c>
      <c r="U27" s="614"/>
      <c r="V27" s="612">
        <v>13.510964180008065</v>
      </c>
      <c r="W27" s="612">
        <v>14.289075833096136</v>
      </c>
      <c r="X27" s="612">
        <v>14.518730480105095</v>
      </c>
      <c r="Y27" s="614"/>
      <c r="Z27" s="475">
        <v>5.2579814251908719E-2</v>
      </c>
    </row>
    <row r="28" spans="2:26" ht="15" customHeight="1" x14ac:dyDescent="0.25">
      <c r="B28" s="24" t="s">
        <v>261</v>
      </c>
      <c r="C28" s="24" t="s">
        <v>372</v>
      </c>
      <c r="D28" s="610" t="s">
        <v>373</v>
      </c>
      <c r="E28" s="467">
        <v>0.94179894179894175</v>
      </c>
      <c r="F28" s="611">
        <v>558813819.83679998</v>
      </c>
      <c r="G28" s="611">
        <v>275718213.91000003</v>
      </c>
      <c r="H28" s="24"/>
      <c r="I28" s="612">
        <v>0.89346641455749187</v>
      </c>
      <c r="J28" s="612">
        <v>0.89346641455749187</v>
      </c>
      <c r="K28" s="613">
        <v>0.78169168419143809</v>
      </c>
      <c r="L28" s="612">
        <v>3.8045303472663732</v>
      </c>
      <c r="M28" s="612">
        <v>3.5398445676134709</v>
      </c>
      <c r="N28" s="613">
        <v>2.7590312491037583</v>
      </c>
      <c r="O28" s="612">
        <v>10.19765892123589</v>
      </c>
      <c r="P28" s="612">
        <v>8.7103889167089683</v>
      </c>
      <c r="Q28" s="613">
        <v>5.1807098475913431</v>
      </c>
      <c r="R28" s="24"/>
      <c r="S28" s="475">
        <v>0.23484276191921147</v>
      </c>
      <c r="T28" s="612">
        <v>0.19359010031940352</v>
      </c>
      <c r="U28" s="614"/>
      <c r="V28" s="612">
        <v>20.964264255080497</v>
      </c>
      <c r="W28" s="612">
        <v>17.618249615132108</v>
      </c>
      <c r="X28" s="612">
        <v>12.133603453813409</v>
      </c>
      <c r="Y28" s="614"/>
      <c r="Z28" s="475">
        <v>0.20293984325145997</v>
      </c>
    </row>
    <row r="29" spans="2:26" ht="15" customHeight="1" x14ac:dyDescent="0.25">
      <c r="B29" s="24" t="s">
        <v>262</v>
      </c>
      <c r="C29" s="24" t="s">
        <v>374</v>
      </c>
      <c r="D29" s="610" t="s">
        <v>375</v>
      </c>
      <c r="E29" s="467">
        <v>0.64270309130122205</v>
      </c>
      <c r="F29" s="611">
        <v>1471.02181174</v>
      </c>
      <c r="G29" s="611">
        <v>1775.5605099999998</v>
      </c>
      <c r="H29" s="24"/>
      <c r="I29" s="612">
        <v>1.995996351009093</v>
      </c>
      <c r="J29" s="612">
        <v>2.1580802309328471</v>
      </c>
      <c r="K29" s="613">
        <v>1.9056190072444323</v>
      </c>
      <c r="L29" s="612">
        <v>20.819385934055621</v>
      </c>
      <c r="M29" s="612">
        <v>23.09922606244578</v>
      </c>
      <c r="N29" s="613">
        <v>16.734783317624881</v>
      </c>
      <c r="O29" s="612">
        <v>27.896125783594396</v>
      </c>
      <c r="P29" s="612">
        <v>32.489670814272642</v>
      </c>
      <c r="Q29" s="613">
        <v>18.939312106666666</v>
      </c>
      <c r="R29" s="24"/>
      <c r="S29" s="475">
        <v>9.5872008777363224E-2</v>
      </c>
      <c r="T29" s="612">
        <v>6.0600553766175054</v>
      </c>
      <c r="U29" s="614"/>
      <c r="V29" s="612">
        <v>20.905307350216972</v>
      </c>
      <c r="W29" s="612">
        <v>29.342190393749998</v>
      </c>
      <c r="X29" s="612">
        <v>15.649168209999999</v>
      </c>
      <c r="Y29" s="614"/>
      <c r="Z29" s="731">
        <v>0.39889999999999998</v>
      </c>
    </row>
    <row r="30" spans="2:26" ht="15" customHeight="1" x14ac:dyDescent="0.25">
      <c r="B30" s="24" t="s">
        <v>263</v>
      </c>
      <c r="C30" s="24" t="s">
        <v>376</v>
      </c>
      <c r="D30" s="610" t="s">
        <v>377</v>
      </c>
      <c r="E30" s="467">
        <v>0.83864364542541836</v>
      </c>
      <c r="F30" s="611">
        <v>13363.54</v>
      </c>
      <c r="G30" s="611">
        <v>16151.732</v>
      </c>
      <c r="H30" s="24"/>
      <c r="I30" s="612">
        <v>5.0111931534895726</v>
      </c>
      <c r="J30" s="612">
        <v>5.0433447997710177</v>
      </c>
      <c r="K30" s="613">
        <v>4.6545660286736625</v>
      </c>
      <c r="L30" s="612">
        <v>17.977609980009706</v>
      </c>
      <c r="M30" s="612">
        <v>18.061304462742712</v>
      </c>
      <c r="N30" s="613">
        <v>15.887423052848128</v>
      </c>
      <c r="O30" s="612">
        <v>31.221996485727377</v>
      </c>
      <c r="P30" s="612">
        <v>23.374431259044862</v>
      </c>
      <c r="Q30" s="613">
        <v>19.811446476360391</v>
      </c>
      <c r="R30" s="24"/>
      <c r="S30" s="475">
        <v>0.27874634943475773</v>
      </c>
      <c r="T30" s="612">
        <v>4.5283178954630854</v>
      </c>
      <c r="U30" s="614"/>
      <c r="V30" s="612">
        <v>44.427918319195676</v>
      </c>
      <c r="W30" s="612">
        <v>31.423458743052588</v>
      </c>
      <c r="X30" s="612">
        <v>24.944669947395216</v>
      </c>
      <c r="Y30" s="614"/>
      <c r="Z30" s="475">
        <v>0.19185014789609656</v>
      </c>
    </row>
    <row r="31" spans="2:26" ht="15" customHeight="1" x14ac:dyDescent="0.25">
      <c r="B31" s="24" t="s">
        <v>264</v>
      </c>
      <c r="C31" s="24" t="s">
        <v>378</v>
      </c>
      <c r="D31" s="610" t="s">
        <v>379</v>
      </c>
      <c r="E31" s="467">
        <v>0.59802118903773749</v>
      </c>
      <c r="F31" s="611">
        <v>6244.5251799600001</v>
      </c>
      <c r="G31" s="611">
        <v>3957.3635599999998</v>
      </c>
      <c r="H31" s="24"/>
      <c r="I31" s="612">
        <v>3.8185478886055231</v>
      </c>
      <c r="J31" s="612">
        <v>3.9682763198796689</v>
      </c>
      <c r="K31" s="613">
        <v>3.584974349450798</v>
      </c>
      <c r="L31" s="612">
        <v>12.957374449108423</v>
      </c>
      <c r="M31" s="612">
        <v>13.369471486486486</v>
      </c>
      <c r="N31" s="613">
        <v>11.274540056980056</v>
      </c>
      <c r="O31" s="612">
        <v>15.991092199957166</v>
      </c>
      <c r="P31" s="612">
        <v>15.748462148948263</v>
      </c>
      <c r="Q31" s="613">
        <v>13.337286913818005</v>
      </c>
      <c r="R31" s="24"/>
      <c r="S31" s="475">
        <v>0.29470074385851153</v>
      </c>
      <c r="T31" s="612">
        <v>5.3882999670489519E-2</v>
      </c>
      <c r="U31" s="614"/>
      <c r="V31" s="612">
        <v>26.874970540554639</v>
      </c>
      <c r="W31" s="612">
        <v>25.821606533259821</v>
      </c>
      <c r="X31" s="612">
        <v>22.026543844656086</v>
      </c>
      <c r="Y31" s="614"/>
      <c r="Z31" s="475">
        <v>0.24970817906358334</v>
      </c>
    </row>
    <row r="32" spans="2:26" ht="15" customHeight="1" x14ac:dyDescent="0.25">
      <c r="B32" s="24"/>
      <c r="C32" s="24"/>
      <c r="D32" s="24"/>
      <c r="E32" s="24"/>
      <c r="F32" s="24"/>
      <c r="G32" s="24"/>
      <c r="H32" s="24"/>
      <c r="I32" s="24"/>
      <c r="J32" s="24"/>
      <c r="K32" s="614"/>
      <c r="L32" s="24"/>
      <c r="M32" s="24"/>
      <c r="N32" s="614"/>
      <c r="O32" s="24"/>
      <c r="P32" s="24"/>
      <c r="Q32" s="614"/>
      <c r="R32" s="24"/>
      <c r="S32" s="24"/>
      <c r="T32" s="24"/>
      <c r="U32" s="614"/>
      <c r="V32" s="24"/>
      <c r="W32" s="24"/>
      <c r="X32" s="24"/>
      <c r="Y32" s="614"/>
      <c r="Z32" s="24"/>
    </row>
    <row r="33" spans="2:26" ht="15" customHeight="1" x14ac:dyDescent="0.25">
      <c r="B33" s="615" t="s">
        <v>367</v>
      </c>
      <c r="C33" s="616"/>
      <c r="D33" s="616"/>
      <c r="E33" s="616"/>
      <c r="F33" s="616"/>
      <c r="G33" s="616"/>
      <c r="H33" s="616"/>
      <c r="I33" s="617">
        <f>AVERAGE(I27:I31)</f>
        <v>2.645668491905623</v>
      </c>
      <c r="J33" s="617">
        <f t="shared" ref="J33:K33" si="4">AVERAGE(J27:J31)</f>
        <v>2.7188739199013265</v>
      </c>
      <c r="K33" s="618">
        <f t="shared" si="4"/>
        <v>2.4859762788300213</v>
      </c>
      <c r="L33" s="617">
        <f>AVERAGE(L27:L31)</f>
        <v>12.412164277572206</v>
      </c>
      <c r="M33" s="617">
        <f t="shared" ref="M33:Q33" si="5">AVERAGE(M27:M31)</f>
        <v>12.958608535100856</v>
      </c>
      <c r="N33" s="618">
        <f t="shared" si="5"/>
        <v>10.693836545436216</v>
      </c>
      <c r="O33" s="617">
        <f t="shared" si="5"/>
        <v>18.491422742924847</v>
      </c>
      <c r="P33" s="617">
        <f t="shared" si="5"/>
        <v>17.537888158746942</v>
      </c>
      <c r="Q33" s="618">
        <f t="shared" si="5"/>
        <v>12.988203318916979</v>
      </c>
      <c r="R33" s="616"/>
      <c r="S33" s="619">
        <f>AVERAGE(S27:S31)</f>
        <v>0.22725369125874889</v>
      </c>
      <c r="T33" s="617">
        <f>AVERAGE(T27:T31)</f>
        <v>2.173357888299301</v>
      </c>
      <c r="U33" s="620"/>
      <c r="V33" s="617">
        <f t="shared" ref="V33:X33" si="6">AVERAGE(V27:V31)</f>
        <v>25.33668492901117</v>
      </c>
      <c r="W33" s="617">
        <f t="shared" si="6"/>
        <v>23.698916223658131</v>
      </c>
      <c r="X33" s="617">
        <f t="shared" si="6"/>
        <v>17.854543187193961</v>
      </c>
      <c r="Y33" s="620"/>
      <c r="Z33" s="619">
        <f>AVERAGE(Z27:Z31)</f>
        <v>0.21919559689260973</v>
      </c>
    </row>
    <row r="34" spans="2:26" ht="15" customHeight="1" x14ac:dyDescent="0.25">
      <c r="B34" s="621" t="s">
        <v>368</v>
      </c>
      <c r="C34" s="622"/>
      <c r="D34" s="622"/>
      <c r="E34" s="622"/>
      <c r="F34" s="622"/>
      <c r="G34" s="622"/>
      <c r="H34" s="622"/>
      <c r="I34" s="623">
        <f>MEDIAN(I27:I31)</f>
        <v>1.995996351009093</v>
      </c>
      <c r="J34" s="623">
        <f t="shared" ref="J34:K34" si="7">MEDIAN(J27:J31)</f>
        <v>2.1580802309328471</v>
      </c>
      <c r="K34" s="624">
        <f t="shared" si="7"/>
        <v>1.9056190072444323</v>
      </c>
      <c r="L34" s="623">
        <f>MEDIAN(L27:L31)</f>
        <v>12.957374449108423</v>
      </c>
      <c r="M34" s="623">
        <f t="shared" ref="M34:Q34" si="8">MEDIAN(M27:M31)</f>
        <v>13.369471486486486</v>
      </c>
      <c r="N34" s="624">
        <f t="shared" si="8"/>
        <v>11.274540056980056</v>
      </c>
      <c r="O34" s="623">
        <f t="shared" si="8"/>
        <v>15.991092199957166</v>
      </c>
      <c r="P34" s="623">
        <f t="shared" si="8"/>
        <v>15.748462148948263</v>
      </c>
      <c r="Q34" s="624">
        <f t="shared" si="8"/>
        <v>13.337286913818005</v>
      </c>
      <c r="R34" s="622"/>
      <c r="S34" s="625">
        <f t="shared" ref="S34:T34" si="9">MEDIAN(S27:S31)</f>
        <v>0.23484276191921147</v>
      </c>
      <c r="T34" s="623">
        <f t="shared" si="9"/>
        <v>0.19359010031940352</v>
      </c>
      <c r="U34" s="626"/>
      <c r="V34" s="623">
        <f t="shared" ref="V34:X34" si="10">MEDIAN(V27:V31)</f>
        <v>20.964264255080497</v>
      </c>
      <c r="W34" s="623">
        <f t="shared" si="10"/>
        <v>25.821606533259821</v>
      </c>
      <c r="X34" s="623">
        <f t="shared" si="10"/>
        <v>15.649168209999999</v>
      </c>
      <c r="Y34" s="626"/>
      <c r="Z34" s="625">
        <f>MEDIAN(Z27:Z31)</f>
        <v>0.20293984325145997</v>
      </c>
    </row>
    <row r="36" spans="2:26" s="558" customFormat="1" ht="15" customHeight="1" x14ac:dyDescent="0.25">
      <c r="B36" s="358" t="s">
        <v>380</v>
      </c>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2:26" ht="4.05" customHeight="1" x14ac:dyDescent="0.25">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2:26" ht="4.05" customHeight="1" x14ac:dyDescent="0.25">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2:26" ht="15" customHeight="1" x14ac:dyDescent="0.25">
      <c r="B39" s="24" t="s">
        <v>265</v>
      </c>
      <c r="C39" s="24" t="s">
        <v>381</v>
      </c>
      <c r="D39" s="610" t="s">
        <v>382</v>
      </c>
      <c r="E39" s="467">
        <v>0.97775030902348581</v>
      </c>
      <c r="F39" s="611">
        <v>287924935357500.06</v>
      </c>
      <c r="G39" s="611">
        <v>209022554.91599998</v>
      </c>
      <c r="H39" s="24"/>
      <c r="I39" s="612">
        <v>2.7071534056906277</v>
      </c>
      <c r="J39" s="612">
        <v>2.3402535994346043</v>
      </c>
      <c r="K39" s="613">
        <v>1.8978659106483982</v>
      </c>
      <c r="L39" s="612">
        <v>4.6634215190690149</v>
      </c>
      <c r="M39" s="612">
        <v>3.908227242555665</v>
      </c>
      <c r="N39" s="613">
        <v>3.0506407335395043</v>
      </c>
      <c r="O39" s="612">
        <v>6.5800490364117294</v>
      </c>
      <c r="P39" s="612">
        <v>5.3375497622097567</v>
      </c>
      <c r="Q39" s="613">
        <v>4.0600281385899688</v>
      </c>
      <c r="R39" s="24"/>
      <c r="S39" s="475">
        <v>0.58050797995011005</v>
      </c>
      <c r="T39" s="612">
        <v>0.54369116523785033</v>
      </c>
      <c r="U39" s="614"/>
      <c r="V39" s="612">
        <v>11.811780924143633</v>
      </c>
      <c r="W39" s="612">
        <v>9.6664487409191473</v>
      </c>
      <c r="X39" s="612">
        <v>7.674381804767922</v>
      </c>
      <c r="Y39" s="614"/>
      <c r="Z39" s="475">
        <v>0.40193663378181532</v>
      </c>
    </row>
    <row r="40" spans="2:26" ht="15" customHeight="1" x14ac:dyDescent="0.25">
      <c r="B40" s="24" t="s">
        <v>266</v>
      </c>
      <c r="C40" s="24" t="s">
        <v>383</v>
      </c>
      <c r="D40" s="610" t="s">
        <v>384</v>
      </c>
      <c r="E40" s="467">
        <v>0.95082980800520656</v>
      </c>
      <c r="F40" s="611">
        <v>1579355319782.48</v>
      </c>
      <c r="G40" s="611">
        <v>25900715.173000004</v>
      </c>
      <c r="H40" s="24"/>
      <c r="I40" s="612">
        <v>7.6151722627271017</v>
      </c>
      <c r="J40" s="612">
        <v>6.9958918800584096</v>
      </c>
      <c r="K40" s="613">
        <v>5.9399039390449291</v>
      </c>
      <c r="L40" s="612">
        <v>10.980655717102945</v>
      </c>
      <c r="M40" s="612">
        <v>10.252473462298742</v>
      </c>
      <c r="N40" s="613">
        <v>8.8403121794776602</v>
      </c>
      <c r="O40" s="612">
        <v>15.63151728453014</v>
      </c>
      <c r="P40" s="612">
        <v>14.549915993816535</v>
      </c>
      <c r="Q40" s="613">
        <v>12.491881425932055</v>
      </c>
      <c r="R40" s="24"/>
      <c r="S40" s="475">
        <v>0.69350797064569403</v>
      </c>
      <c r="T40" s="612">
        <v>0.42787285497091249</v>
      </c>
      <c r="U40" s="614"/>
      <c r="V40" s="612">
        <v>1.0614112146902293</v>
      </c>
      <c r="W40" s="612">
        <v>0.9962702729727142</v>
      </c>
      <c r="X40" s="612">
        <v>0.85305053138227238</v>
      </c>
      <c r="Y40" s="614"/>
      <c r="Z40" s="475">
        <v>0.15451709784004053</v>
      </c>
    </row>
    <row r="41" spans="2:26" ht="15" customHeight="1" x14ac:dyDescent="0.25">
      <c r="B41" s="24" t="s">
        <v>267</v>
      </c>
      <c r="C41" s="24" t="s">
        <v>385</v>
      </c>
      <c r="D41" s="610" t="s">
        <v>386</v>
      </c>
      <c r="E41" s="467">
        <v>0.98204658466370054</v>
      </c>
      <c r="F41" s="611">
        <v>4513239000000</v>
      </c>
      <c r="G41" s="611">
        <v>4178011.5</v>
      </c>
      <c r="H41" s="24"/>
      <c r="I41" s="612">
        <v>25.287871176264087</v>
      </c>
      <c r="J41" s="612">
        <v>32.235624690815712</v>
      </c>
      <c r="K41" s="613">
        <v>20.243348460914966</v>
      </c>
      <c r="L41" s="612">
        <v>42.097954556904632</v>
      </c>
      <c r="M41" s="612">
        <v>47.634476183833435</v>
      </c>
      <c r="N41" s="613">
        <v>32.215379282950103</v>
      </c>
      <c r="O41" s="612">
        <v>43.276172275566331</v>
      </c>
      <c r="P41" s="612">
        <v>48.649494870031127</v>
      </c>
      <c r="Q41" s="613">
        <v>32.188019593075452</v>
      </c>
      <c r="R41" s="24"/>
      <c r="S41" s="475">
        <v>0.60069120797976006</v>
      </c>
      <c r="T41" s="612">
        <v>0.10739438403777753</v>
      </c>
      <c r="U41" s="614"/>
      <c r="V41" s="612">
        <v>55.520693020374772</v>
      </c>
      <c r="W41" s="612">
        <v>63.940456620546172</v>
      </c>
      <c r="X41" s="612">
        <v>42.379468967887384</v>
      </c>
      <c r="Y41" s="614"/>
      <c r="Z41" s="475">
        <v>0.35454655375740018</v>
      </c>
    </row>
    <row r="42" spans="2:26" ht="15" customHeight="1" x14ac:dyDescent="0.25">
      <c r="B42" s="24" t="s">
        <v>268</v>
      </c>
      <c r="C42" s="24" t="s">
        <v>387</v>
      </c>
      <c r="D42" s="610" t="s">
        <v>388</v>
      </c>
      <c r="E42" s="467">
        <v>0.92904997254255905</v>
      </c>
      <c r="F42" s="611">
        <v>182761020000</v>
      </c>
      <c r="G42" s="611">
        <v>176634.36</v>
      </c>
      <c r="H42" s="24"/>
      <c r="I42" s="612">
        <v>4.0833705527429087</v>
      </c>
      <c r="J42" s="612">
        <v>4.045699610554049</v>
      </c>
      <c r="K42" s="613">
        <v>3.9613940676958208</v>
      </c>
      <c r="L42" s="612">
        <v>12.577211620620904</v>
      </c>
      <c r="M42" s="612">
        <v>10.457099893436496</v>
      </c>
      <c r="N42" s="613">
        <v>11.112651446306979</v>
      </c>
      <c r="O42" s="612">
        <v>14.274637142395344</v>
      </c>
      <c r="P42" s="612">
        <v>11.596363546838454</v>
      </c>
      <c r="Q42" s="613">
        <v>11.897032482095057</v>
      </c>
      <c r="R42" s="24"/>
      <c r="S42" s="475">
        <v>0.3246642161962226</v>
      </c>
      <c r="T42" s="612">
        <v>1.0803623611922852</v>
      </c>
      <c r="U42" s="614"/>
      <c r="V42" s="612">
        <v>16.275367603958067</v>
      </c>
      <c r="W42" s="612">
        <v>13.578253008997452</v>
      </c>
      <c r="X42" s="612">
        <v>13.677148330432072</v>
      </c>
      <c r="Y42" s="614"/>
      <c r="Z42" s="475">
        <v>2.401506868817882E-2</v>
      </c>
    </row>
    <row r="43" spans="2:26" ht="15" customHeight="1" x14ac:dyDescent="0.25">
      <c r="B43" s="24" t="s">
        <v>269</v>
      </c>
      <c r="C43" s="24" t="s">
        <v>389</v>
      </c>
      <c r="D43" s="610" t="s">
        <v>390</v>
      </c>
      <c r="E43" s="467">
        <v>0.72634963764120519</v>
      </c>
      <c r="F43" s="611">
        <v>337275603884.86993</v>
      </c>
      <c r="G43" s="611">
        <v>231278.82</v>
      </c>
      <c r="H43" s="24"/>
      <c r="I43" s="612">
        <v>7.8134736486486487</v>
      </c>
      <c r="J43" s="612">
        <v>7.0102585569976661</v>
      </c>
      <c r="K43" s="613">
        <v>5.5877150818875752</v>
      </c>
      <c r="L43" s="612">
        <v>40.739619517350718</v>
      </c>
      <c r="M43" s="612">
        <v>31.849628085437789</v>
      </c>
      <c r="N43" s="613">
        <v>20.377826401085567</v>
      </c>
      <c r="O43" s="612">
        <v>86.718717660292469</v>
      </c>
      <c r="P43" s="612">
        <v>32.33707744201898</v>
      </c>
      <c r="Q43" s="613">
        <v>20.952169715918192</v>
      </c>
      <c r="R43" s="24"/>
      <c r="S43" s="475">
        <v>0.19179054054054054</v>
      </c>
      <c r="T43" s="612">
        <v>0.73640325942770513</v>
      </c>
      <c r="U43" s="614"/>
      <c r="V43" s="612">
        <v>126.54691795897681</v>
      </c>
      <c r="W43" s="612">
        <v>59.018160809402858</v>
      </c>
      <c r="X43" s="612">
        <v>37.266659950055548</v>
      </c>
      <c r="Y43" s="614"/>
      <c r="Z43" s="475">
        <v>0.35890074074375122</v>
      </c>
    </row>
    <row r="44" spans="2:26" ht="15" customHeight="1" x14ac:dyDescent="0.25">
      <c r="B44" s="24"/>
      <c r="C44" s="24"/>
      <c r="D44" s="24"/>
      <c r="E44" s="24"/>
      <c r="F44" s="24"/>
      <c r="G44" s="24"/>
      <c r="H44" s="24"/>
      <c r="I44" s="24"/>
      <c r="J44" s="24"/>
      <c r="K44" s="627"/>
      <c r="L44" s="24"/>
      <c r="M44" s="24"/>
      <c r="N44" s="614"/>
      <c r="O44" s="24"/>
      <c r="P44" s="24"/>
      <c r="Q44" s="614"/>
      <c r="R44" s="24"/>
      <c r="S44" s="24"/>
      <c r="T44" s="24"/>
      <c r="U44" s="614"/>
      <c r="V44" s="24"/>
      <c r="W44" s="24"/>
      <c r="X44" s="24"/>
      <c r="Y44" s="614"/>
      <c r="Z44" s="24"/>
    </row>
    <row r="45" spans="2:26" ht="15" customHeight="1" x14ac:dyDescent="0.25">
      <c r="B45" s="615" t="s">
        <v>367</v>
      </c>
      <c r="C45" s="616"/>
      <c r="D45" s="616"/>
      <c r="E45" s="616"/>
      <c r="F45" s="616"/>
      <c r="G45" s="616"/>
      <c r="H45" s="616"/>
      <c r="I45" s="617">
        <f>AVERAGE(I39:I43)</f>
        <v>9.5014082092146737</v>
      </c>
      <c r="J45" s="617">
        <f t="shared" ref="J45:K45" si="11">AVERAGE(J39:J43)</f>
        <v>10.525545667572089</v>
      </c>
      <c r="K45" s="618">
        <f t="shared" si="11"/>
        <v>7.5260454920383371</v>
      </c>
      <c r="L45" s="617">
        <f>AVERAGE(L39:L43)</f>
        <v>22.211772586209641</v>
      </c>
      <c r="M45" s="617">
        <f t="shared" ref="M45:Q45" si="12">AVERAGE(M39:M43)</f>
        <v>20.820380973512425</v>
      </c>
      <c r="N45" s="618">
        <f t="shared" si="12"/>
        <v>15.119362008671962</v>
      </c>
      <c r="O45" s="617">
        <f t="shared" si="12"/>
        <v>33.296218679839207</v>
      </c>
      <c r="P45" s="617">
        <f t="shared" si="12"/>
        <v>22.49408032298297</v>
      </c>
      <c r="Q45" s="618">
        <f t="shared" si="12"/>
        <v>16.317826271122144</v>
      </c>
      <c r="R45" s="616"/>
      <c r="S45" s="619">
        <f>AVERAGE(S39:S43)</f>
        <v>0.4782323830624654</v>
      </c>
      <c r="T45" s="617">
        <f>AVERAGE(T39:T43)</f>
        <v>0.57914480497330612</v>
      </c>
      <c r="U45" s="620"/>
      <c r="V45" s="617">
        <f t="shared" ref="V45:X45" si="13">AVERAGE(V39:V43)</f>
        <v>42.243234144428698</v>
      </c>
      <c r="W45" s="617">
        <f t="shared" si="13"/>
        <v>29.439917890567664</v>
      </c>
      <c r="X45" s="617">
        <f t="shared" si="13"/>
        <v>20.370141916905038</v>
      </c>
      <c r="Y45" s="620"/>
      <c r="Z45" s="628">
        <f>AVERAGE(Z39:Z43)</f>
        <v>0.25878321896223722</v>
      </c>
    </row>
    <row r="46" spans="2:26" ht="15" customHeight="1" x14ac:dyDescent="0.25">
      <c r="B46" s="621" t="s">
        <v>368</v>
      </c>
      <c r="C46" s="622"/>
      <c r="D46" s="622"/>
      <c r="E46" s="622"/>
      <c r="F46" s="622"/>
      <c r="G46" s="622"/>
      <c r="H46" s="622"/>
      <c r="I46" s="623">
        <f>MEDIAN(I39:I43)</f>
        <v>7.6151722627271017</v>
      </c>
      <c r="J46" s="623">
        <f t="shared" ref="J46:K46" si="14">MEDIAN(J39:J43)</f>
        <v>6.9958918800584096</v>
      </c>
      <c r="K46" s="624">
        <f t="shared" si="14"/>
        <v>5.5877150818875752</v>
      </c>
      <c r="L46" s="623">
        <f>MEDIAN(L39:L43)</f>
        <v>12.577211620620904</v>
      </c>
      <c r="M46" s="623">
        <f t="shared" ref="M46:Q46" si="15">MEDIAN(M39:M43)</f>
        <v>10.457099893436496</v>
      </c>
      <c r="N46" s="624">
        <f t="shared" si="15"/>
        <v>11.112651446306979</v>
      </c>
      <c r="O46" s="623">
        <f t="shared" si="15"/>
        <v>15.63151728453014</v>
      </c>
      <c r="P46" s="623">
        <f t="shared" si="15"/>
        <v>14.549915993816535</v>
      </c>
      <c r="Q46" s="624">
        <f t="shared" si="15"/>
        <v>12.491881425932055</v>
      </c>
      <c r="R46" s="622"/>
      <c r="S46" s="625">
        <f t="shared" ref="S46:T46" si="16">MEDIAN(S39:S43)</f>
        <v>0.58050797995011005</v>
      </c>
      <c r="T46" s="623">
        <f t="shared" si="16"/>
        <v>0.54369116523785033</v>
      </c>
      <c r="U46" s="626"/>
      <c r="V46" s="623">
        <f t="shared" ref="V46:X46" si="17">MEDIAN(V39:V43)</f>
        <v>16.275367603958067</v>
      </c>
      <c r="W46" s="623">
        <f t="shared" si="17"/>
        <v>13.578253008997452</v>
      </c>
      <c r="X46" s="623">
        <f t="shared" si="17"/>
        <v>13.677148330432072</v>
      </c>
      <c r="Y46" s="626"/>
      <c r="Z46" s="629">
        <f>MEDIAN(Z39:Z43)</f>
        <v>0.35454655375740018</v>
      </c>
    </row>
    <row r="47" spans="2:26" ht="15" customHeight="1" x14ac:dyDescent="0.25">
      <c r="B47" s="24"/>
      <c r="C47" s="24"/>
      <c r="D47" s="24"/>
      <c r="E47" s="24"/>
      <c r="F47" s="24"/>
      <c r="G47" s="24"/>
      <c r="H47" s="24"/>
      <c r="I47" s="24"/>
      <c r="J47" s="630"/>
      <c r="K47" s="24"/>
      <c r="L47" s="24"/>
      <c r="M47" s="24"/>
      <c r="N47" s="24"/>
      <c r="O47" s="24"/>
      <c r="P47" s="24"/>
      <c r="Q47" s="24"/>
      <c r="R47" s="24"/>
      <c r="S47" s="24"/>
      <c r="T47" s="24"/>
      <c r="U47" s="24"/>
      <c r="V47" s="24"/>
      <c r="W47" s="24"/>
      <c r="X47" s="24"/>
      <c r="Y47" s="24"/>
      <c r="Z47" s="24"/>
    </row>
    <row r="48" spans="2:26" s="558" customFormat="1" ht="15" customHeight="1" x14ac:dyDescent="0.25">
      <c r="B48" s="358" t="s">
        <v>391</v>
      </c>
      <c r="C48" s="33"/>
      <c r="D48" s="33"/>
      <c r="E48" s="33"/>
      <c r="F48" s="33"/>
      <c r="G48" s="33"/>
      <c r="H48" s="33"/>
      <c r="I48" s="33"/>
      <c r="J48" s="631"/>
      <c r="K48" s="33"/>
      <c r="L48" s="33"/>
      <c r="M48" s="33"/>
      <c r="N48" s="33"/>
      <c r="O48" s="33"/>
      <c r="P48" s="33"/>
      <c r="Q48" s="33"/>
      <c r="R48" s="33"/>
      <c r="S48" s="33"/>
      <c r="T48" s="33"/>
      <c r="U48" s="33"/>
      <c r="V48" s="33"/>
      <c r="W48" s="33"/>
      <c r="X48" s="33"/>
      <c r="Y48" s="33"/>
      <c r="Z48" s="33"/>
    </row>
    <row r="49" spans="2:26" ht="4.05" customHeight="1" x14ac:dyDescent="0.25">
      <c r="B49" s="37"/>
      <c r="C49" s="37"/>
      <c r="D49" s="37"/>
      <c r="E49" s="37"/>
      <c r="F49" s="37"/>
      <c r="G49" s="37"/>
      <c r="H49" s="37"/>
      <c r="I49" s="37"/>
      <c r="J49" s="632"/>
      <c r="K49" s="37"/>
      <c r="L49" s="37"/>
      <c r="M49" s="37"/>
      <c r="N49" s="37"/>
      <c r="O49" s="37"/>
      <c r="P49" s="37"/>
      <c r="Q49" s="37"/>
      <c r="R49" s="37"/>
      <c r="S49" s="37"/>
      <c r="T49" s="37"/>
      <c r="U49" s="37"/>
      <c r="V49" s="37"/>
      <c r="W49" s="37"/>
      <c r="X49" s="37"/>
      <c r="Y49" s="37"/>
      <c r="Z49" s="37"/>
    </row>
    <row r="50" spans="2:26" ht="15" customHeight="1" x14ac:dyDescent="0.25">
      <c r="B50" s="24"/>
      <c r="C50" s="24"/>
      <c r="D50" s="24"/>
      <c r="E50" s="24"/>
      <c r="F50" s="24"/>
      <c r="G50" s="24"/>
      <c r="H50" s="24"/>
      <c r="I50" s="24"/>
      <c r="J50" s="630"/>
      <c r="K50" s="24"/>
      <c r="L50" s="24"/>
      <c r="M50" s="24"/>
      <c r="N50" s="24"/>
      <c r="O50" s="24"/>
      <c r="P50" s="24"/>
      <c r="Q50" s="24"/>
      <c r="R50" s="24"/>
      <c r="S50" s="24"/>
      <c r="T50" s="24"/>
      <c r="U50" s="24"/>
      <c r="V50" s="24"/>
      <c r="W50" s="24"/>
      <c r="X50" s="24"/>
      <c r="Y50" s="24"/>
      <c r="Z50" s="24"/>
    </row>
    <row r="51" spans="2:26" ht="15" customHeight="1" x14ac:dyDescent="0.25">
      <c r="B51" s="615" t="s">
        <v>367</v>
      </c>
      <c r="C51" s="616"/>
      <c r="D51" s="616"/>
      <c r="E51" s="616"/>
      <c r="F51" s="616"/>
      <c r="G51" s="616"/>
      <c r="H51" s="616"/>
      <c r="I51" s="617">
        <f>AVERAGE(I39:I43,I27:I32,I15:I19)</f>
        <v>6.649633963552799</v>
      </c>
      <c r="J51" s="617">
        <f t="shared" ref="J51:Z51" si="18">AVERAGE(J39:J43,J27:J32,J15:J19)</f>
        <v>6.8360736564346229</v>
      </c>
      <c r="K51" s="618">
        <f t="shared" si="18"/>
        <v>5.4557062259802782</v>
      </c>
      <c r="L51" s="617">
        <f t="shared" si="18"/>
        <v>23.629968399116184</v>
      </c>
      <c r="M51" s="617">
        <f t="shared" si="18"/>
        <v>24.503485417617512</v>
      </c>
      <c r="N51" s="618">
        <f t="shared" si="18"/>
        <v>19.195422728858905</v>
      </c>
      <c r="O51" s="617">
        <f t="shared" si="18"/>
        <v>32.68140729619742</v>
      </c>
      <c r="P51" s="617">
        <f t="shared" si="18"/>
        <v>25.113611550201238</v>
      </c>
      <c r="Q51" s="617">
        <f t="shared" si="18"/>
        <v>19.074612684127104</v>
      </c>
      <c r="R51" s="616"/>
      <c r="S51" s="619">
        <f t="shared" si="18"/>
        <v>0.32442666880457954</v>
      </c>
      <c r="T51" s="617">
        <f t="shared" si="18"/>
        <v>0.94711414805653893</v>
      </c>
      <c r="U51" s="620"/>
      <c r="V51" s="617">
        <f t="shared" si="18"/>
        <v>47.675095877008062</v>
      </c>
      <c r="W51" s="617">
        <f t="shared" si="18"/>
        <v>33.899997706037077</v>
      </c>
      <c r="X51" s="617">
        <f t="shared" si="18"/>
        <v>25.405489424846685</v>
      </c>
      <c r="Y51" s="620"/>
      <c r="Z51" s="628">
        <f t="shared" si="18"/>
        <v>0.14274135162278642</v>
      </c>
    </row>
    <row r="52" spans="2:26" ht="15" customHeight="1" x14ac:dyDescent="0.25">
      <c r="B52" s="621" t="s">
        <v>368</v>
      </c>
      <c r="C52" s="622"/>
      <c r="D52" s="622"/>
      <c r="E52" s="622"/>
      <c r="F52" s="622"/>
      <c r="G52" s="622"/>
      <c r="H52" s="622"/>
      <c r="I52" s="623">
        <f>MEDIAN(I39:I43,I27:I31,I15:I19)</f>
        <v>5.1634896725264738</v>
      </c>
      <c r="J52" s="623">
        <f t="shared" ref="J52:Z52" si="19">MEDIAN(J39:J43,J27:J31,J15:J19)</f>
        <v>5.2298900661670267</v>
      </c>
      <c r="K52" s="624">
        <f t="shared" si="19"/>
        <v>5.0283569552294773</v>
      </c>
      <c r="L52" s="623">
        <f t="shared" si="19"/>
        <v>17.977609980009706</v>
      </c>
      <c r="M52" s="623">
        <f t="shared" si="19"/>
        <v>18.061304462742712</v>
      </c>
      <c r="N52" s="624">
        <f t="shared" si="19"/>
        <v>16.277123655749449</v>
      </c>
      <c r="O52" s="623">
        <f t="shared" si="19"/>
        <v>20.47374857892958</v>
      </c>
      <c r="P52" s="623">
        <f t="shared" si="19"/>
        <v>20.7712722328497</v>
      </c>
      <c r="Q52" s="623">
        <f t="shared" si="19"/>
        <v>18.769509736629004</v>
      </c>
      <c r="R52" s="622"/>
      <c r="S52" s="625">
        <f t="shared" si="19"/>
        <v>0.29470074385851153</v>
      </c>
      <c r="T52" s="623">
        <f t="shared" si="19"/>
        <v>0.42787285497091249</v>
      </c>
      <c r="U52" s="626"/>
      <c r="V52" s="623">
        <f t="shared" si="19"/>
        <v>25.718893637621019</v>
      </c>
      <c r="W52" s="623">
        <f t="shared" si="19"/>
        <v>25.948484203461106</v>
      </c>
      <c r="X52" s="623">
        <f t="shared" si="19"/>
        <v>22.584847186804332</v>
      </c>
      <c r="Y52" s="626"/>
      <c r="Z52" s="629">
        <f t="shared" si="19"/>
        <v>0.19185014789609656</v>
      </c>
    </row>
    <row r="53" spans="2:26" ht="15" customHeight="1" x14ac:dyDescent="0.25">
      <c r="B53" s="24"/>
      <c r="C53" s="24"/>
      <c r="D53" s="24"/>
      <c r="E53" s="24"/>
      <c r="F53" s="24"/>
      <c r="G53" s="24"/>
      <c r="H53" s="24"/>
      <c r="I53" s="24"/>
      <c r="J53" s="630"/>
      <c r="K53" s="24"/>
      <c r="L53" s="24"/>
      <c r="M53" s="24"/>
      <c r="N53" s="24"/>
      <c r="O53" s="24"/>
      <c r="P53" s="24"/>
      <c r="Q53" s="24"/>
      <c r="R53" s="24"/>
      <c r="S53" s="24"/>
      <c r="T53" s="24"/>
      <c r="U53" s="24"/>
      <c r="V53" s="24"/>
      <c r="W53" s="24"/>
      <c r="X53" s="24"/>
      <c r="Y53" s="24"/>
      <c r="Z53" s="24"/>
    </row>
    <row r="54" spans="2:26" ht="15" customHeight="1" x14ac:dyDescent="0.25">
      <c r="B54" s="615" t="s">
        <v>349</v>
      </c>
      <c r="C54" s="616"/>
      <c r="D54" s="616"/>
      <c r="E54" s="616"/>
      <c r="F54" s="616"/>
      <c r="G54" s="616"/>
      <c r="H54" s="616"/>
      <c r="I54" s="617">
        <f>MAX(I39:I43,I27:I31,I15:I19)</f>
        <v>25.287871176264087</v>
      </c>
      <c r="J54" s="617">
        <f t="shared" ref="J54:Z54" si="20">MAX(J39:J43,J27:J31,J15:J19)</f>
        <v>32.235624690815712</v>
      </c>
      <c r="K54" s="618">
        <f t="shared" si="20"/>
        <v>20.243348460914966</v>
      </c>
      <c r="L54" s="617">
        <f t="shared" si="20"/>
        <v>90.537005162901636</v>
      </c>
      <c r="M54" s="617">
        <f t="shared" si="20"/>
        <v>112.54485775053166</v>
      </c>
      <c r="N54" s="618">
        <f t="shared" si="20"/>
        <v>79.384319306178583</v>
      </c>
      <c r="O54" s="617">
        <f t="shared" si="20"/>
        <v>130.83757230783414</v>
      </c>
      <c r="P54" s="617">
        <f t="shared" si="20"/>
        <v>82.446622424814549</v>
      </c>
      <c r="Q54" s="617">
        <f t="shared" si="20"/>
        <v>51.860964549066736</v>
      </c>
      <c r="R54" s="616">
        <f t="shared" si="20"/>
        <v>0</v>
      </c>
      <c r="S54" s="619">
        <f t="shared" si="20"/>
        <v>0.69350797064569403</v>
      </c>
      <c r="T54" s="617">
        <f t="shared" si="20"/>
        <v>6.0600553766175054</v>
      </c>
      <c r="U54" s="620"/>
      <c r="V54" s="617">
        <f t="shared" si="20"/>
        <v>245.25830421715585</v>
      </c>
      <c r="W54" s="617">
        <f t="shared" si="20"/>
        <v>118.83208730920636</v>
      </c>
      <c r="X54" s="617">
        <f t="shared" si="20"/>
        <v>75.735169453515439</v>
      </c>
      <c r="Y54" s="620"/>
      <c r="Z54" s="628">
        <f t="shared" si="20"/>
        <v>0.40193663378181532</v>
      </c>
    </row>
    <row r="55" spans="2:26" ht="15" customHeight="1" x14ac:dyDescent="0.25">
      <c r="B55" s="621" t="s">
        <v>392</v>
      </c>
      <c r="C55" s="622"/>
      <c r="D55" s="622"/>
      <c r="E55" s="622"/>
      <c r="F55" s="622"/>
      <c r="G55" s="622"/>
      <c r="H55" s="622"/>
      <c r="I55" s="623">
        <f>MIN(I39:I43,I27:I31,I15:I19)</f>
        <v>0.89346641455749187</v>
      </c>
      <c r="J55" s="623">
        <f t="shared" ref="J55:Z55" si="21">MIN(J39:J43,J27:J31,J15:J19)</f>
        <v>0.89346641455749187</v>
      </c>
      <c r="K55" s="624">
        <f t="shared" si="21"/>
        <v>0.78169168419143809</v>
      </c>
      <c r="L55" s="623">
        <f t="shared" si="21"/>
        <v>3.8045303472663732</v>
      </c>
      <c r="M55" s="623">
        <f t="shared" si="21"/>
        <v>3.5398445676134709</v>
      </c>
      <c r="N55" s="624">
        <f t="shared" si="21"/>
        <v>2.7590312491037583</v>
      </c>
      <c r="O55" s="623">
        <f t="shared" si="21"/>
        <v>6.5800490364117294</v>
      </c>
      <c r="P55" s="623">
        <f t="shared" si="21"/>
        <v>5.3375497622097567</v>
      </c>
      <c r="Q55" s="623">
        <f t="shared" si="21"/>
        <v>4.0600281385899688</v>
      </c>
      <c r="R55" s="622">
        <f t="shared" si="21"/>
        <v>0</v>
      </c>
      <c r="S55" s="625">
        <f t="shared" si="21"/>
        <v>9.5872008777363224E-2</v>
      </c>
      <c r="T55" s="623">
        <f t="shared" si="21"/>
        <v>-0.8614249219415272</v>
      </c>
      <c r="U55" s="626"/>
      <c r="V55" s="623">
        <f t="shared" si="21"/>
        <v>1.0614112146902293</v>
      </c>
      <c r="W55" s="623">
        <f t="shared" si="21"/>
        <v>0.9962702729727142</v>
      </c>
      <c r="X55" s="623">
        <f t="shared" si="21"/>
        <v>0.85305053138227238</v>
      </c>
      <c r="Y55" s="626"/>
      <c r="Z55" s="629">
        <f t="shared" si="21"/>
        <v>-0.69310000000000005</v>
      </c>
    </row>
  </sheetData>
  <mergeCells count="2">
    <mergeCell ref="I7:Q7"/>
    <mergeCell ref="V7:X7"/>
  </mergeCells>
  <conditionalFormatting sqref="I15:I16 I39:I43 I27:I31">
    <cfRule type="colorScale" priority="48">
      <colorScale>
        <cfvo type="min"/>
        <cfvo type="percentile" val="50"/>
        <cfvo type="max"/>
        <color rgb="FF8DEB91"/>
        <color theme="0"/>
        <color theme="4" tint="0.79998168889431442"/>
      </colorScale>
    </cfRule>
  </conditionalFormatting>
  <conditionalFormatting sqref="I17">
    <cfRule type="colorScale" priority="10">
      <colorScale>
        <cfvo type="min"/>
        <cfvo type="percentile" val="50"/>
        <cfvo type="max"/>
        <color rgb="FF8DEB91"/>
        <color theme="0"/>
        <color theme="4" tint="0.79998168889431442"/>
      </colorScale>
    </cfRule>
  </conditionalFormatting>
  <conditionalFormatting sqref="I18:I19">
    <cfRule type="colorScale" priority="25">
      <colorScale>
        <cfvo type="min"/>
        <cfvo type="percentile" val="50"/>
        <cfvo type="max"/>
        <color rgb="FF8DEB91"/>
        <color theme="0"/>
        <color theme="4" tint="0.79998168889431442"/>
      </colorScale>
    </cfRule>
  </conditionalFormatting>
  <conditionalFormatting sqref="J15:J16 J39:J43 J27:J31">
    <cfRule type="colorScale" priority="39">
      <colorScale>
        <cfvo type="min"/>
        <cfvo type="percentile" val="50"/>
        <cfvo type="max"/>
        <color rgb="FF8DEB91"/>
        <color theme="0"/>
        <color theme="4" tint="0.79998168889431442"/>
      </colorScale>
    </cfRule>
  </conditionalFormatting>
  <conditionalFormatting sqref="J17">
    <cfRule type="colorScale" priority="9">
      <colorScale>
        <cfvo type="min"/>
        <cfvo type="percentile" val="50"/>
        <cfvo type="max"/>
        <color rgb="FF8DEB91"/>
        <color theme="0"/>
        <color theme="4" tint="0.79998168889431442"/>
      </colorScale>
    </cfRule>
  </conditionalFormatting>
  <conditionalFormatting sqref="J18:J19">
    <cfRule type="colorScale" priority="24">
      <colorScale>
        <cfvo type="min"/>
        <cfvo type="percentile" val="50"/>
        <cfvo type="max"/>
        <color rgb="FF8DEB91"/>
        <color theme="0"/>
        <color theme="4" tint="0.79998168889431442"/>
      </colorScale>
    </cfRule>
  </conditionalFormatting>
  <conditionalFormatting sqref="K15:K16 K39:K43 K27:K31">
    <cfRule type="colorScale" priority="38">
      <colorScale>
        <cfvo type="min"/>
        <cfvo type="percentile" val="50"/>
        <cfvo type="max"/>
        <color rgb="FF8DEB91"/>
        <color theme="0"/>
        <color theme="4" tint="0.79998168889431442"/>
      </colorScale>
    </cfRule>
  </conditionalFormatting>
  <conditionalFormatting sqref="K17">
    <cfRule type="colorScale" priority="8">
      <colorScale>
        <cfvo type="min"/>
        <cfvo type="percentile" val="50"/>
        <cfvo type="max"/>
        <color rgb="FF8DEB91"/>
        <color theme="0"/>
        <color theme="4" tint="0.79998168889431442"/>
      </colorScale>
    </cfRule>
  </conditionalFormatting>
  <conditionalFormatting sqref="K18:K19">
    <cfRule type="colorScale" priority="23">
      <colorScale>
        <cfvo type="min"/>
        <cfvo type="percentile" val="50"/>
        <cfvo type="max"/>
        <color rgb="FF8DEB91"/>
        <color theme="0"/>
        <color theme="4" tint="0.79998168889431442"/>
      </colorScale>
    </cfRule>
  </conditionalFormatting>
  <conditionalFormatting sqref="L15:L16 L39:L43 L27:L31">
    <cfRule type="colorScale" priority="37">
      <colorScale>
        <cfvo type="min"/>
        <cfvo type="percentile" val="50"/>
        <cfvo type="max"/>
        <color rgb="FF8DEB91"/>
        <color theme="0"/>
        <color theme="4" tint="0.79998168889431442"/>
      </colorScale>
    </cfRule>
  </conditionalFormatting>
  <conditionalFormatting sqref="L17">
    <cfRule type="colorScale" priority="7">
      <colorScale>
        <cfvo type="min"/>
        <cfvo type="percentile" val="50"/>
        <cfvo type="max"/>
        <color rgb="FF8DEB91"/>
        <color theme="0"/>
        <color theme="4" tint="0.79998168889431442"/>
      </colorScale>
    </cfRule>
  </conditionalFormatting>
  <conditionalFormatting sqref="L18:L19">
    <cfRule type="colorScale" priority="22">
      <colorScale>
        <cfvo type="min"/>
        <cfvo type="percentile" val="50"/>
        <cfvo type="max"/>
        <color rgb="FF8DEB91"/>
        <color theme="0"/>
        <color theme="4" tint="0.79998168889431442"/>
      </colorScale>
    </cfRule>
  </conditionalFormatting>
  <conditionalFormatting sqref="M15:M16 M39:M43 M27:M31">
    <cfRule type="colorScale" priority="36">
      <colorScale>
        <cfvo type="min"/>
        <cfvo type="percentile" val="50"/>
        <cfvo type="max"/>
        <color rgb="FF8DEB91"/>
        <color theme="0"/>
        <color theme="4" tint="0.79998168889431442"/>
      </colorScale>
    </cfRule>
  </conditionalFormatting>
  <conditionalFormatting sqref="M17">
    <cfRule type="colorScale" priority="6">
      <colorScale>
        <cfvo type="min"/>
        <cfvo type="percentile" val="50"/>
        <cfvo type="max"/>
        <color rgb="FF8DEB91"/>
        <color theme="0"/>
        <color theme="4" tint="0.79998168889431442"/>
      </colorScale>
    </cfRule>
  </conditionalFormatting>
  <conditionalFormatting sqref="M18:M19">
    <cfRule type="colorScale" priority="21">
      <colorScale>
        <cfvo type="min"/>
        <cfvo type="percentile" val="50"/>
        <cfvo type="max"/>
        <color rgb="FF8DEB91"/>
        <color theme="0"/>
        <color theme="4" tint="0.79998168889431442"/>
      </colorScale>
    </cfRule>
  </conditionalFormatting>
  <conditionalFormatting sqref="N15:N16 N39:N43 N27:N31">
    <cfRule type="colorScale" priority="35">
      <colorScale>
        <cfvo type="min"/>
        <cfvo type="percentile" val="50"/>
        <cfvo type="max"/>
        <color rgb="FF8DEB91"/>
        <color theme="0"/>
        <color theme="4" tint="0.79998168889431442"/>
      </colorScale>
    </cfRule>
  </conditionalFormatting>
  <conditionalFormatting sqref="N17">
    <cfRule type="colorScale" priority="5">
      <colorScale>
        <cfvo type="min"/>
        <cfvo type="percentile" val="50"/>
        <cfvo type="max"/>
        <color rgb="FF8DEB91"/>
        <color theme="0"/>
        <color theme="4" tint="0.79998168889431442"/>
      </colorScale>
    </cfRule>
  </conditionalFormatting>
  <conditionalFormatting sqref="N18:N19">
    <cfRule type="colorScale" priority="20">
      <colorScale>
        <cfvo type="min"/>
        <cfvo type="percentile" val="50"/>
        <cfvo type="max"/>
        <color rgb="FF8DEB91"/>
        <color theme="0"/>
        <color theme="4" tint="0.79998168889431442"/>
      </colorScale>
    </cfRule>
  </conditionalFormatting>
  <conditionalFormatting sqref="O15:O16 O39:O43 O27:O31">
    <cfRule type="colorScale" priority="34">
      <colorScale>
        <cfvo type="min"/>
        <cfvo type="percentile" val="50"/>
        <cfvo type="max"/>
        <color rgb="FF8DEB91"/>
        <color theme="0"/>
        <color theme="4" tint="0.79998168889431442"/>
      </colorScale>
    </cfRule>
  </conditionalFormatting>
  <conditionalFormatting sqref="O17">
    <cfRule type="colorScale" priority="4">
      <colorScale>
        <cfvo type="min"/>
        <cfvo type="percentile" val="50"/>
        <cfvo type="max"/>
        <color rgb="FF8DEB91"/>
        <color theme="0"/>
        <color theme="4" tint="0.79998168889431442"/>
      </colorScale>
    </cfRule>
  </conditionalFormatting>
  <conditionalFormatting sqref="O18:O19">
    <cfRule type="colorScale" priority="19">
      <colorScale>
        <cfvo type="min"/>
        <cfvo type="percentile" val="50"/>
        <cfvo type="max"/>
        <color rgb="FF8DEB91"/>
        <color theme="0"/>
        <color theme="4" tint="0.79998168889431442"/>
      </colorScale>
    </cfRule>
  </conditionalFormatting>
  <conditionalFormatting sqref="P15:P16 P39:P43 P27:P31">
    <cfRule type="colorScale" priority="33">
      <colorScale>
        <cfvo type="min"/>
        <cfvo type="percentile" val="50"/>
        <cfvo type="max"/>
        <color rgb="FF8DEB91"/>
        <color theme="0"/>
        <color theme="4" tint="0.79998168889431442"/>
      </colorScale>
    </cfRule>
  </conditionalFormatting>
  <conditionalFormatting sqref="P17">
    <cfRule type="colorScale" priority="3">
      <colorScale>
        <cfvo type="min"/>
        <cfvo type="percentile" val="50"/>
        <cfvo type="max"/>
        <color rgb="FF8DEB91"/>
        <color theme="0"/>
        <color theme="4" tint="0.79998168889431442"/>
      </colorScale>
    </cfRule>
  </conditionalFormatting>
  <conditionalFormatting sqref="P18:P19">
    <cfRule type="colorScale" priority="18">
      <colorScale>
        <cfvo type="min"/>
        <cfvo type="percentile" val="50"/>
        <cfvo type="max"/>
        <color rgb="FF8DEB91"/>
        <color theme="0"/>
        <color theme="4" tint="0.79998168889431442"/>
      </colorScale>
    </cfRule>
  </conditionalFormatting>
  <conditionalFormatting sqref="Q15:Q16 Q39:Q43 Q27:Q31">
    <cfRule type="colorScale" priority="32">
      <colorScale>
        <cfvo type="min"/>
        <cfvo type="percentile" val="50"/>
        <cfvo type="max"/>
        <color rgb="FF8DEB91"/>
        <color theme="0"/>
        <color theme="4" tint="0.79998168889431442"/>
      </colorScale>
    </cfRule>
  </conditionalFormatting>
  <conditionalFormatting sqref="Q17">
    <cfRule type="colorScale" priority="2">
      <colorScale>
        <cfvo type="min"/>
        <cfvo type="percentile" val="50"/>
        <cfvo type="max"/>
        <color rgb="FF8DEB91"/>
        <color theme="0"/>
        <color theme="4" tint="0.79998168889431442"/>
      </colorScale>
    </cfRule>
  </conditionalFormatting>
  <conditionalFormatting sqref="Q18:Q19">
    <cfRule type="colorScale" priority="17">
      <colorScale>
        <cfvo type="min"/>
        <cfvo type="percentile" val="50"/>
        <cfvo type="max"/>
        <color rgb="FF8DEB91"/>
        <color theme="0"/>
        <color theme="4" tint="0.79998168889431442"/>
      </colorScale>
    </cfRule>
  </conditionalFormatting>
  <conditionalFormatting sqref="S15:S16 S39:S43 S27:S31">
    <cfRule type="colorScale" priority="27">
      <colorScale>
        <cfvo type="min"/>
        <cfvo type="percentile" val="50"/>
        <cfvo type="max"/>
        <color theme="4" tint="0.79998168889431442"/>
        <color theme="0"/>
        <color rgb="FF8DEB91"/>
      </colorScale>
    </cfRule>
  </conditionalFormatting>
  <conditionalFormatting sqref="S17">
    <cfRule type="colorScale" priority="1">
      <colorScale>
        <cfvo type="min"/>
        <cfvo type="percentile" val="50"/>
        <cfvo type="max"/>
        <color theme="4" tint="0.79998168889431442"/>
        <color theme="0"/>
        <color rgb="FF8DEB91"/>
      </colorScale>
    </cfRule>
  </conditionalFormatting>
  <conditionalFormatting sqref="S18:S19">
    <cfRule type="colorScale" priority="12">
      <colorScale>
        <cfvo type="min"/>
        <cfvo type="percentile" val="50"/>
        <cfvo type="max"/>
        <color theme="4" tint="0.79998168889431442"/>
        <color theme="0"/>
        <color rgb="FF8DEB91"/>
      </colorScale>
    </cfRule>
  </conditionalFormatting>
  <conditionalFormatting sqref="T15:T17 T39:T43 T27:T31">
    <cfRule type="colorScale" priority="31">
      <colorScale>
        <cfvo type="min"/>
        <cfvo type="percentile" val="50"/>
        <cfvo type="max"/>
        <color rgb="FF8DEB91"/>
        <color theme="0"/>
        <color theme="4" tint="0.79998168889431442"/>
      </colorScale>
    </cfRule>
  </conditionalFormatting>
  <conditionalFormatting sqref="T18:T19">
    <cfRule type="colorScale" priority="16">
      <colorScale>
        <cfvo type="min"/>
        <cfvo type="percentile" val="50"/>
        <cfvo type="max"/>
        <color rgb="FF8DEB91"/>
        <color theme="0"/>
        <color theme="4" tint="0.79998168889431442"/>
      </colorScale>
    </cfRule>
  </conditionalFormatting>
  <conditionalFormatting sqref="V15:V17 V39:V43 V27:V31">
    <cfRule type="colorScale" priority="30">
      <colorScale>
        <cfvo type="min"/>
        <cfvo type="percentile" val="50"/>
        <cfvo type="max"/>
        <color rgb="FF8DEB91"/>
        <color theme="0"/>
        <color theme="4" tint="0.79998168889431442"/>
      </colorScale>
    </cfRule>
  </conditionalFormatting>
  <conditionalFormatting sqref="V18:V19">
    <cfRule type="colorScale" priority="15">
      <colorScale>
        <cfvo type="min"/>
        <cfvo type="percentile" val="50"/>
        <cfvo type="max"/>
        <color rgb="FF8DEB91"/>
        <color theme="0"/>
        <color theme="4" tint="0.79998168889431442"/>
      </colorScale>
    </cfRule>
  </conditionalFormatting>
  <conditionalFormatting sqref="W15:W17 W39:W43 W27:W31">
    <cfRule type="colorScale" priority="29">
      <colorScale>
        <cfvo type="min"/>
        <cfvo type="percentile" val="50"/>
        <cfvo type="max"/>
        <color rgb="FF8DEB91"/>
        <color theme="0"/>
        <color theme="4" tint="0.79998168889431442"/>
      </colorScale>
    </cfRule>
  </conditionalFormatting>
  <conditionalFormatting sqref="W18:W19">
    <cfRule type="colorScale" priority="14">
      <colorScale>
        <cfvo type="min"/>
        <cfvo type="percentile" val="50"/>
        <cfvo type="max"/>
        <color rgb="FF8DEB91"/>
        <color theme="0"/>
        <color theme="4" tint="0.79998168889431442"/>
      </colorScale>
    </cfRule>
  </conditionalFormatting>
  <conditionalFormatting sqref="X15:X17 X39:X43 X27:X31">
    <cfRule type="colorScale" priority="28">
      <colorScale>
        <cfvo type="min"/>
        <cfvo type="percentile" val="50"/>
        <cfvo type="max"/>
        <color rgb="FF8DEB91"/>
        <color theme="0"/>
        <color theme="4" tint="0.79998168889431442"/>
      </colorScale>
    </cfRule>
  </conditionalFormatting>
  <conditionalFormatting sqref="X18:X19">
    <cfRule type="colorScale" priority="13">
      <colorScale>
        <cfvo type="min"/>
        <cfvo type="percentile" val="50"/>
        <cfvo type="max"/>
        <color rgb="FF8DEB91"/>
        <color theme="0"/>
        <color theme="4" tint="0.79998168889431442"/>
      </colorScale>
    </cfRule>
  </conditionalFormatting>
  <conditionalFormatting sqref="Z15:Z17 Z27:Z31 Z39:Z43">
    <cfRule type="colorScale" priority="26">
      <colorScale>
        <cfvo type="min"/>
        <cfvo type="percentile" val="50"/>
        <cfvo type="max"/>
        <color theme="4" tint="0.79998168889431442"/>
        <color theme="0"/>
        <color rgb="FF8DEB91"/>
      </colorScale>
    </cfRule>
  </conditionalFormatting>
  <conditionalFormatting sqref="Z18:Z19">
    <cfRule type="colorScale" priority="1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zoomScale="86" zoomScaleNormal="86" workbookViewId="0">
      <selection activeCell="L45" sqref="L45"/>
    </sheetView>
  </sheetViews>
  <sheetFormatPr defaultColWidth="8.796875" defaultRowHeight="15" customHeight="1" x14ac:dyDescent="0.25"/>
  <cols>
    <col min="1" max="1" width="2" style="557" customWidth="1"/>
    <col min="2" max="2" width="34.5" style="557" customWidth="1"/>
    <col min="3" max="3" width="3.5" style="557" customWidth="1"/>
    <col min="4" max="8" width="11.5" style="557" customWidth="1"/>
    <col min="9" max="9" width="1.5" style="557" customWidth="1"/>
    <col min="10" max="10" width="9" style="557" customWidth="1"/>
    <col min="11" max="11" width="40.5" style="557" customWidth="1"/>
    <col min="12" max="18" width="9" style="557" customWidth="1"/>
    <col min="19" max="16384" width="8.796875" style="557"/>
  </cols>
  <sheetData>
    <row r="1" spans="1:18" s="569" customFormat="1" ht="15" customHeight="1" x14ac:dyDescent="0.25"/>
    <row r="2" spans="1:18" s="569" customFormat="1" ht="15" customHeight="1" x14ac:dyDescent="0.25"/>
    <row r="3" spans="1:18" s="569" customFormat="1" ht="15" customHeight="1" x14ac:dyDescent="0.25"/>
    <row r="4" spans="1:18" s="569" customFormat="1" ht="15" customHeight="1" x14ac:dyDescent="0.25"/>
    <row r="5" spans="1:18" s="555" customFormat="1" ht="4.05" customHeight="1" x14ac:dyDescent="0.25">
      <c r="A5" s="37"/>
      <c r="B5" s="37"/>
      <c r="C5" s="37"/>
      <c r="D5" s="37"/>
      <c r="E5" s="37"/>
      <c r="F5" s="37"/>
      <c r="G5" s="37"/>
      <c r="H5" s="37"/>
      <c r="I5" s="37"/>
      <c r="J5" s="37"/>
      <c r="K5" s="37"/>
      <c r="L5" s="37"/>
      <c r="M5" s="37"/>
      <c r="N5" s="37"/>
      <c r="O5" s="37"/>
      <c r="P5" s="37"/>
      <c r="Q5" s="37"/>
      <c r="R5" s="37"/>
    </row>
    <row r="7" spans="1:18" ht="15" customHeight="1" x14ac:dyDescent="0.25">
      <c r="A7" s="605" t="s">
        <v>38</v>
      </c>
      <c r="B7" s="358" t="s">
        <v>393</v>
      </c>
      <c r="C7" s="33"/>
      <c r="D7" s="33"/>
      <c r="E7" s="33"/>
      <c r="F7" s="33"/>
      <c r="G7" s="33"/>
      <c r="H7" s="33"/>
      <c r="I7" s="33"/>
      <c r="J7" s="633"/>
      <c r="K7" s="358" t="s">
        <v>394</v>
      </c>
      <c r="L7" s="358"/>
      <c r="M7" s="358"/>
      <c r="N7" s="33"/>
      <c r="O7" s="33"/>
      <c r="P7" s="33"/>
      <c r="Q7" s="33"/>
      <c r="R7" s="33"/>
    </row>
    <row r="8" spans="1:18" ht="15" customHeight="1" x14ac:dyDescent="0.25">
      <c r="A8" s="24"/>
      <c r="B8" s="33"/>
      <c r="C8" s="33"/>
      <c r="D8" s="33"/>
      <c r="E8" s="33"/>
      <c r="F8" s="33"/>
      <c r="G8" s="33"/>
      <c r="H8" s="33"/>
      <c r="I8" s="33"/>
      <c r="J8" s="633"/>
      <c r="K8" s="33"/>
      <c r="L8" s="358"/>
      <c r="M8" s="33"/>
      <c r="N8" s="634"/>
      <c r="O8" s="634"/>
      <c r="P8" s="635" t="s">
        <v>395</v>
      </c>
      <c r="Q8" s="634"/>
      <c r="R8" s="634"/>
    </row>
    <row r="9" spans="1:18" ht="15" customHeight="1" x14ac:dyDescent="0.25">
      <c r="A9" s="24"/>
      <c r="B9" s="358"/>
      <c r="C9" s="33"/>
      <c r="D9" s="38">
        <v>2025</v>
      </c>
      <c r="E9" s="38">
        <f>+D9+1</f>
        <v>2026</v>
      </c>
      <c r="F9" s="38">
        <f t="shared" ref="F9:H9" si="0">+E9+1</f>
        <v>2027</v>
      </c>
      <c r="G9" s="38">
        <f t="shared" si="0"/>
        <v>2028</v>
      </c>
      <c r="H9" s="38">
        <f t="shared" si="0"/>
        <v>2029</v>
      </c>
      <c r="I9" s="587"/>
      <c r="J9" s="633"/>
      <c r="K9" s="358"/>
      <c r="L9" s="358"/>
      <c r="M9" s="358" t="s">
        <v>396</v>
      </c>
      <c r="N9" s="38">
        <v>2025</v>
      </c>
      <c r="O9" s="38">
        <f>+N9+1</f>
        <v>2026</v>
      </c>
      <c r="P9" s="38">
        <f t="shared" ref="P9:R9" si="1">+O9+1</f>
        <v>2027</v>
      </c>
      <c r="Q9" s="38">
        <f t="shared" si="1"/>
        <v>2028</v>
      </c>
      <c r="R9" s="38">
        <f t="shared" si="1"/>
        <v>2029</v>
      </c>
    </row>
    <row r="10" spans="1:18" ht="4.05" customHeight="1" x14ac:dyDescent="0.25">
      <c r="A10" s="24"/>
      <c r="B10" s="407"/>
      <c r="C10" s="373"/>
      <c r="D10" s="373"/>
      <c r="E10" s="373"/>
      <c r="F10" s="373"/>
      <c r="G10" s="373"/>
      <c r="H10" s="373"/>
      <c r="I10" s="373"/>
      <c r="J10" s="633"/>
      <c r="K10" s="407"/>
      <c r="L10" s="407"/>
      <c r="M10" s="407"/>
      <c r="N10" s="373"/>
      <c r="O10" s="373"/>
      <c r="P10" s="373"/>
      <c r="Q10" s="373"/>
      <c r="R10" s="373"/>
    </row>
    <row r="11" spans="1:18" ht="4.05" customHeight="1" x14ac:dyDescent="0.25">
      <c r="A11" s="24"/>
      <c r="B11" s="325"/>
      <c r="C11" s="406"/>
      <c r="D11" s="406"/>
      <c r="E11" s="406"/>
      <c r="F11" s="406"/>
      <c r="G11" s="406"/>
      <c r="H11" s="406"/>
      <c r="I11" s="633"/>
      <c r="J11" s="633"/>
      <c r="K11" s="633"/>
      <c r="L11" s="24"/>
      <c r="M11" s="633"/>
      <c r="N11" s="633"/>
      <c r="O11" s="633"/>
      <c r="P11" s="633"/>
      <c r="Q11" s="24"/>
      <c r="R11" s="24"/>
    </row>
    <row r="12" spans="1:18" ht="15" customHeight="1" x14ac:dyDescent="0.25">
      <c r="A12" s="24"/>
      <c r="B12" s="471" t="s">
        <v>397</v>
      </c>
      <c r="C12" s="406"/>
      <c r="D12" s="406"/>
      <c r="E12" s="406"/>
      <c r="F12" s="406"/>
      <c r="G12" s="406"/>
      <c r="H12" s="406"/>
      <c r="I12" s="633"/>
      <c r="J12" s="633"/>
      <c r="K12" s="636" t="str">
        <f>+Segments!B21</f>
        <v xml:space="preserve">Mainland China </v>
      </c>
      <c r="L12" s="24"/>
      <c r="M12" s="637">
        <v>5.2699999999999997E-2</v>
      </c>
      <c r="N12" s="638">
        <f>+Segments!AL21/Segments!AL$26</f>
        <v>0.98</v>
      </c>
      <c r="O12" s="638">
        <f>+Segments!AN21/Segments!AN$26</f>
        <v>0.98000000000000009</v>
      </c>
      <c r="P12" s="638">
        <f>+Segments!AP21/Segments!AP$26</f>
        <v>0.98</v>
      </c>
      <c r="Q12" s="638">
        <f>+Segments!AR21/Segments!AR$26</f>
        <v>0.98</v>
      </c>
      <c r="R12" s="638">
        <f>+Segments!AT21/Segments!AT$26</f>
        <v>0.98</v>
      </c>
    </row>
    <row r="13" spans="1:18" ht="15" customHeight="1" x14ac:dyDescent="0.25">
      <c r="A13" s="24"/>
      <c r="B13" s="639" t="s">
        <v>398</v>
      </c>
      <c r="C13" s="24"/>
      <c r="D13" s="640">
        <f>+Inputs!J13</f>
        <v>16770.325182</v>
      </c>
      <c r="E13" s="762">
        <f>+FCFF!AF99*FCFF!AF31</f>
        <v>4543.7418228305851</v>
      </c>
      <c r="F13" s="640">
        <f>+FCFF!AH99*FCFF!AH31</f>
        <v>4704.6660123891688</v>
      </c>
      <c r="G13" s="640">
        <f>+FCFF!AJ99*FCFF!AJ31</f>
        <v>5488.7770144540291</v>
      </c>
      <c r="H13" s="640">
        <f>+FCFF!AL99*FCFF!AL31</f>
        <v>6312.093566622133</v>
      </c>
      <c r="I13" s="24"/>
      <c r="J13" s="633"/>
      <c r="K13" s="636" t="s">
        <v>399</v>
      </c>
      <c r="L13" s="24"/>
      <c r="M13" s="637">
        <f>(0.0433+0.0499)/2</f>
        <v>4.6600000000000003E-2</v>
      </c>
      <c r="N13" s="638">
        <f>+Segments!AL22/Segments!AL$26</f>
        <v>0.02</v>
      </c>
      <c r="O13" s="638">
        <f>+Segments!AN22/Segments!AN$26</f>
        <v>0.02</v>
      </c>
      <c r="P13" s="638">
        <f>+Segments!AP22/Segments!AP$26</f>
        <v>0.02</v>
      </c>
      <c r="Q13" s="638">
        <f>+Segments!AR22/Segments!AR$26</f>
        <v>0.02</v>
      </c>
      <c r="R13" s="638">
        <f>+Segments!AT22/Segments!AT$26</f>
        <v>0.02</v>
      </c>
    </row>
    <row r="14" spans="1:18" ht="15" customHeight="1" x14ac:dyDescent="0.25">
      <c r="A14" s="24"/>
      <c r="B14" s="641" t="s">
        <v>400</v>
      </c>
      <c r="C14" s="24"/>
      <c r="D14" s="539">
        <f>IFERROR(D13/D35,"")</f>
        <v>0.98315288517044774</v>
      </c>
      <c r="E14" s="539">
        <f>IFERROR(E13/E35,"")</f>
        <v>0.94051621405437313</v>
      </c>
      <c r="F14" s="539">
        <f>IFERROR(E13/F35,"")</f>
        <v>0.9101975788959169</v>
      </c>
      <c r="G14" s="539">
        <f>IFERROR(F13/G35,"")</f>
        <v>0.81449858480413129</v>
      </c>
      <c r="H14" s="539">
        <f>IFERROR(G13/H35,"")</f>
        <v>0.83170010167403596</v>
      </c>
      <c r="I14" s="467"/>
      <c r="J14" s="467"/>
      <c r="K14" s="636"/>
      <c r="L14" s="24"/>
      <c r="M14" s="637"/>
      <c r="N14" s="638">
        <f>+Segments!AL23/Segments!AL$26</f>
        <v>0</v>
      </c>
      <c r="O14" s="638">
        <f>+Segments!AN23/Segments!AN$26</f>
        <v>0</v>
      </c>
      <c r="P14" s="638">
        <f>+Segments!AP23/Segments!AP$26</f>
        <v>0</v>
      </c>
      <c r="Q14" s="638">
        <f>+Segments!AR23/Segments!AR$26</f>
        <v>0</v>
      </c>
      <c r="R14" s="638">
        <f>+Segments!AT23/Segments!AT$26</f>
        <v>0</v>
      </c>
    </row>
    <row r="15" spans="1:18" ht="15" customHeight="1" x14ac:dyDescent="0.25">
      <c r="A15" s="24"/>
      <c r="B15" s="468" t="s">
        <v>401</v>
      </c>
      <c r="C15" s="24"/>
      <c r="D15" s="637">
        <v>1.5900000000000001E-2</v>
      </c>
      <c r="E15" s="637">
        <v>1.5900000000000001E-2</v>
      </c>
      <c r="F15" s="637">
        <v>1.5900000000000001E-2</v>
      </c>
      <c r="G15" s="637">
        <v>1.5900000000000001E-2</v>
      </c>
      <c r="H15" s="637">
        <v>1.5900000000000001E-2</v>
      </c>
      <c r="I15" s="541"/>
      <c r="J15" s="541"/>
      <c r="K15" s="636"/>
      <c r="L15" s="24"/>
      <c r="M15" s="637"/>
      <c r="N15" s="638"/>
      <c r="O15" s="638"/>
      <c r="P15" s="638"/>
      <c r="Q15" s="638"/>
      <c r="R15" s="638"/>
    </row>
    <row r="16" spans="1:18" ht="15" customHeight="1" x14ac:dyDescent="0.25">
      <c r="A16" s="24"/>
      <c r="B16" s="468" t="s">
        <v>20</v>
      </c>
      <c r="C16" s="24"/>
      <c r="D16" s="642">
        <f>+Inputs!M18</f>
        <v>1.42</v>
      </c>
      <c r="E16" s="643">
        <f>+D17*(1+(E28/E13)*(1-E32))</f>
        <v>1.4753542444453052</v>
      </c>
      <c r="F16" s="643">
        <f>+E17*(1+(F28/F13)*(1-F32))</f>
        <v>1.4727797095417527</v>
      </c>
      <c r="G16" s="643">
        <f>+F17*(1+(G28/G13)*(1-G32))</f>
        <v>1.4623950309391882</v>
      </c>
      <c r="H16" s="643">
        <f>+G17*(1+(H28/H13)*(1-H32))</f>
        <v>1.454267891163268</v>
      </c>
      <c r="I16" s="644"/>
      <c r="J16" s="644"/>
      <c r="K16" s="636"/>
      <c r="L16" s="24"/>
      <c r="M16" s="637"/>
      <c r="N16" s="638"/>
      <c r="O16" s="638"/>
      <c r="P16" s="638"/>
      <c r="Q16" s="638"/>
      <c r="R16" s="638"/>
    </row>
    <row r="17" spans="2:18" ht="15" customHeight="1" x14ac:dyDescent="0.25">
      <c r="B17" s="468" t="s">
        <v>402</v>
      </c>
      <c r="C17" s="24"/>
      <c r="D17" s="643">
        <f>+D16/(1+(D28/D13)*(1-D32))</f>
        <v>1.4000869593238006</v>
      </c>
      <c r="E17" s="643">
        <f>+E16/(1+(E28/E13)*(1-E32))</f>
        <v>1.4000869593238006</v>
      </c>
      <c r="F17" s="643">
        <f>+F16/(1+(F28/F13)*(1-F32))</f>
        <v>1.4000869593238006</v>
      </c>
      <c r="G17" s="643">
        <f>+G16/(1+(G28/G13)*(1-G32))</f>
        <v>1.4000869593238006</v>
      </c>
      <c r="H17" s="643">
        <f>+H16/(1+(H28/H13)*(1-H32))</f>
        <v>1.4000869593238006</v>
      </c>
      <c r="I17" s="644"/>
      <c r="J17" s="644"/>
      <c r="K17" s="644"/>
      <c r="L17" s="24"/>
      <c r="M17" s="644"/>
      <c r="N17" s="644"/>
      <c r="O17" s="644"/>
      <c r="P17" s="644"/>
      <c r="Q17" s="24"/>
      <c r="R17" s="24"/>
    </row>
    <row r="18" spans="2:18" ht="15" customHeight="1" x14ac:dyDescent="0.25">
      <c r="B18" s="468" t="s">
        <v>394</v>
      </c>
      <c r="C18" s="24"/>
      <c r="D18" s="645">
        <f>+N18</f>
        <v>5.2578E-2</v>
      </c>
      <c r="E18" s="645">
        <f>+O18</f>
        <v>5.2578000000000007E-2</v>
      </c>
      <c r="F18" s="645">
        <f>+P18</f>
        <v>5.2578E-2</v>
      </c>
      <c r="G18" s="645">
        <f>+Q18</f>
        <v>5.2578E-2</v>
      </c>
      <c r="H18" s="645">
        <f>+R18</f>
        <v>5.2578E-2</v>
      </c>
      <c r="I18" s="646"/>
      <c r="J18" s="646"/>
      <c r="K18" s="647" t="s">
        <v>396</v>
      </c>
      <c r="L18" s="279"/>
      <c r="M18" s="279"/>
      <c r="N18" s="648">
        <f>+SUMPRODUCT($M12:$M16,N12:N16)</f>
        <v>5.2578E-2</v>
      </c>
      <c r="O18" s="648">
        <f>+SUMPRODUCT($M12:$M16,O12:O16)</f>
        <v>5.2578000000000007E-2</v>
      </c>
      <c r="P18" s="648">
        <f>+SUMPRODUCT($M12:$M16,P12:P16)</f>
        <v>5.2578E-2</v>
      </c>
      <c r="Q18" s="648">
        <f>+SUMPRODUCT($M12:$M16,Q12:Q16)</f>
        <v>5.2578E-2</v>
      </c>
      <c r="R18" s="648">
        <f>+SUMPRODUCT($M12:$M16,R12:R16)</f>
        <v>5.2578E-2</v>
      </c>
    </row>
    <row r="19" spans="2:18" ht="15" customHeight="1" x14ac:dyDescent="0.25">
      <c r="B19" s="649" t="s">
        <v>403</v>
      </c>
      <c r="C19" s="24"/>
      <c r="D19" s="650">
        <f>IFERROR(+D15+D16*D18,"")</f>
        <v>9.056075999999999E-2</v>
      </c>
      <c r="E19" s="650">
        <f>IFERROR(+E15+E16*E18,"")</f>
        <v>9.3471175464445264E-2</v>
      </c>
      <c r="F19" s="650">
        <f>IFERROR(+F15+F16*F18,"")</f>
        <v>9.333581156828627E-2</v>
      </c>
      <c r="G19" s="650">
        <f>IFERROR(+G15+G16*G18,"")</f>
        <v>9.2789805936720635E-2</v>
      </c>
      <c r="H19" s="650">
        <f>IFERROR(+H15+H16*H18,"")</f>
        <v>9.2362497181582306E-2</v>
      </c>
      <c r="I19" s="651"/>
      <c r="J19" s="651"/>
      <c r="K19" s="651"/>
      <c r="L19" s="651"/>
      <c r="M19" s="651"/>
      <c r="N19" s="651"/>
      <c r="O19" s="651"/>
      <c r="P19" s="24"/>
      <c r="Q19" s="24"/>
      <c r="R19" s="24"/>
    </row>
    <row r="20" spans="2:18" ht="15" customHeight="1" x14ac:dyDescent="0.25">
      <c r="B20" s="361"/>
      <c r="C20" s="24"/>
      <c r="D20" s="24"/>
      <c r="E20" s="24"/>
      <c r="F20" s="24"/>
      <c r="G20" s="24"/>
      <c r="H20" s="24"/>
      <c r="I20" s="541"/>
      <c r="J20" s="541"/>
      <c r="K20" s="24"/>
      <c r="L20" s="24"/>
      <c r="M20" s="24"/>
      <c r="N20" s="24"/>
      <c r="O20" s="24"/>
      <c r="P20" s="24"/>
      <c r="Q20" s="24"/>
      <c r="R20" s="24"/>
    </row>
    <row r="21" spans="2:18" ht="15" customHeight="1" x14ac:dyDescent="0.25">
      <c r="B21" s="471" t="s">
        <v>404</v>
      </c>
      <c r="C21" s="24"/>
      <c r="D21" s="24"/>
      <c r="E21" s="24"/>
      <c r="F21" s="24"/>
      <c r="G21" s="24"/>
      <c r="H21" s="24"/>
      <c r="I21" s="24"/>
      <c r="J21" s="24"/>
      <c r="K21" s="358" t="s">
        <v>405</v>
      </c>
      <c r="L21" s="358"/>
      <c r="M21" s="358"/>
      <c r="N21" s="358"/>
      <c r="O21" s="358"/>
      <c r="P21" s="358"/>
      <c r="Q21" s="358"/>
      <c r="R21" s="358"/>
    </row>
    <row r="22" spans="2:18" ht="15" customHeight="1" x14ac:dyDescent="0.25">
      <c r="B22" s="468" t="s">
        <v>406</v>
      </c>
      <c r="C22" s="24"/>
      <c r="D22" s="95">
        <f>IFERROR(Inputs!J14,0)</f>
        <v>0</v>
      </c>
      <c r="E22" s="25">
        <f>+D22*(E13/D13)</f>
        <v>0</v>
      </c>
      <c r="F22" s="25">
        <f>+E22*(F13/E13)</f>
        <v>0</v>
      </c>
      <c r="G22" s="25">
        <f>+F22*(G13/F13)</f>
        <v>0</v>
      </c>
      <c r="H22" s="25">
        <f>+G22*(H13/G13)</f>
        <v>0</v>
      </c>
      <c r="I22" s="24"/>
      <c r="J22" s="24"/>
      <c r="K22" s="358"/>
      <c r="L22" s="358"/>
      <c r="M22" s="358"/>
      <c r="N22" s="358"/>
      <c r="O22" s="358"/>
      <c r="P22" s="358"/>
      <c r="Q22" s="358"/>
      <c r="R22" s="358"/>
    </row>
    <row r="23" spans="2:18" ht="15" customHeight="1" x14ac:dyDescent="0.25">
      <c r="B23" s="641" t="s">
        <v>407</v>
      </c>
      <c r="C23" s="24"/>
      <c r="D23" s="467">
        <f>+D22/D35</f>
        <v>0</v>
      </c>
      <c r="E23" s="467">
        <f>+E22/E35</f>
        <v>0</v>
      </c>
      <c r="F23" s="467">
        <f>+F22/F35</f>
        <v>0</v>
      </c>
      <c r="G23" s="467">
        <f>+G22/G35</f>
        <v>0</v>
      </c>
      <c r="H23" s="467">
        <f>+H22/H35</f>
        <v>0</v>
      </c>
      <c r="I23" s="24"/>
      <c r="J23" s="24"/>
      <c r="K23" s="358"/>
      <c r="L23" s="358"/>
      <c r="M23" s="358"/>
      <c r="N23" s="358"/>
      <c r="O23" s="358"/>
      <c r="P23" s="358"/>
      <c r="Q23" s="358"/>
      <c r="R23" s="358"/>
    </row>
    <row r="24" spans="2:18" ht="15" customHeight="1" x14ac:dyDescent="0.25">
      <c r="B24" s="468" t="s">
        <v>408</v>
      </c>
      <c r="C24" s="24"/>
      <c r="D24" s="414">
        <f>+IS!AF50</f>
        <v>0</v>
      </c>
      <c r="E24" s="652">
        <f>D24</f>
        <v>0</v>
      </c>
      <c r="F24" s="652">
        <f t="shared" ref="F24:H24" si="2">E24</f>
        <v>0</v>
      </c>
      <c r="G24" s="652">
        <f t="shared" si="2"/>
        <v>0</v>
      </c>
      <c r="H24" s="652">
        <f t="shared" si="2"/>
        <v>0</v>
      </c>
      <c r="I24" s="24"/>
      <c r="J24" s="24"/>
      <c r="K24" s="24"/>
      <c r="L24" s="24"/>
      <c r="M24" s="24"/>
      <c r="N24" s="24"/>
      <c r="O24" s="653"/>
      <c r="P24" s="24"/>
      <c r="Q24" s="24"/>
      <c r="R24" s="24"/>
    </row>
    <row r="25" spans="2:18" ht="15" customHeight="1" x14ac:dyDescent="0.25">
      <c r="B25" s="649" t="s">
        <v>409</v>
      </c>
      <c r="C25" s="24"/>
      <c r="D25" s="650">
        <f>IFERROR(D24/D22,0)</f>
        <v>0</v>
      </c>
      <c r="E25" s="650">
        <f>IFERROR(E24/E22,0)</f>
        <v>0</v>
      </c>
      <c r="F25" s="650">
        <f>IFERROR(F24/F22,0)</f>
        <v>0</v>
      </c>
      <c r="G25" s="650">
        <f>IFERROR(G24/G22,0)</f>
        <v>0</v>
      </c>
      <c r="H25" s="650">
        <f>IFERROR(H24/H22,0)</f>
        <v>0</v>
      </c>
      <c r="I25" s="24"/>
      <c r="J25" s="24"/>
      <c r="K25" s="24"/>
      <c r="L25" s="24"/>
      <c r="M25" s="24"/>
      <c r="N25" s="24"/>
      <c r="O25" s="653"/>
      <c r="P25" s="24"/>
      <c r="Q25" s="24"/>
      <c r="R25" s="24"/>
    </row>
    <row r="26" spans="2:18" ht="15" customHeight="1" x14ac:dyDescent="0.25">
      <c r="B26" s="361"/>
      <c r="C26" s="24"/>
      <c r="D26" s="24"/>
      <c r="E26" s="24"/>
      <c r="F26" s="24"/>
      <c r="G26" s="24"/>
      <c r="H26" s="24"/>
      <c r="I26" s="24"/>
      <c r="J26" s="24"/>
      <c r="K26" s="24"/>
      <c r="L26" s="24"/>
      <c r="M26" s="24"/>
      <c r="N26" s="24"/>
      <c r="O26" s="653"/>
      <c r="P26" s="24"/>
      <c r="Q26" s="24"/>
      <c r="R26" s="24"/>
    </row>
    <row r="27" spans="2:18" ht="15" customHeight="1" x14ac:dyDescent="0.25">
      <c r="B27" s="361" t="s">
        <v>410</v>
      </c>
      <c r="C27" s="24"/>
      <c r="D27" s="24"/>
      <c r="E27" s="24"/>
      <c r="F27" s="24"/>
      <c r="G27" s="24"/>
      <c r="H27" s="24"/>
      <c r="I27" s="24"/>
      <c r="J27" s="24"/>
      <c r="K27" s="24"/>
      <c r="L27" s="24"/>
      <c r="M27" s="24"/>
      <c r="N27" s="24"/>
      <c r="O27" s="653"/>
      <c r="P27" s="24"/>
      <c r="Q27" s="24"/>
      <c r="R27" s="24"/>
    </row>
    <row r="28" spans="2:18" ht="15" customHeight="1" x14ac:dyDescent="0.25">
      <c r="B28" s="639" t="s">
        <v>411</v>
      </c>
      <c r="C28" s="603">
        <f>+BS!AF38+BS!AF39+BS!AF44+BS!AF45</f>
        <v>188.78300000000002</v>
      </c>
      <c r="D28" s="654">
        <f>+BS!AI38+BS!AI39+BS!AI44+BS!AI45</f>
        <v>287.37299999999999</v>
      </c>
      <c r="E28" s="655">
        <v>287.37299999999999</v>
      </c>
      <c r="F28" s="655">
        <v>287.37299999999999</v>
      </c>
      <c r="G28" s="655">
        <v>287.37299999999999</v>
      </c>
      <c r="H28" s="655">
        <v>287.37299999999999</v>
      </c>
      <c r="I28" s="24"/>
      <c r="J28" s="24"/>
      <c r="K28" s="24"/>
      <c r="L28" s="24"/>
      <c r="M28" s="24"/>
      <c r="N28" s="24"/>
      <c r="O28" s="653"/>
      <c r="P28" s="24"/>
      <c r="Q28" s="24"/>
      <c r="R28" s="24"/>
    </row>
    <row r="29" spans="2:18" ht="15" customHeight="1" x14ac:dyDescent="0.25">
      <c r="B29" s="641" t="s">
        <v>412</v>
      </c>
      <c r="C29" s="24"/>
      <c r="D29" s="539">
        <f>IFERROR(D28/D35,"")</f>
        <v>1.6847114829552329E-2</v>
      </c>
      <c r="E29" s="539">
        <f>IFERROR(E28/E35,"")</f>
        <v>5.9483785945626956E-2</v>
      </c>
      <c r="F29" s="539">
        <f>IFERROR(F28/F35,"")</f>
        <v>5.7566256851519379E-2</v>
      </c>
      <c r="G29" s="539">
        <f>IFERROR(G28/G35,"")</f>
        <v>4.9751651061847112E-2</v>
      </c>
      <c r="H29" s="539">
        <f>IFERROR(H28/H35,"")</f>
        <v>4.3544883074858702E-2</v>
      </c>
      <c r="I29" s="653"/>
      <c r="J29" s="653"/>
      <c r="K29" s="653"/>
      <c r="L29" s="653"/>
      <c r="M29" s="653"/>
      <c r="N29" s="653"/>
      <c r="O29" s="24"/>
      <c r="P29" s="24"/>
      <c r="Q29" s="24"/>
      <c r="R29" s="24"/>
    </row>
    <row r="30" spans="2:18" ht="15" customHeight="1" x14ac:dyDescent="0.25">
      <c r="B30" s="468" t="s">
        <v>413</v>
      </c>
      <c r="C30" s="24"/>
      <c r="D30" s="541">
        <f>+D31-D15</f>
        <v>-1.5900000000000001E-2</v>
      </c>
      <c r="E30" s="637">
        <f>E31-E15</f>
        <v>1.1099999999999999E-2</v>
      </c>
      <c r="F30" s="637">
        <f t="shared" ref="F30:H30" si="3">F31-F15</f>
        <v>1.1099999999999999E-2</v>
      </c>
      <c r="G30" s="637">
        <f t="shared" si="3"/>
        <v>1.1099999999999999E-2</v>
      </c>
      <c r="H30" s="637">
        <f t="shared" si="3"/>
        <v>1.1099999999999999E-2</v>
      </c>
      <c r="I30" s="644"/>
      <c r="J30" s="644"/>
      <c r="K30" s="644"/>
      <c r="L30" s="644"/>
      <c r="M30" s="644"/>
      <c r="N30" s="644"/>
      <c r="O30" s="644"/>
      <c r="P30" s="24"/>
      <c r="Q30" s="24"/>
      <c r="R30" s="24"/>
    </row>
    <row r="31" spans="2:18" ht="15" customHeight="1" x14ac:dyDescent="0.25">
      <c r="B31" s="468" t="s">
        <v>414</v>
      </c>
      <c r="C31" s="24"/>
      <c r="D31" s="600">
        <f>+IS!AI39/WACC!D28</f>
        <v>0</v>
      </c>
      <c r="E31" s="541">
        <v>2.7E-2</v>
      </c>
      <c r="F31" s="541">
        <v>2.7E-2</v>
      </c>
      <c r="G31" s="541">
        <v>2.7E-2</v>
      </c>
      <c r="H31" s="541">
        <v>2.7E-2</v>
      </c>
      <c r="I31" s="644"/>
      <c r="J31" s="644"/>
      <c r="K31" s="644"/>
      <c r="L31" s="644"/>
      <c r="M31" s="644"/>
      <c r="N31" s="644"/>
      <c r="O31" s="644"/>
      <c r="P31" s="24"/>
      <c r="Q31" s="24"/>
      <c r="R31" s="24"/>
    </row>
    <row r="32" spans="2:18" ht="15" customHeight="1" x14ac:dyDescent="0.25">
      <c r="B32" s="468" t="s">
        <v>415</v>
      </c>
      <c r="C32" s="24"/>
      <c r="D32" s="656">
        <f>+FCFF!Z124</f>
        <v>0.17</v>
      </c>
      <c r="E32" s="656">
        <f>+FCFF!AF124</f>
        <v>0.15</v>
      </c>
      <c r="F32" s="656">
        <f>+FCFF!AH124</f>
        <v>0.15</v>
      </c>
      <c r="G32" s="656">
        <f>+FCFF!AJ124</f>
        <v>0.15</v>
      </c>
      <c r="H32" s="656">
        <f>+FCFF!AL124</f>
        <v>0.15</v>
      </c>
      <c r="I32" s="644"/>
      <c r="J32" s="644"/>
      <c r="K32" s="644"/>
      <c r="L32" s="644"/>
      <c r="M32" s="644"/>
      <c r="N32" s="644"/>
      <c r="O32" s="24"/>
      <c r="P32" s="24"/>
      <c r="Q32" s="24"/>
      <c r="R32" s="24"/>
    </row>
    <row r="33" spans="1:14" ht="15" customHeight="1" x14ac:dyDescent="0.25">
      <c r="A33" s="24"/>
      <c r="B33" s="649" t="s">
        <v>416</v>
      </c>
      <c r="C33" s="24"/>
      <c r="D33" s="650">
        <f>+D31*(1-D32)</f>
        <v>0</v>
      </c>
      <c r="E33" s="650">
        <f t="shared" ref="E33" si="4">+E31*(1-E32)</f>
        <v>2.2949999999999998E-2</v>
      </c>
      <c r="F33" s="650">
        <f>+F31*(1-F32)</f>
        <v>2.2949999999999998E-2</v>
      </c>
      <c r="G33" s="650">
        <f>+G31*(1-G32)</f>
        <v>2.2949999999999998E-2</v>
      </c>
      <c r="H33" s="650">
        <f>+H31*(1-H32)</f>
        <v>2.2949999999999998E-2</v>
      </c>
      <c r="I33" s="644"/>
      <c r="J33" s="644"/>
      <c r="K33" s="644"/>
      <c r="L33" s="644"/>
      <c r="M33" s="644"/>
      <c r="N33" s="644"/>
    </row>
    <row r="34" spans="1:14" ht="15" customHeight="1" x14ac:dyDescent="0.25">
      <c r="A34" s="24"/>
      <c r="B34" s="359"/>
      <c r="C34" s="24"/>
      <c r="D34" s="650"/>
      <c r="E34" s="650"/>
      <c r="F34" s="650"/>
      <c r="G34" s="650"/>
      <c r="H34" s="650"/>
      <c r="I34" s="24"/>
      <c r="J34" s="24"/>
      <c r="K34" s="24"/>
      <c r="L34" s="24"/>
      <c r="M34" s="24"/>
      <c r="N34" s="24"/>
    </row>
    <row r="35" spans="1:14" ht="15" customHeight="1" x14ac:dyDescent="0.25">
      <c r="A35" s="24"/>
      <c r="B35" s="361" t="s">
        <v>417</v>
      </c>
      <c r="C35" s="24"/>
      <c r="D35" s="653">
        <f>+D13+D24+D28</f>
        <v>17057.698182</v>
      </c>
      <c r="E35" s="653">
        <f>+E13+E24+E28</f>
        <v>4831.1148228305847</v>
      </c>
      <c r="F35" s="653">
        <f>+F13+F24+F28</f>
        <v>4992.0390123891684</v>
      </c>
      <c r="G35" s="653">
        <f>+G13+G24+G28</f>
        <v>5776.1500144540287</v>
      </c>
      <c r="H35" s="653">
        <f>+H13+H24+H28</f>
        <v>6599.4665666221326</v>
      </c>
      <c r="I35" s="24"/>
      <c r="J35" s="24"/>
      <c r="K35" s="24"/>
      <c r="L35" s="24"/>
      <c r="M35" s="24"/>
      <c r="N35" s="24"/>
    </row>
    <row r="36" spans="1:14" ht="15" customHeight="1" x14ac:dyDescent="0.25">
      <c r="A36" s="24"/>
      <c r="B36" s="361"/>
      <c r="C36" s="24"/>
      <c r="D36" s="24"/>
      <c r="E36" s="24"/>
      <c r="F36" s="24"/>
      <c r="G36" s="24"/>
      <c r="H36" s="24"/>
      <c r="I36" s="653"/>
      <c r="J36" s="653"/>
      <c r="K36" s="653"/>
      <c r="L36" s="653"/>
      <c r="M36" s="653"/>
      <c r="N36" s="653"/>
    </row>
    <row r="37" spans="1:14" ht="15" customHeight="1" x14ac:dyDescent="0.25">
      <c r="A37" s="24"/>
      <c r="B37" s="361" t="s">
        <v>418</v>
      </c>
      <c r="C37" s="24"/>
      <c r="D37" s="657"/>
      <c r="E37" s="657"/>
      <c r="F37" s="657"/>
      <c r="G37" s="657"/>
      <c r="H37" s="657"/>
      <c r="I37" s="24"/>
      <c r="J37" s="24"/>
      <c r="K37" s="24"/>
      <c r="L37" s="24"/>
      <c r="M37" s="24"/>
      <c r="N37" s="24"/>
    </row>
    <row r="38" spans="1:14" ht="15" customHeight="1" x14ac:dyDescent="0.25">
      <c r="A38" s="24"/>
      <c r="B38" s="361"/>
      <c r="C38" s="24"/>
      <c r="D38" s="24"/>
      <c r="E38" s="24"/>
      <c r="F38" s="24"/>
      <c r="G38" s="24"/>
      <c r="H38" s="24"/>
      <c r="I38" s="644"/>
      <c r="J38" s="644"/>
      <c r="K38" s="644"/>
      <c r="L38" s="644"/>
      <c r="M38" s="644"/>
      <c r="N38" s="644"/>
    </row>
    <row r="39" spans="1:14" ht="15" customHeight="1" x14ac:dyDescent="0.25">
      <c r="A39" s="605" t="s">
        <v>38</v>
      </c>
      <c r="B39" s="658" t="s">
        <v>419</v>
      </c>
      <c r="C39" s="659"/>
      <c r="D39" s="660">
        <f>+D19*D14+D25*D23+D33*D29+D37</f>
        <v>8.9035072477228472E-2</v>
      </c>
      <c r="E39" s="660">
        <f>+E19*E14+E25*E23+E33*E29+E37</f>
        <v>8.9276308958484207E-2</v>
      </c>
      <c r="F39" s="660">
        <f>+F19*F14+F25*F23+F33*F29+F37</f>
        <v>8.6275175308482055E-2</v>
      </c>
      <c r="G39" s="660">
        <f>+G19*G14+G25*G23+G33*G29+G37</f>
        <v>7.6718966011578335E-2</v>
      </c>
      <c r="H39" s="661">
        <f>+H19*H14+H25*H23+H33*H29+H37</f>
        <v>7.7817253363357874E-2</v>
      </c>
      <c r="I39" s="24"/>
      <c r="J39" s="24"/>
      <c r="K39" s="24"/>
      <c r="L39" s="24"/>
      <c r="M39" s="24"/>
      <c r="N39" s="24"/>
    </row>
    <row r="40" spans="1:14" ht="15" customHeight="1" x14ac:dyDescent="0.25">
      <c r="A40" s="24"/>
      <c r="B40" s="24"/>
      <c r="C40" s="24"/>
      <c r="D40" s="24"/>
      <c r="E40" s="24"/>
      <c r="F40" s="24"/>
      <c r="G40" s="24"/>
      <c r="H40" s="24"/>
      <c r="I40" s="662"/>
      <c r="J40" s="662"/>
      <c r="K40" s="662"/>
      <c r="L40" s="662"/>
      <c r="M40" s="662"/>
      <c r="N40" s="662"/>
    </row>
    <row r="41" spans="1:14" ht="15" customHeight="1" x14ac:dyDescent="0.25">
      <c r="A41" s="24"/>
      <c r="B41" s="24" t="s">
        <v>420</v>
      </c>
      <c r="C41" s="24"/>
      <c r="D41" s="25">
        <f>+FCFF!Z126</f>
        <v>139.29387971616063</v>
      </c>
      <c r="E41" s="25">
        <f>+FCFF!AF126</f>
        <v>164.14267334975489</v>
      </c>
      <c r="F41" s="25">
        <f>+FCFF!AH126</f>
        <v>194.23549679720998</v>
      </c>
      <c r="G41" s="25">
        <f>+FCFF!AJ126</f>
        <v>226.60807959674494</v>
      </c>
      <c r="H41" s="25">
        <f>+FCFF!AL126</f>
        <v>260.59929153625666</v>
      </c>
      <c r="I41" s="662"/>
      <c r="J41" s="662"/>
      <c r="K41" s="662"/>
      <c r="L41" s="662"/>
      <c r="M41" s="662"/>
      <c r="N41" s="662"/>
    </row>
    <row r="42" spans="1:14" ht="15" customHeight="1" x14ac:dyDescent="0.25">
      <c r="A42" s="24"/>
      <c r="B42" s="24" t="s">
        <v>421</v>
      </c>
      <c r="C42" s="24"/>
      <c r="D42" s="25">
        <f>+FCFF!Z112+FCFF!Z115</f>
        <v>20.757556014191969</v>
      </c>
      <c r="E42" s="25">
        <f>+FCFF!AF112+FCFF!AF115</f>
        <v>14.202621540845593</v>
      </c>
      <c r="F42" s="25">
        <f>+FCFF!AH112+FCFF!AH115</f>
        <v>0.93317134069505769</v>
      </c>
      <c r="G42" s="25">
        <f>+FCFF!AJ112+FCFF!AJ115</f>
        <v>-3.4871979613187287</v>
      </c>
      <c r="H42" s="25">
        <f>+FCFF!AL112+FCFF!AL115</f>
        <v>2.0965160366130942</v>
      </c>
      <c r="I42" s="662"/>
      <c r="J42" s="662"/>
      <c r="K42" s="662"/>
      <c r="L42" s="662"/>
      <c r="M42" s="662"/>
      <c r="N42" s="662"/>
    </row>
    <row r="43" spans="1:14" ht="15" customHeight="1" x14ac:dyDescent="0.25">
      <c r="A43" s="24"/>
      <c r="B43" s="24" t="s">
        <v>422</v>
      </c>
      <c r="C43" s="604">
        <f>+BS!AF54</f>
        <v>1095.9059999999999</v>
      </c>
      <c r="D43" s="25">
        <f>+C43+D41+D42</f>
        <v>1255.9574357303525</v>
      </c>
      <c r="E43" s="25">
        <f t="shared" ref="E43:H43" si="5">+D43+E41+E42</f>
        <v>1434.3027306209528</v>
      </c>
      <c r="F43" s="25">
        <f t="shared" si="5"/>
        <v>1629.471398758858</v>
      </c>
      <c r="G43" s="25">
        <f t="shared" si="5"/>
        <v>1852.5922803942842</v>
      </c>
      <c r="H43" s="25">
        <f t="shared" si="5"/>
        <v>2115.2880879671538</v>
      </c>
      <c r="I43" s="662"/>
      <c r="J43" s="662"/>
      <c r="K43" s="662"/>
      <c r="L43" s="662"/>
      <c r="M43" s="662"/>
      <c r="N43" s="662"/>
    </row>
    <row r="44" spans="1:14" ht="15" customHeight="1" x14ac:dyDescent="0.25">
      <c r="A44" s="24"/>
      <c r="B44" s="24" t="s">
        <v>423</v>
      </c>
      <c r="C44" s="604">
        <f>+C43+C28</f>
        <v>1284.6889999999999</v>
      </c>
      <c r="D44" s="25">
        <f t="shared" ref="D44:H44" si="6">+D43+D28</f>
        <v>1543.3304357303525</v>
      </c>
      <c r="E44" s="25">
        <f t="shared" si="6"/>
        <v>1721.6757306209529</v>
      </c>
      <c r="F44" s="25">
        <f t="shared" si="6"/>
        <v>1916.844398758858</v>
      </c>
      <c r="G44" s="25">
        <f t="shared" si="6"/>
        <v>2139.965280394284</v>
      </c>
      <c r="H44" s="25">
        <f t="shared" si="6"/>
        <v>2402.6610879671539</v>
      </c>
      <c r="I44" s="662"/>
      <c r="J44" s="662"/>
      <c r="K44" s="24"/>
      <c r="L44" s="662"/>
      <c r="M44" s="662"/>
      <c r="N44" s="662"/>
    </row>
    <row r="45" spans="1:14" ht="15" customHeight="1" x14ac:dyDescent="0.25">
      <c r="A45" s="605" t="s">
        <v>38</v>
      </c>
      <c r="B45" s="601" t="s">
        <v>284</v>
      </c>
      <c r="C45" s="663"/>
      <c r="D45" s="664">
        <f>+D41/((D44+C44)/2)</f>
        <v>9.8509846117933189E-2</v>
      </c>
      <c r="E45" s="664">
        <f t="shared" ref="E45:H45" si="7">+E41/((E44+D44)/2)</f>
        <v>0.10054662379592799</v>
      </c>
      <c r="F45" s="664">
        <f t="shared" si="7"/>
        <v>0.10676620707898493</v>
      </c>
      <c r="G45" s="664">
        <f t="shared" si="7"/>
        <v>0.11171738263257611</v>
      </c>
      <c r="H45" s="665">
        <f t="shared" si="7"/>
        <v>0.11473507632117097</v>
      </c>
      <c r="I45" s="24"/>
      <c r="J45" s="24"/>
      <c r="K45" s="24"/>
      <c r="L45" s="24"/>
      <c r="M45" s="24"/>
      <c r="N45" s="24"/>
    </row>
    <row r="46" spans="1:14" ht="15" customHeight="1" x14ac:dyDescent="0.25">
      <c r="A46" s="24"/>
      <c r="B46" s="24"/>
      <c r="C46" s="24"/>
      <c r="D46" s="24"/>
      <c r="E46" s="24"/>
      <c r="F46" s="24"/>
      <c r="G46" s="24"/>
      <c r="H46" s="24"/>
      <c r="I46" s="24"/>
      <c r="J46" s="24"/>
      <c r="K46" s="24"/>
      <c r="L46" s="24"/>
      <c r="M46" s="24"/>
      <c r="N46" s="24"/>
    </row>
    <row r="49" spans="23:23" ht="15" customHeight="1" x14ac:dyDescent="0.25">
      <c r="W49" s="24" t="s">
        <v>424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opLeftCell="P145" zoomScale="98" zoomScaleNormal="98" workbookViewId="0">
      <selection activeCell="AL32" sqref="AL32"/>
    </sheetView>
  </sheetViews>
  <sheetFormatPr defaultColWidth="9" defaultRowHeight="14.25" customHeight="1" outlineLevelCol="1" x14ac:dyDescent="0.25"/>
  <cols>
    <col min="1" max="1" width="2" style="96" customWidth="1"/>
    <col min="2" max="2" width="38.796875" style="96" customWidth="1"/>
    <col min="3" max="3" width="3.296875" style="24" customWidth="1"/>
    <col min="4" max="7" width="9.5" style="96" customWidth="1" outlineLevel="1"/>
    <col min="8" max="8" width="11.5" style="96" customWidth="1"/>
    <col min="9" max="9" width="1.5" style="24" customWidth="1"/>
    <col min="10" max="13" width="9.5" style="96" customWidth="1" outlineLevel="1"/>
    <col min="14" max="14" width="11.5" style="96" customWidth="1"/>
    <col min="15" max="15" width="1.5" style="24" customWidth="1"/>
    <col min="16" max="19" width="9.5" style="96" customWidth="1" outlineLevel="1"/>
    <col min="20" max="20" width="11.5" style="96" customWidth="1"/>
    <col min="21" max="21" width="1.5" style="24" customWidth="1"/>
    <col min="22" max="25" width="9.5" style="96" customWidth="1" outlineLevel="1"/>
    <col min="26" max="26" width="11.5" style="96" customWidth="1"/>
    <col min="27" max="27" width="1.5" style="24" customWidth="1"/>
    <col min="28" max="31" width="9.5" style="96" customWidth="1" outlineLevel="1"/>
    <col min="32" max="32" width="11.5" style="96" customWidth="1"/>
    <col min="33" max="33" width="1.5" style="24" customWidth="1"/>
    <col min="34" max="34" width="11.5" style="96" customWidth="1"/>
    <col min="35" max="35" width="1.5" style="24" customWidth="1"/>
    <col min="36" max="36" width="11.5" style="102" customWidth="1"/>
    <col min="37" max="37" width="1.5" style="96" customWidth="1"/>
    <col min="38" max="38" width="11.5" style="96" customWidth="1"/>
    <col min="39" max="39" width="1.5" style="96" customWidth="1"/>
    <col min="40" max="16384" width="9" style="96"/>
  </cols>
  <sheetData>
    <row r="1" spans="1:60" s="569" customFormat="1" ht="15" customHeight="1" x14ac:dyDescent="0.25"/>
    <row r="2" spans="1:60" s="569" customFormat="1" ht="15" customHeight="1" x14ac:dyDescent="0.25"/>
    <row r="3" spans="1:60" s="569" customFormat="1" ht="15" customHeight="1" x14ac:dyDescent="0.25"/>
    <row r="4" spans="1:60" s="569" customFormat="1" ht="15" customHeight="1" x14ac:dyDescent="0.25"/>
    <row r="5" spans="1:60" s="274" customFormat="1" ht="4.05" customHeight="1" x14ac:dyDescent="0.25">
      <c r="C5" s="37"/>
      <c r="I5" s="37"/>
      <c r="O5" s="37"/>
      <c r="U5" s="37"/>
      <c r="AA5" s="37"/>
      <c r="AG5" s="37"/>
      <c r="AI5" s="37"/>
      <c r="AJ5" s="275"/>
    </row>
    <row r="7" spans="1:60" s="42" customFormat="1" ht="15" customHeight="1" x14ac:dyDescent="0.3">
      <c r="A7" s="31" t="s">
        <v>38</v>
      </c>
      <c r="B7" s="147" t="s">
        <v>425</v>
      </c>
      <c r="C7" s="19"/>
      <c r="D7" s="148"/>
      <c r="E7" s="148"/>
      <c r="F7" s="148"/>
      <c r="G7" s="148"/>
      <c r="H7" s="148"/>
      <c r="I7" s="19"/>
      <c r="J7" s="148"/>
      <c r="K7" s="148"/>
      <c r="L7" s="148"/>
      <c r="M7" s="148"/>
      <c r="N7" s="148"/>
      <c r="O7" s="19"/>
      <c r="P7" s="148"/>
      <c r="Q7" s="148"/>
      <c r="R7" s="148"/>
      <c r="S7" s="148"/>
      <c r="T7" s="148"/>
      <c r="U7" s="19"/>
      <c r="V7" s="148"/>
      <c r="W7" s="148"/>
      <c r="X7" s="148"/>
      <c r="Y7" s="148"/>
      <c r="Z7" s="148"/>
      <c r="AA7" s="19"/>
      <c r="AB7" s="148"/>
      <c r="AC7" s="148"/>
      <c r="AD7" s="148"/>
      <c r="AE7" s="148"/>
      <c r="AF7" s="148"/>
      <c r="AG7" s="19"/>
      <c r="AH7" s="148"/>
      <c r="AI7" s="19"/>
      <c r="AJ7" s="149"/>
      <c r="AK7" s="19"/>
      <c r="AL7" s="149"/>
      <c r="AN7" s="96"/>
    </row>
    <row r="8" spans="1:60" s="42" customFormat="1" ht="15" customHeight="1" x14ac:dyDescent="0.3">
      <c r="B8" s="150"/>
      <c r="C8" s="19"/>
      <c r="D8" s="803">
        <v>2022</v>
      </c>
      <c r="E8" s="803"/>
      <c r="F8" s="803"/>
      <c r="G8" s="803"/>
      <c r="H8" s="803"/>
      <c r="I8" s="155"/>
      <c r="J8" s="803">
        <f>D8+1</f>
        <v>2023</v>
      </c>
      <c r="K8" s="803"/>
      <c r="L8" s="803"/>
      <c r="M8" s="803"/>
      <c r="N8" s="803"/>
      <c r="O8" s="155"/>
      <c r="P8" s="803">
        <f>J8+1</f>
        <v>2024</v>
      </c>
      <c r="Q8" s="803"/>
      <c r="R8" s="803"/>
      <c r="S8" s="803"/>
      <c r="T8" s="803"/>
      <c r="U8" s="155"/>
      <c r="V8" s="802">
        <f>P8+1</f>
        <v>2025</v>
      </c>
      <c r="W8" s="802"/>
      <c r="X8" s="802"/>
      <c r="Y8" s="802"/>
      <c r="Z8" s="802"/>
      <c r="AA8" s="155"/>
      <c r="AB8" s="802">
        <f>V8+1</f>
        <v>2026</v>
      </c>
      <c r="AC8" s="802"/>
      <c r="AD8" s="802"/>
      <c r="AE8" s="802"/>
      <c r="AF8" s="802"/>
      <c r="AG8" s="157"/>
      <c r="AH8" s="152">
        <f>AB8+1</f>
        <v>2027</v>
      </c>
      <c r="AI8" s="153"/>
      <c r="AJ8" s="152">
        <f>+AH8+1</f>
        <v>2028</v>
      </c>
      <c r="AK8" s="153"/>
      <c r="AL8" s="152">
        <f>+AJ8+1</f>
        <v>2029</v>
      </c>
      <c r="AN8" s="96"/>
    </row>
    <row r="9" spans="1:60" s="42" customFormat="1" ht="14.25" customHeight="1" x14ac:dyDescent="0.3">
      <c r="B9" s="150"/>
      <c r="C9" s="19"/>
      <c r="D9" s="154" t="s">
        <v>219</v>
      </c>
      <c r="E9" s="154" t="s">
        <v>220</v>
      </c>
      <c r="F9" s="154" t="s">
        <v>221</v>
      </c>
      <c r="G9" s="154" t="s">
        <v>222</v>
      </c>
      <c r="H9" s="154" t="s">
        <v>223</v>
      </c>
      <c r="I9" s="151"/>
      <c r="J9" s="154" t="s">
        <v>219</v>
      </c>
      <c r="K9" s="154" t="s">
        <v>220</v>
      </c>
      <c r="L9" s="154" t="s">
        <v>221</v>
      </c>
      <c r="M9" s="154" t="s">
        <v>222</v>
      </c>
      <c r="N9" s="154" t="s">
        <v>223</v>
      </c>
      <c r="O9" s="151"/>
      <c r="P9" s="154" t="s">
        <v>219</v>
      </c>
      <c r="Q9" s="154" t="s">
        <v>220</v>
      </c>
      <c r="R9" s="154" t="s">
        <v>221</v>
      </c>
      <c r="S9" s="154" t="s">
        <v>222</v>
      </c>
      <c r="T9" s="154" t="s">
        <v>223</v>
      </c>
      <c r="U9" s="151"/>
      <c r="V9" s="154" t="s">
        <v>219</v>
      </c>
      <c r="W9" s="154" t="s">
        <v>220</v>
      </c>
      <c r="X9" s="154" t="s">
        <v>221</v>
      </c>
      <c r="Y9" s="154" t="s">
        <v>222</v>
      </c>
      <c r="Z9" s="154" t="s">
        <v>223</v>
      </c>
      <c r="AA9" s="151"/>
      <c r="AB9" s="154" t="s">
        <v>219</v>
      </c>
      <c r="AC9" s="154" t="s">
        <v>220</v>
      </c>
      <c r="AD9" s="154" t="s">
        <v>221</v>
      </c>
      <c r="AE9" s="154" t="s">
        <v>222</v>
      </c>
      <c r="AF9" s="154" t="s">
        <v>223</v>
      </c>
      <c r="AG9" s="151"/>
      <c r="AH9" s="154" t="s">
        <v>223</v>
      </c>
      <c r="AI9" s="151"/>
      <c r="AJ9" s="154" t="s">
        <v>223</v>
      </c>
      <c r="AK9" s="151"/>
      <c r="AL9" s="154" t="s">
        <v>223</v>
      </c>
      <c r="AN9" s="96"/>
    </row>
    <row r="10" spans="1:60" ht="23.25" customHeight="1" x14ac:dyDescent="0.25">
      <c r="B10" s="676" t="s">
        <v>225</v>
      </c>
      <c r="D10" s="701">
        <v>26.033000000000001</v>
      </c>
      <c r="E10" s="701">
        <v>72.582999999999998</v>
      </c>
      <c r="F10" s="701">
        <v>99.72</v>
      </c>
      <c r="G10" s="701">
        <v>74.602999999999994</v>
      </c>
      <c r="H10" s="701">
        <f>Segments!T13</f>
        <v>272.93900000000002</v>
      </c>
      <c r="I10" s="702"/>
      <c r="J10" s="701">
        <v>36.613999999999997</v>
      </c>
      <c r="K10" s="701">
        <v>112.52800000000001</v>
      </c>
      <c r="L10" s="701">
        <v>132.417</v>
      </c>
      <c r="M10" s="701">
        <v>122.292</v>
      </c>
      <c r="N10" s="701">
        <f>Segments!Z13</f>
        <v>403.851</v>
      </c>
      <c r="O10" s="701"/>
      <c r="P10" s="702">
        <v>109.47</v>
      </c>
      <c r="Q10" s="701">
        <v>153.221</v>
      </c>
      <c r="R10" s="701">
        <v>160.98500000000001</v>
      </c>
      <c r="S10" s="701">
        <v>155.21100000000001</v>
      </c>
      <c r="T10" s="701">
        <f>Segments!AF13</f>
        <v>578.88699999999994</v>
      </c>
      <c r="U10" s="702"/>
      <c r="V10" s="701">
        <v>129.56899999999999</v>
      </c>
      <c r="W10" s="746">
        <v>154.96100000000001</v>
      </c>
      <c r="X10" s="701"/>
      <c r="Y10" s="701"/>
      <c r="Z10" s="701">
        <f>Z31*W13</f>
        <v>681.09168536266156</v>
      </c>
      <c r="AB10" s="701"/>
      <c r="AC10" s="701"/>
      <c r="AD10" s="701"/>
      <c r="AE10" s="701"/>
      <c r="AF10" s="701">
        <f>AF$31*W13</f>
        <v>817.3100224351939</v>
      </c>
      <c r="AG10" s="702"/>
      <c r="AH10" s="701">
        <f>AH$31*W13</f>
        <v>967.15019321497948</v>
      </c>
      <c r="AI10" s="701"/>
      <c r="AJ10" s="701">
        <f>AJ$31*W13</f>
        <v>1128.3418920841425</v>
      </c>
      <c r="AK10" s="701"/>
      <c r="AL10" s="701">
        <f>AL$31*W13</f>
        <v>1297.5931758967638</v>
      </c>
      <c r="AM10" s="701"/>
    </row>
    <row r="11" spans="1:60" ht="14.25" customHeight="1" x14ac:dyDescent="0.25">
      <c r="B11" s="677" t="s">
        <v>426</v>
      </c>
      <c r="D11" s="701">
        <v>12.247999999999999</v>
      </c>
      <c r="E11" s="701">
        <v>20.5</v>
      </c>
      <c r="F11" s="701">
        <v>24.521000000000001</v>
      </c>
      <c r="G11" s="701">
        <v>20.213000000000001</v>
      </c>
      <c r="H11" s="701">
        <f>Segments!T14</f>
        <v>77.481999999999999</v>
      </c>
      <c r="I11" s="702"/>
      <c r="J11" s="701">
        <v>26.597999999999999</v>
      </c>
      <c r="K11" s="701">
        <v>19.117000000000001</v>
      </c>
      <c r="L11" s="701">
        <v>25.507999999999999</v>
      </c>
      <c r="M11" s="701">
        <v>32.133000000000003</v>
      </c>
      <c r="N11" s="701">
        <f>Segments!Z14</f>
        <v>103.35599999999999</v>
      </c>
      <c r="O11" s="702"/>
      <c r="P11" s="701">
        <v>25.8</v>
      </c>
      <c r="Q11" s="701">
        <v>38.962000000000003</v>
      </c>
      <c r="R11" s="701">
        <v>34.6</v>
      </c>
      <c r="S11" s="701">
        <v>51.695</v>
      </c>
      <c r="T11" s="701">
        <f>Segments!AF14</f>
        <v>151.05699999999999</v>
      </c>
      <c r="U11" s="702"/>
      <c r="V11" s="701">
        <v>27.63</v>
      </c>
      <c r="W11" s="746">
        <v>48.015999999999998</v>
      </c>
      <c r="X11" s="701"/>
      <c r="Y11" s="701"/>
      <c r="Z11" s="701">
        <f>Z$31*W14</f>
        <v>211.00001089769529</v>
      </c>
      <c r="AB11" s="701"/>
      <c r="AC11" s="701"/>
      <c r="AD11" s="701"/>
      <c r="AE11" s="701"/>
      <c r="AF11" s="701">
        <f>AF$31*W14</f>
        <v>253.20001307723433</v>
      </c>
      <c r="AG11" s="702"/>
      <c r="AH11" s="701">
        <f t="shared" ref="AH11:AH12" si="0">AH$31*W14</f>
        <v>299.62001547472732</v>
      </c>
      <c r="AI11" s="701"/>
      <c r="AJ11" s="701">
        <f t="shared" ref="AJ11:AJ12" si="1">AJ$31*W14</f>
        <v>349.55668472051514</v>
      </c>
      <c r="AK11" s="701"/>
      <c r="AL11" s="701">
        <f t="shared" ref="AL11:AL12" si="2">AL$31*W14</f>
        <v>401.99018742859238</v>
      </c>
      <c r="AM11" s="701"/>
    </row>
    <row r="12" spans="1:60" ht="14.25" customHeight="1" x14ac:dyDescent="0.25">
      <c r="B12" s="677" t="s">
        <v>227</v>
      </c>
      <c r="D12" s="701">
        <v>3.9049999999999998</v>
      </c>
      <c r="E12" s="701">
        <v>11.311999999999999</v>
      </c>
      <c r="F12" s="701">
        <v>9.468</v>
      </c>
      <c r="G12" s="701">
        <v>13.726000000000001</v>
      </c>
      <c r="H12" s="701">
        <f>Segments!T15</f>
        <v>38.411000000000001</v>
      </c>
      <c r="I12" s="702"/>
      <c r="J12" s="701">
        <v>11.044</v>
      </c>
      <c r="K12" s="701">
        <v>12.932</v>
      </c>
      <c r="L12" s="701">
        <v>10.644</v>
      </c>
      <c r="M12" s="701">
        <v>15.896000000000001</v>
      </c>
      <c r="N12" s="701">
        <f>Segments!Z15</f>
        <v>50.515999999999998</v>
      </c>
      <c r="O12" s="702"/>
      <c r="P12" s="701">
        <v>16.920999999999999</v>
      </c>
      <c r="Q12" s="701">
        <v>10.297000000000001</v>
      </c>
      <c r="R12" s="701">
        <v>8.391</v>
      </c>
      <c r="S12" s="701">
        <v>16.565000000000001</v>
      </c>
      <c r="T12" s="701">
        <f>Segments!AF15</f>
        <v>52.173999999999999</v>
      </c>
      <c r="U12" s="702"/>
      <c r="V12" s="701">
        <v>15.148</v>
      </c>
      <c r="W12" s="746">
        <v>12.395</v>
      </c>
      <c r="X12" s="701"/>
      <c r="Y12" s="701"/>
      <c r="Z12" s="701">
        <f>Z$31*W15</f>
        <v>54.524901873967025</v>
      </c>
      <c r="AB12" s="701"/>
      <c r="AC12" s="701"/>
      <c r="AD12" s="701"/>
      <c r="AE12" s="701"/>
      <c r="AF12" s="701">
        <f t="shared" ref="AF12" si="3">AF$31*W15</f>
        <v>65.429882248760421</v>
      </c>
      <c r="AG12" s="702"/>
      <c r="AH12" s="701">
        <f t="shared" si="0"/>
        <v>77.425360661033167</v>
      </c>
      <c r="AI12" s="701"/>
      <c r="AJ12" s="701">
        <f t="shared" si="1"/>
        <v>90.329587437872021</v>
      </c>
      <c r="AK12" s="701"/>
      <c r="AL12" s="701">
        <f t="shared" si="2"/>
        <v>103.87902555355282</v>
      </c>
      <c r="AM12" s="701"/>
    </row>
    <row r="13" spans="1:60" ht="14.25" customHeight="1" x14ac:dyDescent="0.25">
      <c r="W13" s="280">
        <f>W10/W31</f>
        <v>0.71950392808721653</v>
      </c>
      <c r="AJ13" s="701"/>
    </row>
    <row r="14" spans="1:60" ht="19.5" customHeight="1" x14ac:dyDescent="0.25">
      <c r="B14" s="676" t="s">
        <v>427</v>
      </c>
      <c r="T14" s="280"/>
      <c r="W14" s="280">
        <v>0.22289999999999999</v>
      </c>
    </row>
    <row r="15" spans="1:60" ht="14.25" customHeight="1" x14ac:dyDescent="0.25">
      <c r="B15" s="677" t="s">
        <v>428</v>
      </c>
      <c r="W15" s="280">
        <v>5.7599999999999998E-2</v>
      </c>
      <c r="AS15" s="598">
        <v>2022</v>
      </c>
      <c r="AT15" s="598">
        <f>+AS15+1</f>
        <v>2023</v>
      </c>
      <c r="AU15" s="598">
        <f t="shared" ref="AU15:AZ15" si="4">+AT15+1</f>
        <v>2024</v>
      </c>
      <c r="AV15" s="599">
        <f t="shared" si="4"/>
        <v>2025</v>
      </c>
      <c r="AW15" s="599">
        <f t="shared" si="4"/>
        <v>2026</v>
      </c>
      <c r="AX15" s="599">
        <f t="shared" si="4"/>
        <v>2027</v>
      </c>
      <c r="AY15" s="599">
        <f t="shared" si="4"/>
        <v>2028</v>
      </c>
      <c r="AZ15" s="599">
        <f t="shared" si="4"/>
        <v>2029</v>
      </c>
    </row>
    <row r="16" spans="1:60" ht="14.25" customHeight="1" x14ac:dyDescent="0.25">
      <c r="B16" s="677" t="s">
        <v>429</v>
      </c>
      <c r="AD16" s="701"/>
      <c r="AR16" s="96" t="s">
        <v>344</v>
      </c>
      <c r="AS16" s="298">
        <f>H61+H128</f>
        <v>64.38900000000001</v>
      </c>
      <c r="AT16" s="298">
        <f>N61+N128</f>
        <v>103.929</v>
      </c>
      <c r="AU16" s="298">
        <f>T61+T128</f>
        <v>160.02000000000001</v>
      </c>
      <c r="AV16" s="298">
        <f>Z61+Z128</f>
        <v>165.56257380423662</v>
      </c>
      <c r="AW16" s="298">
        <f>AF61+AF128</f>
        <v>206.4441337898995</v>
      </c>
      <c r="AX16" s="298">
        <f>AH61+AH128</f>
        <v>241.01170536613523</v>
      </c>
      <c r="AY16" s="298">
        <f>AJ61+AJ128</f>
        <v>279.74862866872388</v>
      </c>
      <c r="AZ16" s="298">
        <f>AL61+AL128</f>
        <v>319.85058762887024</v>
      </c>
      <c r="BA16" s="298"/>
      <c r="BB16" s="298"/>
      <c r="BC16" s="298"/>
      <c r="BD16" s="298"/>
      <c r="BE16" s="298"/>
      <c r="BF16" s="298"/>
      <c r="BG16" s="298"/>
      <c r="BH16" s="298"/>
    </row>
    <row r="17" spans="1:55" ht="14.25" customHeight="1" x14ac:dyDescent="0.25">
      <c r="AR17" s="96" t="s">
        <v>430</v>
      </c>
      <c r="AS17" s="298">
        <f>H136</f>
        <v>-171.72758096536137</v>
      </c>
      <c r="AT17" s="298">
        <f>N136</f>
        <v>-137.49706369681633</v>
      </c>
      <c r="AU17" s="298">
        <f>T136</f>
        <v>16.513302499057076</v>
      </c>
      <c r="AV17" s="298">
        <f>Z136</f>
        <v>-112.51087078390749</v>
      </c>
      <c r="AW17" s="298">
        <f>AF136</f>
        <v>99.493810252032247</v>
      </c>
      <c r="AX17" s="298">
        <f>AH136</f>
        <v>142.71881997247334</v>
      </c>
      <c r="AY17" s="298">
        <f>AJ136</f>
        <v>157.47185321863208</v>
      </c>
      <c r="AZ17" s="298">
        <f>AL136</f>
        <v>194.58486204486442</v>
      </c>
    </row>
    <row r="18" spans="1:55" ht="14.25" customHeight="1" x14ac:dyDescent="0.25">
      <c r="AR18" s="96" t="s">
        <v>431</v>
      </c>
      <c r="AS18" s="313">
        <f>H32</f>
        <v>0.49694130147718396</v>
      </c>
      <c r="AT18" s="313">
        <f>N32</f>
        <v>0.43435468274216116</v>
      </c>
      <c r="AU18" s="313">
        <f>T32</f>
        <v>0.40234130563021453</v>
      </c>
      <c r="AV18" s="313">
        <f>Z32</f>
        <v>0.21031977240821953</v>
      </c>
      <c r="AW18" s="313">
        <f>AF32</f>
        <v>0.19999999999999996</v>
      </c>
      <c r="AX18" s="313">
        <f>AH32</f>
        <v>0.18333333333333329</v>
      </c>
      <c r="AY18" s="313">
        <f>+AJ32</f>
        <v>0.16666666666666663</v>
      </c>
      <c r="AZ18" s="313">
        <f>+AL32</f>
        <v>0.14999999999999997</v>
      </c>
      <c r="BC18" s="298"/>
    </row>
    <row r="21" spans="1:55" s="42" customFormat="1" ht="15" customHeight="1" x14ac:dyDescent="0.3">
      <c r="B21" s="513"/>
      <c r="C21" s="514"/>
      <c r="D21" s="515"/>
      <c r="E21" s="515"/>
      <c r="F21" s="515"/>
      <c r="G21" s="515"/>
      <c r="H21" s="515"/>
      <c r="I21" s="514"/>
      <c r="J21" s="515"/>
      <c r="K21" s="515"/>
      <c r="L21" s="515"/>
      <c r="M21" s="515"/>
      <c r="N21" s="515"/>
      <c r="O21" s="514"/>
      <c r="P21" s="515"/>
      <c r="Q21" s="515"/>
      <c r="R21" s="515"/>
      <c r="S21" s="515"/>
      <c r="T21" s="515"/>
      <c r="U21" s="516"/>
      <c r="V21" s="515"/>
      <c r="W21" s="515"/>
      <c r="X21" s="517"/>
      <c r="Y21" s="517"/>
      <c r="Z21" s="517">
        <f>SUM(Z10:Z12)</f>
        <v>946.61659813432391</v>
      </c>
      <c r="AA21" s="517"/>
      <c r="AB21" s="517"/>
      <c r="AC21" s="517"/>
      <c r="AD21" s="517"/>
      <c r="AE21" s="517"/>
      <c r="AF21" s="517">
        <f>SUM(AF10:AF12)</f>
        <v>1135.9399177611886</v>
      </c>
      <c r="AG21" s="517"/>
      <c r="AH21" s="517">
        <f>SUM(AH10:AH12)</f>
        <v>1344.19556935074</v>
      </c>
      <c r="AI21" s="517"/>
      <c r="AJ21" s="517">
        <f>SUM(AJ10:AJ12)</f>
        <v>1568.2281642425298</v>
      </c>
      <c r="AK21" s="517"/>
      <c r="AL21" s="517">
        <f>SUM(AL10:AL12)</f>
        <v>1803.462388878909</v>
      </c>
      <c r="AM21" s="517"/>
    </row>
    <row r="22" spans="1:55" s="42" customFormat="1" ht="15" customHeight="1" x14ac:dyDescent="0.3">
      <c r="C22" s="18"/>
      <c r="I22" s="18"/>
      <c r="O22" s="18"/>
      <c r="U22" s="18"/>
      <c r="AA22" s="18"/>
      <c r="AG22" s="18"/>
      <c r="AI22" s="18"/>
      <c r="AJ22" s="43"/>
      <c r="AK22" s="18"/>
      <c r="AL22" s="43"/>
    </row>
    <row r="23" spans="1:55" s="42" customFormat="1" ht="15" customHeight="1" x14ac:dyDescent="0.3">
      <c r="A23" s="31" t="s">
        <v>38</v>
      </c>
      <c r="B23" s="147"/>
      <c r="C23" s="19"/>
      <c r="D23" s="148"/>
      <c r="E23" s="148"/>
      <c r="F23" s="148"/>
      <c r="G23" s="148"/>
      <c r="H23" s="148"/>
      <c r="I23" s="19"/>
      <c r="J23" s="148"/>
      <c r="K23" s="148"/>
      <c r="L23" s="148"/>
      <c r="M23" s="148"/>
      <c r="N23" s="148"/>
      <c r="O23" s="19"/>
      <c r="P23" s="148"/>
      <c r="Q23" s="148"/>
      <c r="R23" s="148"/>
      <c r="S23" s="148"/>
      <c r="T23" s="148"/>
      <c r="U23" s="19"/>
      <c r="V23" s="148"/>
      <c r="W23" s="148"/>
      <c r="X23" s="148"/>
      <c r="Y23" s="148"/>
      <c r="Z23" s="148"/>
      <c r="AA23" s="19"/>
      <c r="AB23" s="148"/>
      <c r="AC23" s="148"/>
      <c r="AD23" s="148"/>
      <c r="AE23" s="148"/>
      <c r="AF23" s="148"/>
      <c r="AG23" s="19"/>
      <c r="AH23" s="148"/>
      <c r="AI23" s="19"/>
      <c r="AJ23" s="149"/>
      <c r="AK23" s="19"/>
      <c r="AL23" s="149"/>
      <c r="AM23" s="149"/>
    </row>
    <row r="24" spans="1:55" s="42" customFormat="1" ht="15" customHeight="1" x14ac:dyDescent="0.3">
      <c r="B24" s="150"/>
      <c r="C24" s="19"/>
      <c r="D24" s="803">
        <f>D$8</f>
        <v>2022</v>
      </c>
      <c r="E24" s="803">
        <f>F24</f>
        <v>0</v>
      </c>
      <c r="F24" s="803">
        <f>F$8</f>
        <v>0</v>
      </c>
      <c r="G24" s="803">
        <f>F24</f>
        <v>0</v>
      </c>
      <c r="H24" s="803">
        <f>F24</f>
        <v>0</v>
      </c>
      <c r="I24" s="155"/>
      <c r="J24" s="803">
        <f>J$8</f>
        <v>2023</v>
      </c>
      <c r="K24" s="803">
        <f>L24</f>
        <v>0</v>
      </c>
      <c r="L24" s="803">
        <f>L$8</f>
        <v>0</v>
      </c>
      <c r="M24" s="803">
        <f>L24</f>
        <v>0</v>
      </c>
      <c r="N24" s="803">
        <f>L24</f>
        <v>0</v>
      </c>
      <c r="O24" s="155"/>
      <c r="P24" s="803">
        <f>P$8</f>
        <v>2024</v>
      </c>
      <c r="Q24" s="803">
        <f>R24</f>
        <v>0</v>
      </c>
      <c r="R24" s="803">
        <f>R$8</f>
        <v>0</v>
      </c>
      <c r="S24" s="803">
        <f>R24</f>
        <v>0</v>
      </c>
      <c r="T24" s="803">
        <f>R24</f>
        <v>0</v>
      </c>
      <c r="U24" s="155"/>
      <c r="V24" s="802">
        <f>V$8</f>
        <v>2025</v>
      </c>
      <c r="W24" s="802">
        <f>X24</f>
        <v>0</v>
      </c>
      <c r="X24" s="802">
        <f>X$8</f>
        <v>0</v>
      </c>
      <c r="Y24" s="802">
        <f>X24</f>
        <v>0</v>
      </c>
      <c r="Z24" s="802">
        <f>X24</f>
        <v>0</v>
      </c>
      <c r="AA24" s="155"/>
      <c r="AB24" s="802">
        <f>AB$8</f>
        <v>2026</v>
      </c>
      <c r="AC24" s="802">
        <f>AD24</f>
        <v>0</v>
      </c>
      <c r="AD24" s="802">
        <f>AD$8</f>
        <v>0</v>
      </c>
      <c r="AE24" s="802">
        <f>AD24</f>
        <v>0</v>
      </c>
      <c r="AF24" s="802">
        <f>AD24</f>
        <v>0</v>
      </c>
      <c r="AG24" s="157"/>
      <c r="AH24" s="152">
        <f>AH$8</f>
        <v>2027</v>
      </c>
      <c r="AI24" s="153"/>
      <c r="AJ24" s="152">
        <f>AJ$8</f>
        <v>2028</v>
      </c>
      <c r="AK24" s="153"/>
      <c r="AL24" s="152">
        <f>AL$8</f>
        <v>2029</v>
      </c>
      <c r="AM24" s="149"/>
    </row>
    <row r="25" spans="1:55" s="42" customFormat="1" ht="14.25" customHeight="1" x14ac:dyDescent="0.3">
      <c r="B25" s="150"/>
      <c r="C25" s="19"/>
      <c r="D25" s="154" t="s">
        <v>219</v>
      </c>
      <c r="E25" s="154" t="s">
        <v>220</v>
      </c>
      <c r="F25" s="154" t="s">
        <v>221</v>
      </c>
      <c r="G25" s="154" t="s">
        <v>222</v>
      </c>
      <c r="H25" s="154" t="s">
        <v>223</v>
      </c>
      <c r="I25" s="151"/>
      <c r="J25" s="154" t="s">
        <v>219</v>
      </c>
      <c r="K25" s="154" t="s">
        <v>220</v>
      </c>
      <c r="L25" s="154" t="s">
        <v>221</v>
      </c>
      <c r="M25" s="154" t="s">
        <v>222</v>
      </c>
      <c r="N25" s="154" t="s">
        <v>223</v>
      </c>
      <c r="O25" s="151"/>
      <c r="P25" s="154" t="s">
        <v>219</v>
      </c>
      <c r="Q25" s="154" t="s">
        <v>220</v>
      </c>
      <c r="R25" s="154" t="s">
        <v>221</v>
      </c>
      <c r="S25" s="154" t="s">
        <v>222</v>
      </c>
      <c r="T25" s="154" t="s">
        <v>223</v>
      </c>
      <c r="U25" s="151"/>
      <c r="V25" s="154" t="s">
        <v>219</v>
      </c>
      <c r="W25" s="154" t="s">
        <v>220</v>
      </c>
      <c r="X25" s="154" t="s">
        <v>221</v>
      </c>
      <c r="Y25" s="154" t="s">
        <v>222</v>
      </c>
      <c r="Z25" s="154" t="s">
        <v>223</v>
      </c>
      <c r="AA25" s="151"/>
      <c r="AB25" s="154" t="s">
        <v>219</v>
      </c>
      <c r="AC25" s="154" t="s">
        <v>220</v>
      </c>
      <c r="AD25" s="154" t="s">
        <v>221</v>
      </c>
      <c r="AE25" s="154" t="s">
        <v>222</v>
      </c>
      <c r="AF25" s="154" t="s">
        <v>223</v>
      </c>
      <c r="AG25" s="151"/>
      <c r="AH25" s="154" t="s">
        <v>223</v>
      </c>
      <c r="AI25" s="151"/>
      <c r="AJ25" s="154" t="s">
        <v>223</v>
      </c>
      <c r="AK25" s="151"/>
      <c r="AL25" s="154" t="s">
        <v>223</v>
      </c>
      <c r="AM25" s="149"/>
    </row>
    <row r="26" spans="1:55" s="42" customFormat="1" ht="4.05" customHeight="1" x14ac:dyDescent="0.3">
      <c r="A26" s="44"/>
      <c r="B26" s="162"/>
      <c r="C26" s="36"/>
      <c r="D26" s="163"/>
      <c r="E26" s="163"/>
      <c r="F26" s="163"/>
      <c r="G26" s="163"/>
      <c r="H26" s="163"/>
      <c r="I26" s="164"/>
      <c r="J26" s="163"/>
      <c r="K26" s="163"/>
      <c r="L26" s="163"/>
      <c r="M26" s="163"/>
      <c r="N26" s="163"/>
      <c r="O26" s="164"/>
      <c r="P26" s="163"/>
      <c r="Q26" s="163"/>
      <c r="R26" s="163"/>
      <c r="S26" s="163"/>
      <c r="T26" s="163"/>
      <c r="U26" s="164"/>
      <c r="V26" s="163"/>
      <c r="W26" s="163"/>
      <c r="X26" s="163"/>
      <c r="Y26" s="163"/>
      <c r="Z26" s="165"/>
      <c r="AA26" s="166"/>
      <c r="AB26" s="165"/>
      <c r="AC26" s="165"/>
      <c r="AD26" s="165"/>
      <c r="AE26" s="165"/>
      <c r="AF26" s="165"/>
      <c r="AG26" s="166"/>
      <c r="AH26" s="165"/>
      <c r="AI26" s="166"/>
      <c r="AJ26" s="165"/>
      <c r="AK26" s="166"/>
      <c r="AL26" s="165"/>
      <c r="AM26" s="165"/>
    </row>
    <row r="27" spans="1:55" s="55" customFormat="1" ht="4.05" customHeight="1" x14ac:dyDescent="0.25">
      <c r="A27" s="45"/>
      <c r="B27" s="46"/>
      <c r="C27" s="24"/>
      <c r="D27" s="66"/>
      <c r="E27" s="66"/>
      <c r="F27" s="66"/>
      <c r="G27" s="66"/>
      <c r="H27" s="58"/>
      <c r="I27" s="58"/>
      <c r="J27" s="66"/>
      <c r="K27" s="66"/>
      <c r="L27" s="66"/>
      <c r="M27" s="66"/>
      <c r="N27" s="58"/>
      <c r="O27" s="58"/>
      <c r="P27" s="66"/>
      <c r="Q27" s="66"/>
      <c r="R27" s="66"/>
      <c r="S27" s="66"/>
      <c r="T27" s="58"/>
      <c r="U27" s="71"/>
      <c r="V27" s="66"/>
      <c r="W27" s="66"/>
      <c r="X27" s="68"/>
      <c r="Y27" s="68"/>
      <c r="Z27" s="58"/>
      <c r="AA27" s="71"/>
      <c r="AB27" s="68"/>
      <c r="AC27" s="68"/>
      <c r="AD27" s="68"/>
      <c r="AE27" s="68"/>
      <c r="AF27" s="58"/>
      <c r="AG27" s="71"/>
      <c r="AH27" s="59"/>
      <c r="AI27" s="72"/>
      <c r="AJ27" s="59"/>
    </row>
    <row r="28" spans="1:55" s="55" customFormat="1" ht="14.25" customHeight="1" x14ac:dyDescent="0.3">
      <c r="A28" s="45"/>
      <c r="B28" s="147" t="s">
        <v>432</v>
      </c>
      <c r="C28" s="172"/>
      <c r="D28" s="173"/>
      <c r="E28" s="173"/>
      <c r="F28" s="173"/>
      <c r="G28" s="173"/>
      <c r="H28" s="174"/>
      <c r="I28" s="174"/>
      <c r="J28" s="173"/>
      <c r="K28" s="173"/>
      <c r="L28" s="173"/>
      <c r="M28" s="173"/>
      <c r="N28" s="174"/>
      <c r="O28" s="174"/>
      <c r="P28" s="173"/>
      <c r="Q28" s="173"/>
      <c r="R28" s="173"/>
      <c r="S28" s="173"/>
      <c r="T28" s="174"/>
      <c r="U28" s="175"/>
      <c r="V28" s="173"/>
      <c r="W28" s="173"/>
      <c r="X28" s="176"/>
      <c r="Y28" s="176"/>
      <c r="Z28" s="174"/>
      <c r="AA28" s="175"/>
      <c r="AB28" s="176"/>
      <c r="AC28" s="176"/>
      <c r="AD28" s="176"/>
      <c r="AE28" s="176"/>
      <c r="AF28" s="174"/>
      <c r="AG28" s="175"/>
      <c r="AH28" s="177"/>
      <c r="AI28" s="178"/>
      <c r="AJ28" s="177"/>
      <c r="AK28" s="179"/>
      <c r="AL28" s="179"/>
      <c r="AM28" s="179"/>
    </row>
    <row r="29" spans="1:55" s="55" customFormat="1" ht="4.05" customHeight="1" x14ac:dyDescent="0.25">
      <c r="A29" s="45"/>
      <c r="B29" s="180"/>
      <c r="C29" s="37"/>
      <c r="D29" s="181"/>
      <c r="E29" s="181"/>
      <c r="F29" s="181"/>
      <c r="G29" s="181"/>
      <c r="H29" s="182"/>
      <c r="I29" s="182"/>
      <c r="J29" s="181"/>
      <c r="K29" s="181"/>
      <c r="L29" s="181"/>
      <c r="M29" s="181"/>
      <c r="N29" s="182"/>
      <c r="O29" s="182"/>
      <c r="P29" s="181"/>
      <c r="Q29" s="181"/>
      <c r="R29" s="181"/>
      <c r="S29" s="181"/>
      <c r="T29" s="182"/>
      <c r="U29" s="183"/>
      <c r="V29" s="181"/>
      <c r="W29" s="181"/>
      <c r="X29" s="184"/>
      <c r="Y29" s="184"/>
      <c r="Z29" s="182"/>
      <c r="AA29" s="183"/>
      <c r="AB29" s="184"/>
      <c r="AC29" s="184"/>
      <c r="AD29" s="184"/>
      <c r="AE29" s="184"/>
      <c r="AF29" s="182"/>
      <c r="AG29" s="183"/>
      <c r="AH29" s="185"/>
      <c r="AI29" s="186"/>
      <c r="AJ29" s="185"/>
      <c r="AK29" s="187"/>
      <c r="AL29" s="187"/>
      <c r="AM29" s="187"/>
    </row>
    <row r="30" spans="1:55" s="55" customFormat="1" ht="4.05" customHeight="1" x14ac:dyDescent="0.25">
      <c r="A30" s="45"/>
      <c r="B30" s="46"/>
      <c r="C30" s="24"/>
      <c r="D30" s="66"/>
      <c r="E30" s="66"/>
      <c r="F30" s="66"/>
      <c r="G30" s="66"/>
      <c r="H30" s="58"/>
      <c r="I30" s="58"/>
      <c r="J30" s="66"/>
      <c r="K30" s="66"/>
      <c r="L30" s="66"/>
      <c r="M30" s="66"/>
      <c r="N30" s="58"/>
      <c r="O30" s="58"/>
      <c r="P30" s="66"/>
      <c r="Q30" s="66"/>
      <c r="R30" s="66"/>
      <c r="S30" s="66"/>
      <c r="T30" s="58"/>
      <c r="U30" s="50"/>
      <c r="V30" s="66"/>
      <c r="W30" s="66"/>
      <c r="X30" s="68"/>
      <c r="Y30" s="68"/>
      <c r="Z30" s="58"/>
      <c r="AA30" s="71"/>
      <c r="AB30" s="68"/>
      <c r="AC30" s="68"/>
      <c r="AD30" s="68"/>
      <c r="AE30" s="68"/>
      <c r="AF30" s="58"/>
      <c r="AG30" s="71"/>
      <c r="AH30" s="59"/>
      <c r="AI30" s="72"/>
      <c r="AJ30" s="59"/>
    </row>
    <row r="31" spans="1:55" s="55" customFormat="1" ht="14.25" customHeight="1" x14ac:dyDescent="0.3">
      <c r="A31" s="45"/>
      <c r="B31" s="29" t="s">
        <v>433</v>
      </c>
      <c r="C31" s="24"/>
      <c r="D31" s="51">
        <f>IS!P18</f>
        <v>42.186</v>
      </c>
      <c r="E31" s="51">
        <f>IS!Q18</f>
        <v>104.395</v>
      </c>
      <c r="F31" s="51">
        <f>IS!R18</f>
        <v>133.709</v>
      </c>
      <c r="G31" s="51">
        <f>IS!S18</f>
        <v>108.542</v>
      </c>
      <c r="H31" s="59">
        <f>IS!T18</f>
        <v>388.83199999999999</v>
      </c>
      <c r="I31" s="58"/>
      <c r="J31" s="51">
        <f>IS!V18</f>
        <v>74.256</v>
      </c>
      <c r="K31" s="51">
        <f>IS!W18</f>
        <v>144.577</v>
      </c>
      <c r="L31" s="51">
        <f>IS!X18</f>
        <v>168.56899999999999</v>
      </c>
      <c r="M31" s="51">
        <f>IS!Y18</f>
        <v>170.321</v>
      </c>
      <c r="N31" s="59">
        <f>IS!Z18</f>
        <v>557.72299999999996</v>
      </c>
      <c r="O31" s="58"/>
      <c r="P31" s="51">
        <f>IS!AB18</f>
        <v>152.191</v>
      </c>
      <c r="Q31" s="51">
        <f>IS!AC18</f>
        <v>202.48</v>
      </c>
      <c r="R31" s="51">
        <f>IS!AD18</f>
        <v>203.976</v>
      </c>
      <c r="S31" s="51">
        <f>IS!AE18</f>
        <v>223.471</v>
      </c>
      <c r="T31" s="59">
        <f>IS!AF18</f>
        <v>782.11800000000005</v>
      </c>
      <c r="U31" s="50"/>
      <c r="V31" s="51">
        <f>IS!AH18</f>
        <v>172.34700000000001</v>
      </c>
      <c r="W31" s="51">
        <f>IS!AI18</f>
        <v>215.37200000000001</v>
      </c>
      <c r="X31" s="286">
        <f>W31*(1+X32)</f>
        <v>254.04267261653268</v>
      </c>
      <c r="Y31" s="286">
        <f>X31*(1+Y32)</f>
        <v>304.85120713983923</v>
      </c>
      <c r="Z31" s="747">
        <f>SUM(V31:Y31)</f>
        <v>946.61287975637197</v>
      </c>
      <c r="AA31" s="747"/>
      <c r="AB31" s="737">
        <f>V31*(1+AB32)</f>
        <v>206.81640000000002</v>
      </c>
      <c r="AC31" s="737">
        <f t="shared" ref="AC31:AE31" si="5">W31*(1+AC32)</f>
        <v>258.44639999999998</v>
      </c>
      <c r="AD31" s="737">
        <f t="shared" si="5"/>
        <v>304.85120713983923</v>
      </c>
      <c r="AE31" s="737">
        <f t="shared" si="5"/>
        <v>365.82144856780707</v>
      </c>
      <c r="AF31" s="747">
        <f>SUM(AB31:AE31)</f>
        <v>1135.9354557076463</v>
      </c>
      <c r="AG31" s="747"/>
      <c r="AH31" s="747">
        <f>AF31*(1+AH32)</f>
        <v>1344.1902892540481</v>
      </c>
      <c r="AI31" s="747"/>
      <c r="AJ31" s="747">
        <f>AH31*(1+AJ32)</f>
        <v>1568.2220041297226</v>
      </c>
      <c r="AK31" s="747"/>
      <c r="AL31" s="747">
        <f>AJ31*(1+AL32)</f>
        <v>1803.4553047491809</v>
      </c>
      <c r="AS31" s="298"/>
      <c r="AT31" s="298"/>
      <c r="AU31" s="298"/>
      <c r="AV31" s="298"/>
      <c r="AW31" s="298"/>
      <c r="AX31" s="298"/>
      <c r="AY31" s="298"/>
      <c r="AZ31" s="298"/>
    </row>
    <row r="32" spans="1:55" s="55" customFormat="1" ht="14.25" customHeight="1" x14ac:dyDescent="0.25">
      <c r="A32" s="56"/>
      <c r="B32" s="32" t="s">
        <v>434</v>
      </c>
      <c r="C32" s="24"/>
      <c r="D32" s="291">
        <f>D31/IS!J18-1</f>
        <v>-3.5351687551449684E-2</v>
      </c>
      <c r="E32" s="291">
        <f>E31/IS!K18-1</f>
        <v>0.93812193672954103</v>
      </c>
      <c r="F32" s="291">
        <f>F31/IS!L18-1</f>
        <v>0.99526957456015985</v>
      </c>
      <c r="G32" s="291">
        <f>G31/IS!M18-1</f>
        <v>0.14084210968867583</v>
      </c>
      <c r="H32" s="292">
        <f>H31/IS!N18-1</f>
        <v>0.49694130147718396</v>
      </c>
      <c r="I32" s="58"/>
      <c r="J32" s="291">
        <f>J31/IS!P18-1</f>
        <v>0.76020480728203665</v>
      </c>
      <c r="K32" s="291">
        <f>K31/IS!Q18-1</f>
        <v>0.38490349154653014</v>
      </c>
      <c r="L32" s="291">
        <f>L31/IS!R18-1</f>
        <v>0.26071543426396127</v>
      </c>
      <c r="M32" s="291">
        <f>M31/IS!S18-1</f>
        <v>0.56917138066370621</v>
      </c>
      <c r="N32" s="292">
        <f>N31/H31-1</f>
        <v>0.43435468274216116</v>
      </c>
      <c r="O32" s="58"/>
      <c r="P32" s="291">
        <f>P31/IS!V18-1</f>
        <v>1.0495448179271709</v>
      </c>
      <c r="Q32" s="291">
        <f>Q31/IS!W18-1</f>
        <v>0.40049938786943984</v>
      </c>
      <c r="R32" s="291">
        <f>R31/IS!X18-1</f>
        <v>0.21004455148930123</v>
      </c>
      <c r="S32" s="291">
        <f>S31/IS!Y18-1</f>
        <v>0.3120578202335591</v>
      </c>
      <c r="T32" s="292">
        <f>T31/N31-1</f>
        <v>0.40234130563021453</v>
      </c>
      <c r="U32" s="50"/>
      <c r="V32" s="291">
        <f>V31/IS!AB18-1</f>
        <v>0.13243884329559563</v>
      </c>
      <c r="W32" s="291">
        <f>W31/IS!AC18-1</f>
        <v>6.3670485973923441E-2</v>
      </c>
      <c r="X32" s="736">
        <f>AVERAGE(V32:W32,R32:S32)</f>
        <v>0.17955292524809485</v>
      </c>
      <c r="Y32" s="291">
        <v>0.2</v>
      </c>
      <c r="Z32" s="292">
        <f>Z31/T31-1</f>
        <v>0.21031977240821953</v>
      </c>
      <c r="AA32" s="71"/>
      <c r="AB32" s="291">
        <v>0.2</v>
      </c>
      <c r="AC32" s="291">
        <v>0.2</v>
      </c>
      <c r="AD32" s="291">
        <v>0.2</v>
      </c>
      <c r="AE32" s="291">
        <v>0.2</v>
      </c>
      <c r="AF32" s="292">
        <f>AF31/Z31-1</f>
        <v>0.19999999999999996</v>
      </c>
      <c r="AG32" s="71"/>
      <c r="AH32" s="292">
        <f>AF32-((0.2-0.15)/3)</f>
        <v>0.18333333333333329</v>
      </c>
      <c r="AI32" s="72"/>
      <c r="AJ32" s="292">
        <f>AH32-((0.2-0.15)/3)</f>
        <v>0.16666666666666663</v>
      </c>
      <c r="AL32" s="759">
        <f>AJ32-((0.2-0.15)/3)</f>
        <v>0.14999999999999997</v>
      </c>
    </row>
    <row r="33" spans="2:45" s="55" customFormat="1" ht="14.25" customHeight="1" x14ac:dyDescent="0.25">
      <c r="B33" s="32"/>
      <c r="C33" s="24"/>
      <c r="D33" s="291"/>
      <c r="E33" s="291"/>
      <c r="F33" s="291"/>
      <c r="G33" s="291"/>
      <c r="H33" s="294"/>
      <c r="I33" s="49"/>
      <c r="J33" s="291"/>
      <c r="K33" s="291"/>
      <c r="L33" s="291"/>
      <c r="M33" s="291"/>
      <c r="N33" s="294"/>
      <c r="O33" s="71"/>
      <c r="P33" s="291"/>
      <c r="Q33" s="291"/>
      <c r="R33" s="291"/>
      <c r="S33" s="291"/>
      <c r="T33" s="294"/>
      <c r="U33" s="50"/>
      <c r="V33" s="291"/>
      <c r="W33" s="291"/>
      <c r="X33" s="51"/>
      <c r="Y33" s="51"/>
      <c r="Z33" s="66"/>
      <c r="AA33" s="71"/>
      <c r="AB33" s="51"/>
      <c r="AC33" s="51"/>
      <c r="AD33" s="51"/>
      <c r="AE33" s="51"/>
      <c r="AF33" s="66"/>
      <c r="AG33" s="71"/>
      <c r="AH33" s="68"/>
      <c r="AI33" s="72"/>
      <c r="AJ33" s="68"/>
    </row>
    <row r="34" spans="2:45" s="55" customFormat="1" ht="14.25" customHeight="1" x14ac:dyDescent="0.3">
      <c r="B34" s="29" t="s">
        <v>435</v>
      </c>
      <c r="C34" s="24"/>
      <c r="D34" s="51">
        <f>IS!P21</f>
        <v>22.5</v>
      </c>
      <c r="E34" s="51">
        <f>IS!Q21</f>
        <v>60.238</v>
      </c>
      <c r="F34" s="51">
        <f>IS!R21</f>
        <v>67.742000000000004</v>
      </c>
      <c r="G34" s="51">
        <f>IS!S21</f>
        <v>54.737000000000002</v>
      </c>
      <c r="H34" s="59">
        <f>IS!T21</f>
        <v>205.21700000000001</v>
      </c>
      <c r="I34" s="58"/>
      <c r="J34" s="51">
        <f>IS!V21</f>
        <v>34.270000000000003</v>
      </c>
      <c r="K34" s="51">
        <f>IS!W21</f>
        <v>75.938000000000002</v>
      </c>
      <c r="L34" s="51">
        <f>IS!X21</f>
        <v>80.055000000000007</v>
      </c>
      <c r="M34" s="51">
        <f>IS!Y21</f>
        <v>91.245000000000005</v>
      </c>
      <c r="N34" s="59">
        <f>IS!Z21</f>
        <v>281.50799999999998</v>
      </c>
      <c r="O34" s="58"/>
      <c r="P34" s="51">
        <f>IS!AB21</f>
        <v>73.069999999999993</v>
      </c>
      <c r="Q34" s="51">
        <f>IS!AC21</f>
        <v>105.696</v>
      </c>
      <c r="R34" s="51">
        <f>IS!AD21</f>
        <v>99.141999999999996</v>
      </c>
      <c r="S34" s="51">
        <f>IS!AE21</f>
        <v>112.65600000000001</v>
      </c>
      <c r="T34" s="59">
        <f>IS!AF21</f>
        <v>390.56400000000002</v>
      </c>
      <c r="U34" s="50"/>
      <c r="V34" s="51">
        <f>IS!AH21</f>
        <v>89.796999999999997</v>
      </c>
      <c r="W34" s="51">
        <f>IS!AI21</f>
        <v>110.911</v>
      </c>
      <c r="X34" s="47">
        <f>(X35+Sensitivity!$U$39)*X$31</f>
        <v>128.68309402241448</v>
      </c>
      <c r="Y34" s="47">
        <f>(Y35+Sensitivity!$U$39)*Y$31</f>
        <v>155.9816085466405</v>
      </c>
      <c r="Z34" s="58">
        <f>SUM(V34:Y34)</f>
        <v>485.37270256905492</v>
      </c>
      <c r="AA34" s="71"/>
      <c r="AB34" s="47">
        <f>(AB35+Sensitivity!$U$39)*AB$31</f>
        <v>106.21079559994791</v>
      </c>
      <c r="AC34" s="47">
        <f>(AC35+Sensitivity!$U$39)*AC$31</f>
        <v>132.24257742948802</v>
      </c>
      <c r="AD34" s="47">
        <f>(AD35+Sensitivity!$U$39)*AD$31</f>
        <v>155.73628046396794</v>
      </c>
      <c r="AE34" s="47">
        <f>(AE35+Sensitivity!$U$39)*AE$31</f>
        <v>187.27850684788268</v>
      </c>
      <c r="AF34" s="58">
        <f>SUM(AB34:AE34)</f>
        <v>581.46816034128653</v>
      </c>
      <c r="AG34" s="71"/>
      <c r="AH34" s="58">
        <f>(AH35+Sensitivity!$U$39)*AH$31</f>
        <v>653.66712358366294</v>
      </c>
      <c r="AI34" s="72"/>
      <c r="AJ34" s="58">
        <f>(AJ35+Sensitivity!$U$39)*AJ$31</f>
        <v>724.48106197189304</v>
      </c>
      <c r="AL34" s="58">
        <f>(AL35+Sensitivity!$U$39)*AL$31</f>
        <v>791.49556020429304</v>
      </c>
      <c r="AP34" s="676"/>
    </row>
    <row r="35" spans="2:45" s="55" customFormat="1" ht="14.25" customHeight="1" x14ac:dyDescent="0.25">
      <c r="B35" s="32" t="s">
        <v>436</v>
      </c>
      <c r="C35" s="24"/>
      <c r="D35" s="291">
        <f>D34/D31</f>
        <v>0.53335229697055897</v>
      </c>
      <c r="E35" s="291">
        <f t="shared" ref="E35:H35" si="6">E34/E31</f>
        <v>0.57701997222089185</v>
      </c>
      <c r="F35" s="291">
        <f t="shared" si="6"/>
        <v>0.50663754870651945</v>
      </c>
      <c r="G35" s="291">
        <f t="shared" si="6"/>
        <v>0.50429326896500892</v>
      </c>
      <c r="H35" s="292">
        <f t="shared" si="6"/>
        <v>0.52777806353386558</v>
      </c>
      <c r="I35" s="58"/>
      <c r="J35" s="291">
        <f>J34/J31</f>
        <v>0.4615115276879983</v>
      </c>
      <c r="K35" s="291">
        <f t="shared" ref="K35:N35" si="7">K34/K31</f>
        <v>0.52524260428698899</v>
      </c>
      <c r="L35" s="291">
        <f t="shared" si="7"/>
        <v>0.47490938428773982</v>
      </c>
      <c r="M35" s="291">
        <f t="shared" si="7"/>
        <v>0.5357237216784777</v>
      </c>
      <c r="N35" s="292">
        <f t="shared" si="7"/>
        <v>0.50474518712694294</v>
      </c>
      <c r="O35" s="58"/>
      <c r="P35" s="291">
        <f>P34/P31</f>
        <v>0.48012037505502947</v>
      </c>
      <c r="Q35" s="291">
        <f t="shared" ref="Q35:S35" si="8">Q34/Q31</f>
        <v>0.52200711181351245</v>
      </c>
      <c r="R35" s="291">
        <f t="shared" si="8"/>
        <v>0.48604737812291643</v>
      </c>
      <c r="S35" s="291">
        <f t="shared" si="8"/>
        <v>0.50411910270236404</v>
      </c>
      <c r="T35" s="292">
        <f>T34/T31</f>
        <v>0.49936710317368987</v>
      </c>
      <c r="U35" s="50"/>
      <c r="V35" s="291">
        <f>V34/V31</f>
        <v>0.52102444486994259</v>
      </c>
      <c r="W35" s="291">
        <f t="shared" ref="W35" si="9">W34/W31</f>
        <v>0.51497409133963556</v>
      </c>
      <c r="X35" s="302">
        <f>AVERAGE(V35:W35,R35:S35)</f>
        <v>0.50654125425871466</v>
      </c>
      <c r="Y35" s="302">
        <f>AVERAGE(V35:X35,S35)</f>
        <v>0.51166472329266421</v>
      </c>
      <c r="Z35" s="292">
        <f>Z34/Z31</f>
        <v>0.51274677637385879</v>
      </c>
      <c r="AA35" s="71"/>
      <c r="AB35" s="302">
        <f>AVERAGE(V35:Y35)</f>
        <v>0.51355112844023931</v>
      </c>
      <c r="AC35" s="302">
        <f>AVERAGE(AB35,W35:Y35)</f>
        <v>0.51168279933281346</v>
      </c>
      <c r="AD35" s="302">
        <f>AVERAGE(AB35:AC35,X35:Y35)</f>
        <v>0.51085997633110791</v>
      </c>
      <c r="AE35" s="302">
        <f>AVERAGE(AB35:AD35,Y35)</f>
        <v>0.51193965684920617</v>
      </c>
      <c r="AF35" s="292">
        <f>AF34/AF31</f>
        <v>0.5118848587916055</v>
      </c>
      <c r="AG35" s="71"/>
      <c r="AH35" s="302">
        <f>AF35*0.95</f>
        <v>0.48629061585202521</v>
      </c>
      <c r="AI35" s="748"/>
      <c r="AJ35" s="302">
        <f>AH35*0.95</f>
        <v>0.46197608505942395</v>
      </c>
      <c r="AK35" s="748"/>
      <c r="AL35" s="302">
        <f>AJ35*0.95</f>
        <v>0.43887728080645272</v>
      </c>
      <c r="AP35" s="677"/>
    </row>
    <row r="36" spans="2:45" s="55" customFormat="1" ht="14.25" hidden="1" customHeight="1" x14ac:dyDescent="0.25">
      <c r="B36" s="32"/>
      <c r="C36" s="24"/>
      <c r="D36" s="47"/>
      <c r="E36" s="47"/>
      <c r="F36" s="47"/>
      <c r="G36" s="47"/>
      <c r="H36" s="58"/>
      <c r="I36" s="58"/>
      <c r="J36" s="47"/>
      <c r="K36" s="47"/>
      <c r="L36" s="47"/>
      <c r="M36" s="47"/>
      <c r="N36" s="58"/>
      <c r="O36" s="58"/>
      <c r="P36" s="47"/>
      <c r="Q36" s="47"/>
      <c r="R36" s="47"/>
      <c r="S36" s="47"/>
      <c r="T36" s="58"/>
      <c r="U36" s="50"/>
      <c r="V36" s="47"/>
      <c r="W36" s="47"/>
      <c r="X36" s="51"/>
      <c r="Y36" s="51"/>
      <c r="Z36" s="58"/>
      <c r="AA36" s="71"/>
      <c r="AB36" s="51"/>
      <c r="AC36" s="51"/>
      <c r="AD36" s="51"/>
      <c r="AE36" s="51"/>
      <c r="AF36" s="58"/>
      <c r="AG36" s="71"/>
      <c r="AH36" s="59">
        <v>0</v>
      </c>
      <c r="AI36" s="72"/>
      <c r="AJ36" s="59"/>
      <c r="AP36" s="677"/>
    </row>
    <row r="37" spans="2:45" s="55" customFormat="1" ht="14.25" hidden="1" customHeight="1" x14ac:dyDescent="0.3">
      <c r="B37" s="29" t="s">
        <v>437</v>
      </c>
      <c r="C37" s="24"/>
      <c r="D37" s="51">
        <f>IS!P22</f>
        <v>0</v>
      </c>
      <c r="E37" s="51">
        <f>IS!Q22</f>
        <v>0</v>
      </c>
      <c r="F37" s="51">
        <f>IS!R22</f>
        <v>0</v>
      </c>
      <c r="G37" s="51">
        <f>IS!S22</f>
        <v>0</v>
      </c>
      <c r="H37" s="59">
        <f>IS!T22</f>
        <v>0</v>
      </c>
      <c r="I37" s="58"/>
      <c r="J37" s="51">
        <f>IS!V22</f>
        <v>0</v>
      </c>
      <c r="K37" s="51">
        <f>IS!W22</f>
        <v>0</v>
      </c>
      <c r="L37" s="51">
        <f>IS!X22</f>
        <v>0</v>
      </c>
      <c r="M37" s="51">
        <f>IS!Y22</f>
        <v>0</v>
      </c>
      <c r="N37" s="59">
        <f>IS!Z22</f>
        <v>0</v>
      </c>
      <c r="O37" s="58"/>
      <c r="P37" s="51">
        <f>IS!AB22</f>
        <v>0</v>
      </c>
      <c r="Q37" s="51">
        <f>IS!AC22</f>
        <v>0</v>
      </c>
      <c r="R37" s="51">
        <f>IS!AD22</f>
        <v>0</v>
      </c>
      <c r="S37" s="51">
        <f>IS!AE22</f>
        <v>0</v>
      </c>
      <c r="T37" s="59">
        <f>IS!AF22</f>
        <v>0</v>
      </c>
      <c r="U37" s="50"/>
      <c r="V37" s="51">
        <f>IS!AH22</f>
        <v>0</v>
      </c>
      <c r="W37" s="51">
        <f>IS!AI22</f>
        <v>0</v>
      </c>
      <c r="X37" s="47">
        <f>X38*X34</f>
        <v>0</v>
      </c>
      <c r="Y37" s="47">
        <f>Y38*Y34</f>
        <v>0</v>
      </c>
      <c r="Z37" s="58">
        <f>SUM(V37:Y37)</f>
        <v>0</v>
      </c>
      <c r="AA37" s="71"/>
      <c r="AB37" s="47">
        <f t="shared" ref="AB37:AE37" si="10">AB38*AB34</f>
        <v>0</v>
      </c>
      <c r="AC37" s="47">
        <f t="shared" si="10"/>
        <v>0</v>
      </c>
      <c r="AD37" s="47">
        <f t="shared" si="10"/>
        <v>0</v>
      </c>
      <c r="AE37" s="47">
        <f t="shared" si="10"/>
        <v>0</v>
      </c>
      <c r="AF37" s="58">
        <f>SUM(AB37:AE37)</f>
        <v>0</v>
      </c>
      <c r="AG37" s="71"/>
      <c r="AH37" s="58">
        <f t="shared" ref="AH37:AL37" si="11">AH38*AH34</f>
        <v>0</v>
      </c>
      <c r="AI37" s="72"/>
      <c r="AJ37" s="58">
        <f t="shared" si="11"/>
        <v>0</v>
      </c>
      <c r="AL37" s="58">
        <f t="shared" si="11"/>
        <v>0</v>
      </c>
    </row>
    <row r="38" spans="2:45" s="55" customFormat="1" ht="14.25" hidden="1" customHeight="1" x14ac:dyDescent="0.25">
      <c r="B38" s="32" t="s">
        <v>438</v>
      </c>
      <c r="C38" s="24"/>
      <c r="D38" s="293">
        <f>D37/D34</f>
        <v>0</v>
      </c>
      <c r="E38" s="293">
        <f t="shared" ref="E38:H38" si="12">E37/E34</f>
        <v>0</v>
      </c>
      <c r="F38" s="293">
        <f t="shared" si="12"/>
        <v>0</v>
      </c>
      <c r="G38" s="293">
        <f t="shared" si="12"/>
        <v>0</v>
      </c>
      <c r="H38" s="292">
        <f t="shared" si="12"/>
        <v>0</v>
      </c>
      <c r="I38" s="58"/>
      <c r="J38" s="293">
        <f>J37/J34</f>
        <v>0</v>
      </c>
      <c r="K38" s="293">
        <f t="shared" ref="K38:N38" si="13">K37/K34</f>
        <v>0</v>
      </c>
      <c r="L38" s="293">
        <f t="shared" si="13"/>
        <v>0</v>
      </c>
      <c r="M38" s="293">
        <f t="shared" si="13"/>
        <v>0</v>
      </c>
      <c r="N38" s="292">
        <f t="shared" si="13"/>
        <v>0</v>
      </c>
      <c r="O38" s="58"/>
      <c r="P38" s="293">
        <f>P37/P34</f>
        <v>0</v>
      </c>
      <c r="Q38" s="293">
        <f t="shared" ref="Q38:T38" si="14">Q37/Q34</f>
        <v>0</v>
      </c>
      <c r="R38" s="293">
        <f t="shared" si="14"/>
        <v>0</v>
      </c>
      <c r="S38" s="293">
        <f t="shared" si="14"/>
        <v>0</v>
      </c>
      <c r="T38" s="292">
        <f t="shared" si="14"/>
        <v>0</v>
      </c>
      <c r="U38" s="50"/>
      <c r="V38" s="293">
        <f>V37/V34</f>
        <v>0</v>
      </c>
      <c r="W38" s="293">
        <f t="shared" ref="W38" si="15">W37/W34</f>
        <v>0</v>
      </c>
      <c r="X38" s="302"/>
      <c r="Y38" s="302"/>
      <c r="Z38" s="292"/>
      <c r="AA38" s="71"/>
      <c r="AB38" s="302"/>
      <c r="AC38" s="302"/>
      <c r="AD38" s="302"/>
      <c r="AE38" s="302"/>
      <c r="AF38" s="292"/>
      <c r="AG38" s="71"/>
      <c r="AH38" s="302"/>
      <c r="AI38" s="72"/>
      <c r="AJ38" s="302"/>
      <c r="AL38" s="302"/>
    </row>
    <row r="39" spans="2:45" s="55" customFormat="1" ht="14.25" customHeight="1" x14ac:dyDescent="0.25">
      <c r="B39" s="32"/>
      <c r="C39" s="24"/>
      <c r="D39" s="61"/>
      <c r="E39" s="61"/>
      <c r="F39" s="61"/>
      <c r="G39" s="61"/>
      <c r="H39" s="167"/>
      <c r="I39" s="58"/>
      <c r="J39" s="61"/>
      <c r="K39" s="61"/>
      <c r="L39" s="61"/>
      <c r="M39" s="61"/>
      <c r="N39" s="167"/>
      <c r="O39" s="58"/>
      <c r="P39" s="61"/>
      <c r="Q39" s="61"/>
      <c r="R39" s="61"/>
      <c r="S39" s="61"/>
      <c r="T39" s="167"/>
      <c r="U39" s="50"/>
      <c r="V39" s="61"/>
      <c r="W39" s="61"/>
      <c r="X39" s="62"/>
      <c r="Y39" s="62"/>
      <c r="Z39" s="167"/>
      <c r="AA39" s="71"/>
      <c r="AB39" s="62"/>
      <c r="AC39" s="62"/>
      <c r="AD39" s="62"/>
      <c r="AE39" s="62"/>
      <c r="AF39" s="167"/>
      <c r="AG39" s="71"/>
      <c r="AH39" s="168"/>
      <c r="AI39" s="72"/>
      <c r="AJ39" s="168"/>
    </row>
    <row r="40" spans="2:45" s="55" customFormat="1" ht="14.25" customHeight="1" x14ac:dyDescent="0.3">
      <c r="B40" s="29" t="s">
        <v>439</v>
      </c>
      <c r="C40" s="24"/>
      <c r="D40" s="51">
        <f>IS!P24</f>
        <v>19.686</v>
      </c>
      <c r="E40" s="51">
        <f>IS!Q24</f>
        <v>44.156999999999996</v>
      </c>
      <c r="F40" s="51">
        <f>IS!R24</f>
        <v>65.966999999999999</v>
      </c>
      <c r="G40" s="51">
        <f>IS!S24</f>
        <v>53.805</v>
      </c>
      <c r="H40" s="59">
        <f>IS!T24</f>
        <v>183.61500000000001</v>
      </c>
      <c r="I40" s="58"/>
      <c r="J40" s="51">
        <f>IS!V24</f>
        <v>39.985999999999997</v>
      </c>
      <c r="K40" s="51">
        <f>IS!W24</f>
        <v>68.638999999999996</v>
      </c>
      <c r="L40" s="51">
        <f>IS!X24</f>
        <v>88.513999999999996</v>
      </c>
      <c r="M40" s="51">
        <f>IS!Y24</f>
        <v>79.075999999999993</v>
      </c>
      <c r="N40" s="59">
        <f>IS!Z24</f>
        <v>276.21499999999997</v>
      </c>
      <c r="O40" s="58"/>
      <c r="P40" s="51">
        <f>IS!AB24</f>
        <v>79.120999999999995</v>
      </c>
      <c r="Q40" s="51">
        <f>IS!AC24</f>
        <v>96.784000000000006</v>
      </c>
      <c r="R40" s="51">
        <f>IS!AD24</f>
        <v>104.834</v>
      </c>
      <c r="S40" s="51">
        <f>IS!AE24</f>
        <v>110.815</v>
      </c>
      <c r="T40" s="59">
        <f>IS!AF24</f>
        <v>391.55399999999997</v>
      </c>
      <c r="U40" s="50"/>
      <c r="V40" s="51">
        <f>IS!AH24</f>
        <v>82.55</v>
      </c>
      <c r="W40" s="51">
        <f>IS!AI24</f>
        <v>104.461</v>
      </c>
      <c r="X40" s="47">
        <f>X31-X34-X37</f>
        <v>125.3595785941182</v>
      </c>
      <c r="Y40" s="47">
        <f>Y31-Y34-Y37</f>
        <v>148.86959859319873</v>
      </c>
      <c r="Z40" s="58">
        <f>SUM(V40:Y40)</f>
        <v>461.24017718731693</v>
      </c>
      <c r="AA40" s="71"/>
      <c r="AB40" s="47">
        <f t="shared" ref="AB40:AE40" si="16">AB31-AB34-AB37</f>
        <v>100.6056044000521</v>
      </c>
      <c r="AC40" s="47">
        <f t="shared" si="16"/>
        <v>126.20382257051196</v>
      </c>
      <c r="AD40" s="47">
        <f t="shared" si="16"/>
        <v>149.11492667587129</v>
      </c>
      <c r="AE40" s="47">
        <f t="shared" si="16"/>
        <v>178.54294171992439</v>
      </c>
      <c r="AF40" s="58">
        <f>SUM(AB40:AE40)</f>
        <v>554.46729536635974</v>
      </c>
      <c r="AG40" s="58"/>
      <c r="AH40" s="58">
        <f t="shared" ref="AH40:AL40" si="17">AH31-AH34-AH37</f>
        <v>690.5231656703852</v>
      </c>
      <c r="AI40" s="58"/>
      <c r="AJ40" s="58">
        <f t="shared" si="17"/>
        <v>843.74094215782952</v>
      </c>
      <c r="AK40" s="58"/>
      <c r="AL40" s="58">
        <f t="shared" si="17"/>
        <v>1011.9597445448878</v>
      </c>
    </row>
    <row r="41" spans="2:45" s="55" customFormat="1" ht="14.25" customHeight="1" x14ac:dyDescent="0.25">
      <c r="B41" s="32" t="s">
        <v>436</v>
      </c>
      <c r="C41" s="22"/>
      <c r="D41" s="291">
        <f>D40/D31</f>
        <v>0.46664770302944103</v>
      </c>
      <c r="E41" s="291">
        <f t="shared" ref="E41:H41" si="18">E40/E31</f>
        <v>0.4229800277791082</v>
      </c>
      <c r="F41" s="291">
        <f t="shared" si="18"/>
        <v>0.49336245129348061</v>
      </c>
      <c r="G41" s="291">
        <f t="shared" si="18"/>
        <v>0.49570673103499108</v>
      </c>
      <c r="H41" s="294">
        <f t="shared" si="18"/>
        <v>0.47222193646613453</v>
      </c>
      <c r="I41" s="49"/>
      <c r="J41" s="291">
        <f>J40/J31</f>
        <v>0.5384884723120017</v>
      </c>
      <c r="K41" s="291">
        <f t="shared" ref="K41:N41" si="19">K40/K31</f>
        <v>0.47475739571301101</v>
      </c>
      <c r="L41" s="291">
        <f t="shared" si="19"/>
        <v>0.52509061571226023</v>
      </c>
      <c r="M41" s="291">
        <f t="shared" si="19"/>
        <v>0.4642762783215223</v>
      </c>
      <c r="N41" s="294">
        <f t="shared" si="19"/>
        <v>0.49525481287305706</v>
      </c>
      <c r="O41" s="71"/>
      <c r="P41" s="291">
        <f>P40/P31</f>
        <v>0.51987962494497042</v>
      </c>
      <c r="Q41" s="291">
        <f t="shared" ref="Q41:T41" si="20">Q40/Q31</f>
        <v>0.47799288818648761</v>
      </c>
      <c r="R41" s="291">
        <f t="shared" si="20"/>
        <v>0.51395262187708357</v>
      </c>
      <c r="S41" s="291">
        <f t="shared" si="20"/>
        <v>0.4958808972976359</v>
      </c>
      <c r="T41" s="294">
        <f t="shared" si="20"/>
        <v>0.50063289682631007</v>
      </c>
      <c r="U41" s="50"/>
      <c r="V41" s="291">
        <f>V40/V31</f>
        <v>0.47897555513005735</v>
      </c>
      <c r="W41" s="291" t="s">
        <v>440</v>
      </c>
      <c r="X41" s="291">
        <f t="shared" ref="X41:AL41" si="21">X40/X31</f>
        <v>0.4934587457412854</v>
      </c>
      <c r="Y41" s="291">
        <f t="shared" si="21"/>
        <v>0.48833527670733579</v>
      </c>
      <c r="Z41" s="292">
        <f>Z40/Z$31</f>
        <v>0.4872532236261411</v>
      </c>
      <c r="AA41" s="169"/>
      <c r="AB41" s="291">
        <f t="shared" si="21"/>
        <v>0.48644887155976069</v>
      </c>
      <c r="AC41" s="291">
        <f t="shared" si="21"/>
        <v>0.48831720066718659</v>
      </c>
      <c r="AD41" s="291">
        <f t="shared" si="21"/>
        <v>0.48914002366889209</v>
      </c>
      <c r="AE41" s="291">
        <f t="shared" si="21"/>
        <v>0.48806034315079383</v>
      </c>
      <c r="AF41" s="292">
        <f>AF40/AF$31</f>
        <v>0.4881151412083945</v>
      </c>
      <c r="AG41" s="169"/>
      <c r="AH41" s="294">
        <f t="shared" si="21"/>
        <v>0.51370938414797485</v>
      </c>
      <c r="AI41" s="170"/>
      <c r="AJ41" s="294">
        <f t="shared" si="21"/>
        <v>0.538023914940576</v>
      </c>
      <c r="AL41" s="294">
        <f t="shared" si="21"/>
        <v>0.56112271919354728</v>
      </c>
    </row>
    <row r="42" spans="2:45" s="55" customFormat="1" ht="14.25" customHeight="1" x14ac:dyDescent="0.3">
      <c r="B42" s="29"/>
      <c r="C42" s="24"/>
      <c r="D42" s="61"/>
      <c r="E42" s="61"/>
      <c r="F42" s="61"/>
      <c r="G42" s="61"/>
      <c r="H42" s="66"/>
      <c r="I42" s="49"/>
      <c r="J42" s="61"/>
      <c r="K42" s="61"/>
      <c r="L42" s="61"/>
      <c r="M42" s="61"/>
      <c r="N42" s="66"/>
      <c r="O42" s="71"/>
      <c r="P42" s="61"/>
      <c r="Q42" s="61"/>
      <c r="R42" s="61"/>
      <c r="S42" s="61"/>
      <c r="T42" s="66"/>
      <c r="U42" s="50"/>
      <c r="V42" s="61"/>
      <c r="W42" s="61"/>
      <c r="X42" s="51"/>
      <c r="Y42" s="51"/>
      <c r="Z42" s="66"/>
      <c r="AA42" s="71"/>
      <c r="AB42" s="51"/>
      <c r="AC42" s="51"/>
      <c r="AD42" s="51"/>
      <c r="AE42" s="51"/>
      <c r="AF42" s="66"/>
      <c r="AG42" s="71"/>
      <c r="AH42" s="68"/>
      <c r="AI42" s="72"/>
      <c r="AJ42" s="68"/>
    </row>
    <row r="43" spans="2:45" s="713" customFormat="1" ht="14.25" customHeight="1" x14ac:dyDescent="0.3">
      <c r="B43" s="706" t="s">
        <v>441</v>
      </c>
      <c r="C43" s="707"/>
      <c r="D43" s="704">
        <f>IS!P27</f>
        <v>11.646000000000001</v>
      </c>
      <c r="E43" s="704">
        <f>IS!Q27</f>
        <v>12.755000000000001</v>
      </c>
      <c r="F43" s="704">
        <f>IS!R27</f>
        <v>18.652999999999999</v>
      </c>
      <c r="G43" s="704">
        <f>IS!S27</f>
        <v>19.3</v>
      </c>
      <c r="H43" s="708">
        <f>IS!T27</f>
        <v>62.353999999999999</v>
      </c>
      <c r="I43" s="709"/>
      <c r="J43" s="704">
        <f>IS!V27</f>
        <v>17.094999999999999</v>
      </c>
      <c r="K43" s="704">
        <f>IS!W27</f>
        <v>18.145</v>
      </c>
      <c r="L43" s="704">
        <f>IS!X27</f>
        <v>29.19</v>
      </c>
      <c r="M43" s="704">
        <f>IS!Y27</f>
        <v>23.236999999999998</v>
      </c>
      <c r="N43" s="708">
        <f>IS!Z27</f>
        <v>87.667000000000002</v>
      </c>
      <c r="O43" s="710"/>
      <c r="P43" s="704">
        <f>IS!AB27</f>
        <v>29.971</v>
      </c>
      <c r="Q43" s="704">
        <f>IS!AC27</f>
        <v>33.222999999999999</v>
      </c>
      <c r="R43" s="704">
        <f>IS!AD27</f>
        <v>32.813000000000002</v>
      </c>
      <c r="S43" s="704">
        <f>IS!AE27</f>
        <v>39.076000000000001</v>
      </c>
      <c r="T43" s="708">
        <f>IS!AF27</f>
        <v>135.083</v>
      </c>
      <c r="U43" s="711"/>
      <c r="V43" s="704">
        <f>IS!AH27</f>
        <v>29.27</v>
      </c>
      <c r="W43" s="704">
        <f>IS!AI27</f>
        <v>38.950000000000003</v>
      </c>
      <c r="X43" s="705">
        <f>(X44+Sensitivity!$U$40)*X$31</f>
        <v>43.594231573540803</v>
      </c>
      <c r="Y43" s="705">
        <f>(Y44+Sensitivity!$U$40)*Y$31</f>
        <v>53.13122526276107</v>
      </c>
      <c r="Z43" s="712">
        <f>SUM(V43:Y43)</f>
        <v>164.94545683630187</v>
      </c>
      <c r="AA43" s="710"/>
      <c r="AB43" s="705">
        <f>(AB44+Sensitivity!$U$40)*AB$31</f>
        <v>36.015495862849335</v>
      </c>
      <c r="AC43" s="705">
        <f>(AC44+Sensitivity!$U$40)*AC$31</f>
        <v>45.006465879728601</v>
      </c>
      <c r="AD43" s="705">
        <f>(AD44+Sensitivity!$U$40)*AD$31</f>
        <v>53.087508483512451</v>
      </c>
      <c r="AE43" s="705">
        <f>(AE44+Sensitivity!$U$40)*AE$31</f>
        <v>63.718125213989524</v>
      </c>
      <c r="AF43" s="712">
        <f>SUM(AB43:AE43)</f>
        <v>197.8275954400799</v>
      </c>
      <c r="AG43" s="712"/>
      <c r="AH43" s="712">
        <f>(AH44+Sensitivity!$U$40)*AH$31</f>
        <v>233.49316176800278</v>
      </c>
      <c r="AI43" s="712"/>
      <c r="AJ43" s="712">
        <f>(AJ44+Sensitivity!$U$40)*AJ$31</f>
        <v>272.92677160504746</v>
      </c>
      <c r="AK43" s="712"/>
      <c r="AL43" s="712">
        <f>(AL44+Sensitivity!$U$40)*AL$31</f>
        <v>313.7381877335302</v>
      </c>
    </row>
    <row r="44" spans="2:45" s="55" customFormat="1" ht="14.25" customHeight="1" x14ac:dyDescent="0.25">
      <c r="B44" s="32" t="s">
        <v>436</v>
      </c>
      <c r="C44" s="24"/>
      <c r="D44" s="291">
        <f>D43/D31</f>
        <v>0.27606314891196132</v>
      </c>
      <c r="E44" s="291">
        <f t="shared" ref="E44:H44" si="22">E43/E31</f>
        <v>0.12218018104315342</v>
      </c>
      <c r="F44" s="291">
        <f t="shared" si="22"/>
        <v>0.13950444622276734</v>
      </c>
      <c r="G44" s="291">
        <f t="shared" si="22"/>
        <v>0.17781135413019844</v>
      </c>
      <c r="H44" s="294">
        <f t="shared" si="22"/>
        <v>0.16036231585877705</v>
      </c>
      <c r="I44" s="49"/>
      <c r="J44" s="291">
        <f>J43/J31</f>
        <v>0.23021708683473388</v>
      </c>
      <c r="K44" s="291">
        <f t="shared" ref="K44:N44" si="23">K43/K31</f>
        <v>0.12550405666184802</v>
      </c>
      <c r="L44" s="291">
        <f t="shared" si="23"/>
        <v>0.17316351167771063</v>
      </c>
      <c r="M44" s="291">
        <f t="shared" si="23"/>
        <v>0.13643062217812249</v>
      </c>
      <c r="N44" s="294">
        <f t="shared" si="23"/>
        <v>0.15718734927553643</v>
      </c>
      <c r="O44" s="71"/>
      <c r="P44" s="291">
        <f>P43/P31</f>
        <v>0.19693017326911577</v>
      </c>
      <c r="Q44" s="291">
        <f t="shared" ref="Q44:S44" si="24">Q43/Q31</f>
        <v>0.16408040300276572</v>
      </c>
      <c r="R44" s="291">
        <f t="shared" si="24"/>
        <v>0.16086696474094994</v>
      </c>
      <c r="S44" s="291">
        <f t="shared" si="24"/>
        <v>0.17485937772686388</v>
      </c>
      <c r="T44" s="294">
        <f>T43/T31</f>
        <v>0.17271434745140757</v>
      </c>
      <c r="U44" s="50"/>
      <c r="V44" s="291">
        <f>V43/V31</f>
        <v>0.16983179283654487</v>
      </c>
      <c r="W44" s="291">
        <f t="shared" ref="W44" si="25">W43/W31</f>
        <v>0.18084987835001765</v>
      </c>
      <c r="X44" s="703">
        <f>AVERAGE(V44:W44,R44:S44)</f>
        <v>0.17160200341359408</v>
      </c>
      <c r="Y44" s="302">
        <f>AVERAGE(V44:X44,S44)</f>
        <v>0.17428576308175511</v>
      </c>
      <c r="Z44" s="292">
        <f>Z43/Z31</f>
        <v>0.17424805890952338</v>
      </c>
      <c r="AA44" s="71"/>
      <c r="AB44" s="302">
        <f>AVERAGE(V44:Y44)</f>
        <v>0.17414235942047793</v>
      </c>
      <c r="AC44" s="302">
        <f>AVERAGE(AB44)</f>
        <v>0.17414235942047793</v>
      </c>
      <c r="AD44" s="302">
        <f>AVERAGE(AB44)</f>
        <v>0.17414235942047793</v>
      </c>
      <c r="AE44" s="302">
        <f>AVERAGE(AB44:AD44,Y44)</f>
        <v>0.17417821033579722</v>
      </c>
      <c r="AF44" s="292">
        <f>AF43/AF31</f>
        <v>0.17415390500056233</v>
      </c>
      <c r="AG44" s="71"/>
      <c r="AH44" s="302">
        <f>AVERAGE(AF44,Z44,T44)</f>
        <v>0.17370543712049777</v>
      </c>
      <c r="AI44" s="72"/>
      <c r="AJ44" s="302">
        <f>AVERAGE(AF44:AH44,Z44)</f>
        <v>0.17403580034352784</v>
      </c>
      <c r="AL44" s="302">
        <f>AVERAGE(AF44:AJ44)</f>
        <v>0.17396504748819597</v>
      </c>
    </row>
    <row r="45" spans="2:45" s="55" customFormat="1" ht="14.25" customHeight="1" x14ac:dyDescent="0.3">
      <c r="B45" s="30"/>
      <c r="C45" s="22"/>
      <c r="D45" s="47"/>
      <c r="E45" s="47"/>
      <c r="F45" s="47"/>
      <c r="G45" s="47"/>
      <c r="H45" s="66"/>
      <c r="I45" s="49"/>
      <c r="J45" s="47"/>
      <c r="K45" s="47"/>
      <c r="L45" s="47"/>
      <c r="M45" s="47"/>
      <c r="N45" s="66"/>
      <c r="O45" s="71"/>
      <c r="P45" s="47"/>
      <c r="Q45" s="47"/>
      <c r="R45" s="47"/>
      <c r="S45" s="47"/>
      <c r="T45" s="66"/>
      <c r="U45" s="50"/>
      <c r="V45" s="47"/>
      <c r="W45" s="47"/>
      <c r="X45" s="51"/>
      <c r="Y45" s="51"/>
      <c r="Z45" s="66"/>
      <c r="AA45" s="71"/>
      <c r="AB45" s="51"/>
      <c r="AC45" s="51"/>
      <c r="AD45" s="51"/>
      <c r="AE45" s="51"/>
      <c r="AF45" s="66"/>
      <c r="AG45" s="71"/>
      <c r="AH45" s="68"/>
      <c r="AI45" s="72"/>
      <c r="AJ45" s="68"/>
    </row>
    <row r="46" spans="2:45" s="55" customFormat="1" ht="14.25" customHeight="1" x14ac:dyDescent="0.3">
      <c r="B46" s="29" t="s">
        <v>442</v>
      </c>
      <c r="C46" s="24"/>
      <c r="D46" s="51">
        <f>IS!P29</f>
        <v>17.346</v>
      </c>
      <c r="E46" s="51">
        <f>IS!Q29</f>
        <v>11.367000000000001</v>
      </c>
      <c r="F46" s="51">
        <f>IS!R29</f>
        <v>15.678000000000001</v>
      </c>
      <c r="G46" s="51">
        <f>IS!S29</f>
        <v>17.835000000000001</v>
      </c>
      <c r="H46" s="68">
        <f>IS!T29</f>
        <v>62.225999999999999</v>
      </c>
      <c r="I46" s="49"/>
      <c r="J46" s="51">
        <f>IS!V29</f>
        <v>14.029</v>
      </c>
      <c r="K46" s="51">
        <f>IS!W29</f>
        <v>20.064</v>
      </c>
      <c r="L46" s="51">
        <f>IS!X29</f>
        <v>26.151</v>
      </c>
      <c r="M46" s="51">
        <f>IS!Y29</f>
        <v>32.465000000000003</v>
      </c>
      <c r="N46" s="68">
        <f>IS!Z29</f>
        <v>92.709000000000003</v>
      </c>
      <c r="O46" s="71"/>
      <c r="P46" s="51">
        <f>IS!AB29</f>
        <v>23.917999999999999</v>
      </c>
      <c r="Q46" s="51">
        <f>IS!AC29</f>
        <v>25.968</v>
      </c>
      <c r="R46" s="51">
        <f>IS!AD29</f>
        <v>27.837</v>
      </c>
      <c r="S46" s="51">
        <f>IS!AE29</f>
        <v>27.75</v>
      </c>
      <c r="T46" s="68">
        <f>IS!AF29</f>
        <v>105.473</v>
      </c>
      <c r="U46" s="50"/>
      <c r="V46" s="51">
        <f>IS!AH29</f>
        <v>27.503</v>
      </c>
      <c r="W46" s="51">
        <f>IS!AI29</f>
        <v>33.817</v>
      </c>
      <c r="X46" s="47">
        <f>X47*X40</f>
        <v>42.611588179159305</v>
      </c>
      <c r="Y46" s="47">
        <f>Y47*Y40</f>
        <v>53.133143902776034</v>
      </c>
      <c r="Z46" s="58">
        <f>SUM(V46:Y46)</f>
        <v>157.06473208193535</v>
      </c>
      <c r="AA46" s="71"/>
      <c r="AB46" s="47">
        <f t="shared" ref="AB46:AE46" si="26">AB47*AB40</f>
        <v>34.047999660079952</v>
      </c>
      <c r="AC46" s="47">
        <f t="shared" si="26"/>
        <v>42.877258337944127</v>
      </c>
      <c r="AD46" s="47">
        <f t="shared" si="26"/>
        <v>51.258334295174507</v>
      </c>
      <c r="AE46" s="47">
        <f t="shared" si="26"/>
        <v>61.545435999233135</v>
      </c>
      <c r="AF46" s="58">
        <f>SUM(AB46:AE46)</f>
        <v>189.72902829243174</v>
      </c>
      <c r="AG46" s="71"/>
      <c r="AH46" s="58">
        <f>AH47*AH40</f>
        <v>219.14438365896956</v>
      </c>
      <c r="AI46" s="72"/>
      <c r="AJ46" s="58">
        <f t="shared" ref="AJ46" si="27">AJ47*AJ40</f>
        <v>281.26651835982892</v>
      </c>
      <c r="AL46" s="58">
        <f>AL47*AL40</f>
        <v>334.92459297009282</v>
      </c>
      <c r="AS46" s="298"/>
    </row>
    <row r="47" spans="2:45" s="55" customFormat="1" ht="14.25" customHeight="1" x14ac:dyDescent="0.25">
      <c r="B47" s="32" t="s">
        <v>443</v>
      </c>
      <c r="C47" s="22"/>
      <c r="D47" s="291">
        <f>D46/D40</f>
        <v>0.88113380067052727</v>
      </c>
      <c r="E47" s="291">
        <f t="shared" ref="E47:G47" si="28">E46/E40</f>
        <v>0.25742237923771999</v>
      </c>
      <c r="F47" s="291">
        <f t="shared" si="28"/>
        <v>0.23766428668879896</v>
      </c>
      <c r="G47" s="291">
        <f t="shared" si="28"/>
        <v>0.33147477000278786</v>
      </c>
      <c r="H47" s="294">
        <f>H46/H40</f>
        <v>0.33889388121885466</v>
      </c>
      <c r="I47" s="49"/>
      <c r="J47" s="291">
        <f>J46/J40</f>
        <v>0.35084779672885513</v>
      </c>
      <c r="K47" s="291">
        <f t="shared" ref="K47" si="29">K46/K40</f>
        <v>0.2923119509316861</v>
      </c>
      <c r="L47" s="291">
        <f t="shared" ref="L47" si="30">L46/L40</f>
        <v>0.29544478839505617</v>
      </c>
      <c r="M47" s="291">
        <f t="shared" ref="M47" si="31">M46/M40</f>
        <v>0.41055440335879417</v>
      </c>
      <c r="N47" s="721">
        <f>N46/N40</f>
        <v>0.33564071466068102</v>
      </c>
      <c r="O47" s="85"/>
      <c r="P47" s="291">
        <f>P46/P40</f>
        <v>0.30229648260259601</v>
      </c>
      <c r="Q47" s="291">
        <f t="shared" ref="Q47" si="32">Q46/Q40</f>
        <v>0.26830881137378076</v>
      </c>
      <c r="R47" s="291">
        <f t="shared" ref="R47" si="33">R46/R40</f>
        <v>0.2655340824541656</v>
      </c>
      <c r="S47" s="291">
        <f t="shared" ref="S47" si="34">S46/S40</f>
        <v>0.25041736227045075</v>
      </c>
      <c r="T47" s="721">
        <f>T46/T40</f>
        <v>0.26937025288976746</v>
      </c>
      <c r="U47" s="82"/>
      <c r="V47" s="291">
        <f>V46/V40</f>
        <v>0.33316777710478501</v>
      </c>
      <c r="W47" s="291">
        <f t="shared" ref="W47" si="35">W46/W40</f>
        <v>0.32372847282717954</v>
      </c>
      <c r="X47" s="703">
        <f>W47*1.05</f>
        <v>0.33991489646853851</v>
      </c>
      <c r="Y47" s="703">
        <f>X47*1.05</f>
        <v>0.35691064129196542</v>
      </c>
      <c r="Z47" s="292">
        <f>Z46/Z40</f>
        <v>0.34052699623812016</v>
      </c>
      <c r="AA47" s="71"/>
      <c r="AB47" s="302">
        <f>AVERAGE(V47:Y47)</f>
        <v>0.33843044692311713</v>
      </c>
      <c r="AC47" s="302">
        <f>AVERAGE(AB47,W47:Y47)</f>
        <v>0.33974611437770014</v>
      </c>
      <c r="AD47" s="302">
        <f>AVERAGE(AB47:AC47,X47:Y47)</f>
        <v>0.3437505247653303</v>
      </c>
      <c r="AE47" s="302">
        <f>AVERAGE(AB47:AD47,Y47)</f>
        <v>0.34470943183952824</v>
      </c>
      <c r="AF47" s="292">
        <f>AF46/AF40</f>
        <v>0.34218254147355948</v>
      </c>
      <c r="AG47" s="71"/>
      <c r="AH47" s="302">
        <f>AVERAGE(AF47,Z47,T47)</f>
        <v>0.31735993020048237</v>
      </c>
      <c r="AI47" s="72"/>
      <c r="AJ47" s="302">
        <f>AVERAGE(AH47,AF47,Z47)</f>
        <v>0.33335648930405398</v>
      </c>
      <c r="AL47" s="302">
        <f>AVERAGE(AF47:AJ47)</f>
        <v>0.33096632032603196</v>
      </c>
    </row>
    <row r="48" spans="2:45" s="55" customFormat="1" ht="14.25" customHeight="1" x14ac:dyDescent="0.25">
      <c r="B48" s="32"/>
      <c r="C48" s="24"/>
      <c r="D48" s="291"/>
      <c r="E48" s="291"/>
      <c r="F48" s="291"/>
      <c r="G48" s="291"/>
      <c r="H48" s="721"/>
      <c r="J48" s="291"/>
      <c r="K48" s="291"/>
      <c r="L48" s="291"/>
      <c r="M48" s="291"/>
      <c r="N48" s="721"/>
      <c r="O48" s="742"/>
      <c r="P48" s="291"/>
      <c r="Q48" s="291"/>
      <c r="R48" s="291"/>
      <c r="S48" s="291"/>
      <c r="T48" s="721"/>
      <c r="U48" s="50"/>
      <c r="V48" s="291"/>
      <c r="W48" s="291"/>
      <c r="X48" s="51"/>
      <c r="Y48" s="51"/>
      <c r="Z48" s="66"/>
      <c r="AA48" s="71"/>
      <c r="AB48" s="51"/>
      <c r="AC48" s="51"/>
      <c r="AD48" s="51"/>
      <c r="AE48" s="51"/>
      <c r="AF48" s="66"/>
      <c r="AG48" s="71"/>
      <c r="AH48" s="699"/>
      <c r="AI48" s="699"/>
      <c r="AJ48" s="699"/>
      <c r="AK48" s="699"/>
      <c r="AL48" s="699"/>
    </row>
    <row r="49" spans="2:38" s="55" customFormat="1" ht="14.25" customHeight="1" x14ac:dyDescent="0.3">
      <c r="B49" s="29" t="s">
        <v>444</v>
      </c>
      <c r="C49" s="22"/>
      <c r="D49" s="51">
        <f>D94</f>
        <v>1.2130000000000001</v>
      </c>
      <c r="E49" s="51">
        <f>E94</f>
        <v>1.3420000000000001</v>
      </c>
      <c r="F49" s="51">
        <f>F94</f>
        <v>1.5489999999999999</v>
      </c>
      <c r="G49" s="51">
        <f>G94</f>
        <v>1.262</v>
      </c>
      <c r="H49" s="717">
        <f>H94</f>
        <v>5.3659999999999997</v>
      </c>
      <c r="I49" s="717"/>
      <c r="J49" s="51">
        <f>J94</f>
        <v>1.714</v>
      </c>
      <c r="K49" s="51">
        <f>K94</f>
        <v>2.2410000000000001</v>
      </c>
      <c r="L49" s="51">
        <f>L94</f>
        <v>2.0659999999999998</v>
      </c>
      <c r="M49" s="51">
        <f>M94</f>
        <v>2.0710000000000002</v>
      </c>
      <c r="N49" s="717">
        <f>N94</f>
        <v>8.0920000000000005</v>
      </c>
      <c r="O49" s="717"/>
      <c r="P49" s="51">
        <f>P94</f>
        <v>2.5179999999999998</v>
      </c>
      <c r="Q49" s="51">
        <f>Q94</f>
        <v>2.1659999999999999</v>
      </c>
      <c r="R49" s="51">
        <f>R94</f>
        <v>2.3889999999999998</v>
      </c>
      <c r="S49" s="51">
        <f>S94</f>
        <v>2.8940000000000001</v>
      </c>
      <c r="T49" s="50">
        <f>T94</f>
        <v>9.9670000000000005</v>
      </c>
      <c r="U49" s="50"/>
      <c r="V49" s="51">
        <f>V94</f>
        <v>3.0169999999999999</v>
      </c>
      <c r="W49" s="51">
        <f>W94</f>
        <v>3.339</v>
      </c>
      <c r="X49" s="47">
        <f>X50*(X79+X82)</f>
        <v>3.3570789266905345</v>
      </c>
      <c r="Y49" s="47">
        <f>Y50*(Y79+Y82)</f>
        <v>3.366535318962868</v>
      </c>
      <c r="Z49" s="58">
        <f>SUM(V49:Y49)</f>
        <v>13.079614245653403</v>
      </c>
      <c r="AA49" s="171"/>
      <c r="AB49" s="47">
        <f>AB50*(AB79+AB82)</f>
        <v>3.29812352643295</v>
      </c>
      <c r="AC49" s="47">
        <f>AC50*(AC79+AC82)</f>
        <v>3.3418523934111195</v>
      </c>
      <c r="AD49" s="47">
        <f>AD50*(AD79+AD82)</f>
        <v>3.3496209742463665</v>
      </c>
      <c r="AE49" s="47">
        <f>AE50*(AE79+AE82)</f>
        <v>3.3455094255091731</v>
      </c>
      <c r="AF49" s="58">
        <f>SUM(AB49:AE49)</f>
        <v>13.335106319599609</v>
      </c>
      <c r="AG49" s="171"/>
      <c r="AH49" s="699">
        <f>AH50*(AH79+AH82)</f>
        <v>12.499356192947026</v>
      </c>
      <c r="AI49" s="699"/>
      <c r="AJ49" s="699">
        <f>AJ50*(AJ79+AJ82)</f>
        <v>13.150887966671032</v>
      </c>
      <c r="AK49" s="699"/>
      <c r="AL49" s="699">
        <f>AL50*(AL79+AL82)</f>
        <v>13.263185821509472</v>
      </c>
    </row>
    <row r="50" spans="2:38" s="55" customFormat="1" ht="14.25" customHeight="1" x14ac:dyDescent="0.25">
      <c r="B50" s="32" t="s">
        <v>445</v>
      </c>
      <c r="C50" s="24"/>
      <c r="D50" s="291">
        <f>D49/(D79+D82)</f>
        <v>1.6819889901132881E-2</v>
      </c>
      <c r="E50" s="291">
        <f>E49/(E79+E82)</f>
        <v>1.9036271046994908E-2</v>
      </c>
      <c r="F50" s="291">
        <f>F49/(F79+F82)</f>
        <v>1.9723187796834612E-2</v>
      </c>
      <c r="G50" s="291">
        <f>G49/(G79+G82)</f>
        <v>1.3240864118517276E-2</v>
      </c>
      <c r="H50" s="721">
        <f>H49/(H79+H82)</f>
        <v>5.6273333612987121E-2</v>
      </c>
      <c r="I50" s="49"/>
      <c r="J50" s="291">
        <f>J49/(J79+J82)</f>
        <v>1.0244701325714558E-2</v>
      </c>
      <c r="K50" s="291">
        <f>K49/(K79+K82)</f>
        <v>1.2645370981666753E-2</v>
      </c>
      <c r="L50" s="291">
        <f>L49/(L79+L82)</f>
        <v>9.9075423923885506E-3</v>
      </c>
      <c r="M50" s="291">
        <f>M49/(M79+M82)</f>
        <v>9.4231022982177552E-3</v>
      </c>
      <c r="N50" s="721">
        <f>N49/(N79+N82)</f>
        <v>3.6741569462543304E-2</v>
      </c>
      <c r="O50" s="71"/>
      <c r="P50" s="291">
        <f>P49/(P79+P82)</f>
        <v>1.0648690481728486E-2</v>
      </c>
      <c r="Q50" s="291">
        <f>Q49/(Q79+Q82)</f>
        <v>8.8032319159831902E-3</v>
      </c>
      <c r="R50" s="291">
        <f>R49/(R79+R82)</f>
        <v>8.9288383913888464E-3</v>
      </c>
      <c r="S50" s="291">
        <f>S49/(S79+S82)</f>
        <v>1.0108030889918863E-2</v>
      </c>
      <c r="T50" s="721">
        <f>T49/(T79+T82)</f>
        <v>3.4751229036644467E-2</v>
      </c>
      <c r="U50" s="50"/>
      <c r="V50" s="291">
        <f>V49/(V79+V82)</f>
        <v>1.0130654211256206E-2</v>
      </c>
      <c r="W50" s="291">
        <f>W49/(W79+W82)</f>
        <v>1.0733642366223263E-2</v>
      </c>
      <c r="X50" s="291">
        <f>W49/(W79+W82)</f>
        <v>1.0733642366223263E-2</v>
      </c>
      <c r="Y50" s="291">
        <f>X49/(X79+X82)</f>
        <v>1.0733642366223263E-2</v>
      </c>
      <c r="Z50" s="294">
        <f>Z49/( Z79+Z82)</f>
        <v>4.1702191808358442E-2</v>
      </c>
      <c r="AA50" s="71"/>
      <c r="AB50" s="749">
        <f>AVERAGE(V50:Y50)</f>
        <v>1.0582895327481499E-2</v>
      </c>
      <c r="AC50" s="749">
        <f>AVERAGE(AB50,W50:Y50)</f>
        <v>1.0695955606537822E-2</v>
      </c>
      <c r="AD50" s="749">
        <f>AVERAGE(AB50:AC50,X50:Y50)</f>
        <v>1.0686533916616461E-2</v>
      </c>
      <c r="AE50" s="749">
        <f>AVERAGE(AB50:AD50,Y50)</f>
        <v>1.0674756804214761E-2</v>
      </c>
      <c r="AF50" s="294">
        <f>AF49/( AF79+AF82)</f>
        <v>4.254927988983568E-2</v>
      </c>
      <c r="AG50" s="71"/>
      <c r="AH50" s="763">
        <f>AVERAGE(AF50,Z50,T50)</f>
        <v>3.9667566911612863E-2</v>
      </c>
      <c r="AI50" s="763"/>
      <c r="AJ50" s="763">
        <f>AVERAGE(AH50,AF50,Z50)</f>
        <v>4.1306346203269E-2</v>
      </c>
      <c r="AK50" s="763"/>
      <c r="AL50" s="763">
        <f>AVERAGE(AF50:AJ50)</f>
        <v>4.1174397668239181E-2</v>
      </c>
    </row>
    <row r="51" spans="2:38" s="55" customFormat="1" ht="14.25" hidden="1" customHeight="1" x14ac:dyDescent="0.25">
      <c r="B51" s="32"/>
      <c r="C51" s="24"/>
      <c r="D51" s="291"/>
      <c r="E51" s="291"/>
      <c r="F51" s="291"/>
      <c r="G51" s="291"/>
      <c r="H51" s="294"/>
      <c r="I51" s="49"/>
      <c r="J51" s="291"/>
      <c r="K51" s="291"/>
      <c r="L51" s="291"/>
      <c r="M51" s="291"/>
      <c r="N51" s="294"/>
      <c r="O51" s="71"/>
      <c r="P51" s="291"/>
      <c r="Q51" s="291"/>
      <c r="R51" s="291"/>
      <c r="S51" s="291"/>
      <c r="T51" s="294"/>
      <c r="U51" s="50"/>
      <c r="V51" s="291"/>
      <c r="W51" s="291"/>
      <c r="X51" s="51"/>
      <c r="Y51" s="51"/>
      <c r="Z51" s="66"/>
      <c r="AA51" s="71"/>
      <c r="AB51" s="51"/>
      <c r="AC51" s="51"/>
      <c r="AD51" s="51"/>
      <c r="AE51" s="51"/>
      <c r="AF51" s="66"/>
      <c r="AG51" s="71"/>
      <c r="AH51" s="699"/>
      <c r="AI51" s="699"/>
      <c r="AJ51" s="699"/>
      <c r="AK51" s="699"/>
      <c r="AL51" s="699"/>
    </row>
    <row r="52" spans="2:38" s="55" customFormat="1" ht="14.25" hidden="1" customHeight="1" x14ac:dyDescent="0.3">
      <c r="B52" s="287" t="s">
        <v>446</v>
      </c>
      <c r="C52" s="24"/>
      <c r="D52" s="51">
        <f>IS!P64</f>
        <v>0</v>
      </c>
      <c r="E52" s="51">
        <f>IS!Q64</f>
        <v>0</v>
      </c>
      <c r="F52" s="51">
        <f>IS!R64</f>
        <v>0</v>
      </c>
      <c r="G52" s="51">
        <f>IS!S64</f>
        <v>0</v>
      </c>
      <c r="H52" s="68">
        <f>IS!T64</f>
        <v>0</v>
      </c>
      <c r="I52" s="49"/>
      <c r="J52" s="51">
        <f>IS!V64</f>
        <v>0</v>
      </c>
      <c r="K52" s="51">
        <f>IS!W64</f>
        <v>0</v>
      </c>
      <c r="L52" s="51">
        <f>IS!X64</f>
        <v>0</v>
      </c>
      <c r="M52" s="51">
        <f>IS!Y64</f>
        <v>0</v>
      </c>
      <c r="N52" s="68">
        <f>IS!Z64</f>
        <v>0</v>
      </c>
      <c r="O52" s="71"/>
      <c r="P52" s="51">
        <f>IS!AB64</f>
        <v>0</v>
      </c>
      <c r="Q52" s="51">
        <f>IS!AC64</f>
        <v>0</v>
      </c>
      <c r="R52" s="51">
        <f>IS!AD64</f>
        <v>0</v>
      </c>
      <c r="S52" s="51">
        <f>IS!AE64</f>
        <v>0</v>
      </c>
      <c r="T52" s="68">
        <f>IS!AF64</f>
        <v>0</v>
      </c>
      <c r="U52" s="50"/>
      <c r="V52" s="51">
        <f>IS!AH64</f>
        <v>0</v>
      </c>
      <c r="W52" s="51">
        <f>IS!AI64</f>
        <v>0</v>
      </c>
      <c r="X52" s="47">
        <f>X53*W79</f>
        <v>0</v>
      </c>
      <c r="Y52" s="47">
        <f>Y53*X79</f>
        <v>0</v>
      </c>
      <c r="Z52" s="58">
        <f>SUM(V52:Y52)</f>
        <v>0</v>
      </c>
      <c r="AA52" s="71"/>
      <c r="AB52" s="47">
        <f>AB53*Y79</f>
        <v>0</v>
      </c>
      <c r="AC52" s="47">
        <f>AC53*AB79</f>
        <v>0</v>
      </c>
      <c r="AD52" s="47">
        <f t="shared" ref="AD52:AE52" si="36">AD53*AC79</f>
        <v>0</v>
      </c>
      <c r="AE52" s="47">
        <f t="shared" si="36"/>
        <v>0</v>
      </c>
      <c r="AF52" s="58">
        <f>SUM(AB52:AE52)</f>
        <v>0</v>
      </c>
      <c r="AG52" s="71"/>
      <c r="AH52" s="58">
        <f>AH53*AF79</f>
        <v>0</v>
      </c>
      <c r="AI52" s="699"/>
      <c r="AJ52" s="58">
        <f>AJ53*AH79</f>
        <v>0</v>
      </c>
      <c r="AK52" s="699"/>
      <c r="AL52" s="58">
        <f>AL53*AJ79</f>
        <v>0</v>
      </c>
    </row>
    <row r="53" spans="2:38" s="55" customFormat="1" ht="14.25" hidden="1" customHeight="1" x14ac:dyDescent="0.25">
      <c r="B53" s="288" t="s">
        <v>447</v>
      </c>
      <c r="C53" s="24"/>
      <c r="D53" s="291">
        <f>D52/D79</f>
        <v>0</v>
      </c>
      <c r="E53" s="291">
        <f>E52/E79</f>
        <v>0</v>
      </c>
      <c r="F53" s="291">
        <f>F52/F79</f>
        <v>0</v>
      </c>
      <c r="G53" s="291">
        <f>G52/G79</f>
        <v>0</v>
      </c>
      <c r="H53" s="294">
        <f>H52/H79</f>
        <v>0</v>
      </c>
      <c r="I53" s="49"/>
      <c r="J53" s="291">
        <f>J52/J79</f>
        <v>0</v>
      </c>
      <c r="K53" s="291">
        <f>K52/K79</f>
        <v>0</v>
      </c>
      <c r="L53" s="291">
        <f>L52/L79</f>
        <v>0</v>
      </c>
      <c r="M53" s="291">
        <f>M52/M79</f>
        <v>0</v>
      </c>
      <c r="N53" s="294">
        <f>N52/N79</f>
        <v>0</v>
      </c>
      <c r="O53" s="71"/>
      <c r="P53" s="291">
        <f>P52/P79</f>
        <v>0</v>
      </c>
      <c r="Q53" s="291">
        <f>Q52/Q79</f>
        <v>0</v>
      </c>
      <c r="R53" s="291">
        <f>R52/R79</f>
        <v>0</v>
      </c>
      <c r="S53" s="291">
        <f>S52/S79</f>
        <v>0</v>
      </c>
      <c r="T53" s="294">
        <f>T52/T79</f>
        <v>0</v>
      </c>
      <c r="U53" s="50"/>
      <c r="V53" s="291">
        <f>V52/V79</f>
        <v>0</v>
      </c>
      <c r="W53" s="291">
        <f>W52/W79</f>
        <v>0</v>
      </c>
      <c r="X53" s="302"/>
      <c r="Y53" s="302"/>
      <c r="Z53" s="292"/>
      <c r="AA53" s="71"/>
      <c r="AB53" s="302"/>
      <c r="AC53" s="302"/>
      <c r="AD53" s="302"/>
      <c r="AE53" s="302"/>
      <c r="AF53" s="292"/>
      <c r="AG53" s="71"/>
      <c r="AH53" s="699"/>
      <c r="AI53" s="699"/>
      <c r="AJ53" s="699"/>
      <c r="AK53" s="699"/>
      <c r="AL53" s="699"/>
    </row>
    <row r="54" spans="2:38" s="55" customFormat="1" ht="14.25" hidden="1" customHeight="1" x14ac:dyDescent="0.25">
      <c r="B54" s="32"/>
      <c r="C54" s="24"/>
      <c r="D54" s="291"/>
      <c r="E54" s="291"/>
      <c r="F54" s="291"/>
      <c r="G54" s="291"/>
      <c r="H54" s="294"/>
      <c r="I54" s="49"/>
      <c r="J54" s="291"/>
      <c r="K54" s="291"/>
      <c r="L54" s="291"/>
      <c r="M54" s="291"/>
      <c r="N54" s="294"/>
      <c r="O54" s="71"/>
      <c r="P54" s="291"/>
      <c r="Q54" s="291"/>
      <c r="R54" s="291"/>
      <c r="S54" s="291"/>
      <c r="T54" s="294"/>
      <c r="U54" s="50"/>
      <c r="V54" s="291"/>
      <c r="W54" s="291"/>
      <c r="X54" s="51"/>
      <c r="Y54" s="51"/>
      <c r="Z54" s="66"/>
      <c r="AA54" s="71"/>
      <c r="AB54" s="51"/>
      <c r="AC54" s="51"/>
      <c r="AD54" s="51"/>
      <c r="AE54" s="51"/>
      <c r="AF54" s="66"/>
      <c r="AG54" s="71"/>
      <c r="AH54" s="699"/>
      <c r="AI54" s="699"/>
      <c r="AJ54" s="699"/>
      <c r="AK54" s="699"/>
      <c r="AL54" s="699"/>
    </row>
    <row r="55" spans="2:38" s="55" customFormat="1" ht="14.25" hidden="1" customHeight="1" x14ac:dyDescent="0.3">
      <c r="B55" s="287" t="s">
        <v>448</v>
      </c>
      <c r="C55" s="24"/>
      <c r="D55" s="51">
        <f>IS!P65</f>
        <v>0</v>
      </c>
      <c r="E55" s="51">
        <f>IS!Q65</f>
        <v>0</v>
      </c>
      <c r="F55" s="51">
        <f>IS!R65</f>
        <v>0</v>
      </c>
      <c r="G55" s="51">
        <f>IS!S65</f>
        <v>0</v>
      </c>
      <c r="H55" s="68">
        <f>IS!T65</f>
        <v>0</v>
      </c>
      <c r="I55" s="49"/>
      <c r="J55" s="51">
        <f>IS!V65</f>
        <v>0</v>
      </c>
      <c r="K55" s="51">
        <f>IS!W65</f>
        <v>0</v>
      </c>
      <c r="L55" s="51">
        <f>IS!X65</f>
        <v>0</v>
      </c>
      <c r="M55" s="51">
        <f>IS!Y65</f>
        <v>0</v>
      </c>
      <c r="N55" s="68">
        <f>IS!Z65</f>
        <v>0</v>
      </c>
      <c r="O55" s="71"/>
      <c r="P55" s="51">
        <f>IS!AB65</f>
        <v>0</v>
      </c>
      <c r="Q55" s="51">
        <f>IS!AC65</f>
        <v>0</v>
      </c>
      <c r="R55" s="51">
        <f>IS!AD65</f>
        <v>0</v>
      </c>
      <c r="S55" s="51">
        <f>IS!AE65</f>
        <v>0</v>
      </c>
      <c r="T55" s="68">
        <f>IS!AF65</f>
        <v>0</v>
      </c>
      <c r="U55" s="50"/>
      <c r="V55" s="51">
        <f>IS!AH65</f>
        <v>0</v>
      </c>
      <c r="W55" s="51">
        <f>IS!AI65</f>
        <v>0</v>
      </c>
      <c r="X55" s="47">
        <f>X56*W82</f>
        <v>0</v>
      </c>
      <c r="Y55" s="47">
        <f>Y56*X82</f>
        <v>0</v>
      </c>
      <c r="Z55" s="58">
        <f>SUM(V55:Y55)</f>
        <v>0</v>
      </c>
      <c r="AA55" s="71"/>
      <c r="AB55" s="47">
        <f>AB56*Y82</f>
        <v>0</v>
      </c>
      <c r="AC55" s="47">
        <f>AC56*AB82</f>
        <v>0</v>
      </c>
      <c r="AD55" s="47">
        <f>AD56*AC82</f>
        <v>0</v>
      </c>
      <c r="AE55" s="47">
        <f t="shared" ref="AE55" si="37">AE56*AD82</f>
        <v>0</v>
      </c>
      <c r="AF55" s="58">
        <f>SUM(AB55:AE55)</f>
        <v>0</v>
      </c>
      <c r="AG55" s="71"/>
      <c r="AH55" s="58">
        <f>AH56*AF82</f>
        <v>0</v>
      </c>
      <c r="AI55" s="699"/>
      <c r="AJ55" s="58">
        <f>AJ56*AH82</f>
        <v>0</v>
      </c>
      <c r="AK55" s="699"/>
      <c r="AL55" s="58">
        <f>AL56*AJ82</f>
        <v>0</v>
      </c>
    </row>
    <row r="56" spans="2:38" s="55" customFormat="1" ht="14.25" hidden="1" customHeight="1" x14ac:dyDescent="0.25">
      <c r="B56" s="288" t="s">
        <v>449</v>
      </c>
      <c r="C56" s="24"/>
      <c r="D56" s="291">
        <f>D55/D82</f>
        <v>0</v>
      </c>
      <c r="E56" s="291">
        <f>E55/E82</f>
        <v>0</v>
      </c>
      <c r="F56" s="291">
        <f>F55/F82</f>
        <v>0</v>
      </c>
      <c r="G56" s="291">
        <f>G55/G82</f>
        <v>0</v>
      </c>
      <c r="H56" s="294">
        <f>H55/H82</f>
        <v>0</v>
      </c>
      <c r="I56" s="49"/>
      <c r="J56" s="291">
        <f>J55/J82</f>
        <v>0</v>
      </c>
      <c r="K56" s="291">
        <f>K55/K82</f>
        <v>0</v>
      </c>
      <c r="L56" s="291">
        <f>L55/L82</f>
        <v>0</v>
      </c>
      <c r="M56" s="291">
        <f>M55/M82</f>
        <v>0</v>
      </c>
      <c r="N56" s="294">
        <f>N55/N82</f>
        <v>0</v>
      </c>
      <c r="O56" s="71"/>
      <c r="P56" s="291">
        <f>P55/P82</f>
        <v>0</v>
      </c>
      <c r="Q56" s="291">
        <f>Q55/Q82</f>
        <v>0</v>
      </c>
      <c r="R56" s="291">
        <f>R55/R82</f>
        <v>0</v>
      </c>
      <c r="S56" s="291">
        <f>S55/S82</f>
        <v>0</v>
      </c>
      <c r="T56" s="294">
        <f>T55/T82</f>
        <v>0</v>
      </c>
      <c r="U56" s="50"/>
      <c r="V56" s="291">
        <f>V55/V82</f>
        <v>0</v>
      </c>
      <c r="W56" s="291">
        <f>W55/W82</f>
        <v>0</v>
      </c>
      <c r="X56" s="302"/>
      <c r="Y56" s="302"/>
      <c r="Z56" s="292"/>
      <c r="AA56" s="71"/>
      <c r="AB56" s="302"/>
      <c r="AC56" s="302"/>
      <c r="AD56" s="302"/>
      <c r="AE56" s="302"/>
      <c r="AF56" s="292"/>
      <c r="AG56" s="71"/>
      <c r="AH56" s="699"/>
      <c r="AI56" s="699"/>
      <c r="AJ56" s="699"/>
      <c r="AK56" s="699"/>
      <c r="AL56" s="699"/>
    </row>
    <row r="57" spans="2:38" s="55" customFormat="1" ht="14.25" hidden="1" customHeight="1" x14ac:dyDescent="0.25">
      <c r="B57" s="32"/>
      <c r="C57" s="24"/>
      <c r="D57" s="47"/>
      <c r="E57" s="47"/>
      <c r="F57" s="47"/>
      <c r="G57" s="47"/>
      <c r="H57" s="66"/>
      <c r="I57" s="49"/>
      <c r="J57" s="47"/>
      <c r="K57" s="47"/>
      <c r="L57" s="47"/>
      <c r="M57" s="47"/>
      <c r="N57" s="66"/>
      <c r="O57" s="71"/>
      <c r="P57" s="47"/>
      <c r="Q57" s="47"/>
      <c r="R57" s="47"/>
      <c r="S57" s="47"/>
      <c r="T57" s="66"/>
      <c r="U57" s="50"/>
      <c r="V57" s="47"/>
      <c r="W57" s="47"/>
      <c r="X57" s="51"/>
      <c r="Y57" s="51"/>
      <c r="Z57" s="66"/>
      <c r="AA57" s="71"/>
      <c r="AB57" s="51"/>
      <c r="AC57" s="51"/>
      <c r="AD57" s="51"/>
      <c r="AE57" s="51"/>
      <c r="AF57" s="66"/>
      <c r="AG57" s="71"/>
      <c r="AH57" s="699"/>
      <c r="AI57" s="699"/>
      <c r="AJ57" s="699"/>
      <c r="AK57" s="699"/>
      <c r="AL57" s="699"/>
    </row>
    <row r="58" spans="2:38" s="55" customFormat="1" ht="14.25" customHeight="1" x14ac:dyDescent="0.3">
      <c r="B58" s="40" t="s">
        <v>450</v>
      </c>
      <c r="C58" s="24"/>
      <c r="D58" s="51">
        <f>IS!P30+IS!P32</f>
        <v>-10.853999999999999</v>
      </c>
      <c r="E58" s="51">
        <f>IS!Q30+IS!Q32</f>
        <v>-47.483000000000004</v>
      </c>
      <c r="F58" s="51">
        <f>IS!R30+IS!R32</f>
        <v>-49.088999999999999</v>
      </c>
      <c r="G58" s="51">
        <f>IS!S30+IS!S32</f>
        <v>-35.437000000000005</v>
      </c>
      <c r="H58" s="68">
        <f>IS!T30+IS!T32</f>
        <v>1.2000000000000455E-2</v>
      </c>
      <c r="I58" s="49"/>
      <c r="J58" s="51">
        <f>IS!V30+IS!V32</f>
        <v>-17.175000000000004</v>
      </c>
      <c r="K58" s="51">
        <f>IS!W30+IS!W32</f>
        <v>-57.792999999999999</v>
      </c>
      <c r="L58" s="51">
        <f>IS!X30+IS!X32</f>
        <v>-50.865000000000009</v>
      </c>
      <c r="M58" s="51">
        <f>IS!Y30+IS!Y32</f>
        <v>-68.00800000000001</v>
      </c>
      <c r="N58" s="68">
        <f>IS!Z30+IS!Z32</f>
        <v>1.999999999981128E-3</v>
      </c>
      <c r="O58" s="71"/>
      <c r="P58" s="51">
        <f>IS!AB30+IS!AB32</f>
        <v>-43.09899999999999</v>
      </c>
      <c r="Q58" s="51">
        <f>IS!AC30+IS!AC32</f>
        <v>-72.472999999999999</v>
      </c>
      <c r="R58" s="51">
        <f>IS!AD30+IS!AD32</f>
        <v>-66.328999999999994</v>
      </c>
      <c r="S58" s="51">
        <f>IS!AE30+IS!AE32</f>
        <v>-73.580000000000013</v>
      </c>
      <c r="T58" s="68">
        <f>IS!AF30+IS!AF32</f>
        <v>0.94500000000000739</v>
      </c>
      <c r="U58" s="50"/>
      <c r="V58" s="51">
        <f>IS!AH30+IS!AH32</f>
        <v>-60.526999999999994</v>
      </c>
      <c r="W58" s="51">
        <f>IS!AI30+IS!AI32</f>
        <v>-71.961000000000013</v>
      </c>
      <c r="X58" s="47">
        <f>X59*X$31</f>
        <v>-85.088862448873698</v>
      </c>
      <c r="Y58" s="47">
        <f>Y59*Y$31</f>
        <v>-102.85038328387944</v>
      </c>
      <c r="Z58" s="58">
        <f>SUM(V58:Y58)</f>
        <v>-320.42724573275314</v>
      </c>
      <c r="AA58" s="71"/>
      <c r="AB58" s="47">
        <f>AB59*AB$31</f>
        <v>-70.19529973709858</v>
      </c>
      <c r="AC58" s="47">
        <f>AC59*AC$31</f>
        <v>-86.957598945864987</v>
      </c>
      <c r="AD58" s="47">
        <f>AD59*AD$31</f>
        <v>-102.74932034529868</v>
      </c>
      <c r="AE58" s="47">
        <f>AE59*AE$31</f>
        <v>-123.49199003635349</v>
      </c>
      <c r="AF58" s="58">
        <f>SUM(AB58:AE58)</f>
        <v>-383.39420906461578</v>
      </c>
      <c r="AG58" s="71"/>
      <c r="AH58" s="58">
        <f>AH59*AH$31</f>
        <v>-302.35523607701452</v>
      </c>
      <c r="AI58" s="699"/>
      <c r="AJ58" s="58">
        <f>AJ59*AJ$31</f>
        <v>-470.96197260414266</v>
      </c>
      <c r="AK58" s="699"/>
      <c r="AL58" s="58">
        <f>AL59*AL$31</f>
        <v>-518.65258877240205</v>
      </c>
    </row>
    <row r="59" spans="2:38" s="55" customFormat="1" ht="14.25" customHeight="1" x14ac:dyDescent="0.25">
      <c r="B59" s="32" t="s">
        <v>436</v>
      </c>
      <c r="C59" s="22"/>
      <c r="D59" s="291">
        <f>D58/D31</f>
        <v>-0.25728914805859759</v>
      </c>
      <c r="E59" s="291">
        <f>E58/E31</f>
        <v>-0.45483979117773843</v>
      </c>
      <c r="F59" s="291">
        <f>F58/F31</f>
        <v>-0.36713310248375203</v>
      </c>
      <c r="G59" s="291">
        <f>G58/G31</f>
        <v>-0.32648191483481054</v>
      </c>
      <c r="H59" s="294">
        <f>H58/H31</f>
        <v>3.0861657476752053E-5</v>
      </c>
      <c r="I59" s="49"/>
      <c r="J59" s="291">
        <f>J58/J31</f>
        <v>-0.23129444085326445</v>
      </c>
      <c r="K59" s="291">
        <f>K58/K31</f>
        <v>-0.39973854762514094</v>
      </c>
      <c r="L59" s="291">
        <f>L58/L31</f>
        <v>-0.30174587261002922</v>
      </c>
      <c r="M59" s="291">
        <f>M58/M31</f>
        <v>-0.3992930995003553</v>
      </c>
      <c r="N59" s="294">
        <f>N58/N31</f>
        <v>3.5860095423375551E-6</v>
      </c>
      <c r="O59" s="85"/>
      <c r="P59" s="291">
        <f>P58/P31</f>
        <v>-0.2831902017859137</v>
      </c>
      <c r="Q59" s="291">
        <f>Q58/Q31</f>
        <v>-0.35792670881074673</v>
      </c>
      <c r="R59" s="291">
        <f>R58/R31</f>
        <v>-0.32518041338196646</v>
      </c>
      <c r="S59" s="291">
        <f>S58/S31</f>
        <v>-0.32925972497550021</v>
      </c>
      <c r="T59" s="294">
        <f>T58/T31</f>
        <v>1.2082575775011026E-3</v>
      </c>
      <c r="U59" s="82"/>
      <c r="V59" s="291">
        <f>V58/V31</f>
        <v>-0.35119265203339767</v>
      </c>
      <c r="W59" s="291">
        <f>W58/W31</f>
        <v>-0.33412421298961797</v>
      </c>
      <c r="X59" s="302">
        <f>AVERAGE(V59:W59,R59:S59)</f>
        <v>-0.33493925084512061</v>
      </c>
      <c r="Y59" s="302">
        <f>AVERAGE(V59:X59,S59)</f>
        <v>-0.33737896021090913</v>
      </c>
      <c r="Z59" s="292">
        <f>Z58/Z31</f>
        <v>-0.33849871746433546</v>
      </c>
      <c r="AA59" s="71"/>
      <c r="AB59" s="302">
        <f>AVERAGE(V59:Y59)</f>
        <v>-0.33940876901976136</v>
      </c>
      <c r="AC59" s="302">
        <f>AVERAGE(AB59,W59:Y59)</f>
        <v>-0.33646279826635228</v>
      </c>
      <c r="AD59" s="302">
        <f>AVERAGE(AB59:AC59,X59:Y59)</f>
        <v>-0.33704744458553587</v>
      </c>
      <c r="AE59" s="302">
        <f>AVERAGE(AB59:AD59,Y59)</f>
        <v>-0.33757449302063969</v>
      </c>
      <c r="AF59" s="292">
        <f>AF58/AF31</f>
        <v>-0.33751407893661989</v>
      </c>
      <c r="AG59" s="71"/>
      <c r="AH59" s="302">
        <f>AVERAGE(AF59,Z59,T59)</f>
        <v>-0.22493484627448476</v>
      </c>
      <c r="AI59" s="72"/>
      <c r="AJ59" s="302">
        <f>AVERAGE(AF59:AH59,Z59)</f>
        <v>-0.30031588089181338</v>
      </c>
      <c r="AL59" s="302">
        <f>AVERAGE(AF59:AJ59)</f>
        <v>-0.2875882687009727</v>
      </c>
    </row>
    <row r="60" spans="2:38" s="55" customFormat="1" ht="14.25" customHeight="1" x14ac:dyDescent="0.3">
      <c r="B60" s="40"/>
      <c r="C60" s="24"/>
      <c r="D60" s="47"/>
      <c r="E60" s="47"/>
      <c r="F60" s="47"/>
      <c r="G60" s="47"/>
      <c r="H60" s="66"/>
      <c r="I60" s="49"/>
      <c r="J60" s="47"/>
      <c r="K60" s="47"/>
      <c r="L60" s="47"/>
      <c r="M60" s="47"/>
      <c r="N60" s="66"/>
      <c r="O60" s="71"/>
      <c r="P60" s="47"/>
      <c r="Q60" s="47"/>
      <c r="R60" s="47"/>
      <c r="S60" s="47"/>
      <c r="T60" s="66"/>
      <c r="U60" s="50"/>
      <c r="V60" s="47"/>
      <c r="W60" s="47"/>
      <c r="X60" s="51"/>
      <c r="Y60" s="51"/>
      <c r="Z60" s="689"/>
      <c r="AA60" s="169"/>
      <c r="AB60" s="51"/>
      <c r="AC60" s="51"/>
      <c r="AD60" s="51"/>
      <c r="AE60" s="51"/>
      <c r="AF60" s="66"/>
      <c r="AG60" s="71"/>
      <c r="AH60" s="68"/>
      <c r="AI60" s="72"/>
      <c r="AJ60" s="68"/>
    </row>
    <row r="61" spans="2:38" s="55" customFormat="1" ht="13.5" customHeight="1" x14ac:dyDescent="0.3">
      <c r="B61" s="29" t="s">
        <v>451</v>
      </c>
      <c r="C61" s="24"/>
      <c r="D61" s="51">
        <f>IS!P33</f>
        <v>-9.3059999999999992</v>
      </c>
      <c r="E61" s="51">
        <f>IS!Q33</f>
        <v>20.035</v>
      </c>
      <c r="F61" s="51">
        <f>IS!R33</f>
        <v>31.635999999999999</v>
      </c>
      <c r="G61" s="51">
        <f>IS!S33</f>
        <v>16.670000000000002</v>
      </c>
      <c r="H61" s="68">
        <f>IS!T33</f>
        <v>59.023000000000003</v>
      </c>
      <c r="I61" s="49"/>
      <c r="J61" s="51">
        <f>IS!V33</f>
        <v>8.8620000000000001</v>
      </c>
      <c r="K61" s="51">
        <f>IS!W33</f>
        <v>30.43</v>
      </c>
      <c r="L61" s="51">
        <f>IS!X33</f>
        <v>33.173000000000002</v>
      </c>
      <c r="M61" s="51">
        <f>IS!Y33</f>
        <v>23.373999999999999</v>
      </c>
      <c r="N61" s="68">
        <f>IS!Z33</f>
        <v>95.837000000000003</v>
      </c>
      <c r="O61" s="71"/>
      <c r="P61" s="51">
        <f>IS!AB33</f>
        <v>25.231999999999999</v>
      </c>
      <c r="Q61" s="51">
        <f>IS!AC33</f>
        <v>37.593000000000004</v>
      </c>
      <c r="R61" s="51">
        <f>IS!AD33</f>
        <v>44.183999999999997</v>
      </c>
      <c r="S61" s="51">
        <f>IS!AE33</f>
        <v>43.988999999999997</v>
      </c>
      <c r="T61" s="68">
        <f>IS!AF33</f>
        <v>150.053</v>
      </c>
      <c r="U61" s="50"/>
      <c r="V61" s="51">
        <f>IS!AH33</f>
        <v>25.777000000000001</v>
      </c>
      <c r="W61" s="51">
        <f>IS!AI33</f>
        <v>31.693999999999999</v>
      </c>
      <c r="X61" s="47">
        <f>X62*X31</f>
        <v>43.187254344810562</v>
      </c>
      <c r="Y61" s="47">
        <f>Y62*Y31</f>
        <v>51.824705213772674</v>
      </c>
      <c r="Z61" s="689">
        <f>SUM(V61:Y61)</f>
        <v>152.48295955858322</v>
      </c>
      <c r="AA61" s="689"/>
      <c r="AB61" s="47">
        <f>AB62*AB31</f>
        <v>35.158788000000008</v>
      </c>
      <c r="AC61" s="47">
        <f>AC62*AC31</f>
        <v>43.935887999999998</v>
      </c>
      <c r="AD61" s="47">
        <f>AD62*AD31</f>
        <v>51.824705213772674</v>
      </c>
      <c r="AE61" s="47">
        <f>AE62*AE31</f>
        <v>62.189646256527205</v>
      </c>
      <c r="AF61" s="689">
        <f>SUM(AB61:AE61)</f>
        <v>193.10902747029988</v>
      </c>
      <c r="AG61" s="689"/>
      <c r="AH61" s="689">
        <f>AH62*AH31</f>
        <v>228.5123491731882</v>
      </c>
      <c r="AI61" s="689"/>
      <c r="AJ61" s="689">
        <f>AJ62*AJ31</f>
        <v>266.59774070205287</v>
      </c>
      <c r="AK61" s="689"/>
      <c r="AL61" s="689">
        <f>AL62*AL31</f>
        <v>306.58740180736078</v>
      </c>
    </row>
    <row r="62" spans="2:38" s="55" customFormat="1" ht="14.25" customHeight="1" x14ac:dyDescent="0.25">
      <c r="B62" s="32" t="s">
        <v>436</v>
      </c>
      <c r="C62" s="24"/>
      <c r="D62" s="291">
        <f>D61/D31</f>
        <v>-0.22059451002702316</v>
      </c>
      <c r="E62" s="291">
        <f>E61/E31</f>
        <v>0.1919153216150199</v>
      </c>
      <c r="F62" s="291">
        <f>F61/F31</f>
        <v>0.23660337000501086</v>
      </c>
      <c r="G62" s="291">
        <f>G61/G31</f>
        <v>0.15358110224613514</v>
      </c>
      <c r="H62" s="294">
        <f>H61/H31</f>
        <v>0.15179563410418898</v>
      </c>
      <c r="I62" s="49"/>
      <c r="J62" s="291">
        <f>J61/J31</f>
        <v>0.11934389140271494</v>
      </c>
      <c r="K62" s="291">
        <f>K61/K31</f>
        <v>0.2104760784910463</v>
      </c>
      <c r="L62" s="291">
        <f>L61/L31</f>
        <v>0.1967918181872112</v>
      </c>
      <c r="M62" s="291">
        <f>M61/M31</f>
        <v>0.13723498570346579</v>
      </c>
      <c r="N62" s="294">
        <f>N61/N31</f>
        <v>0.17183619825612359</v>
      </c>
      <c r="O62" s="71"/>
      <c r="P62" s="291">
        <f>P61/P31</f>
        <v>0.16579166967823328</v>
      </c>
      <c r="Q62" s="291">
        <f>Q61/Q31</f>
        <v>0.18566278150928489</v>
      </c>
      <c r="R62" s="291">
        <f>R61/R31</f>
        <v>0.21661371926108952</v>
      </c>
      <c r="S62" s="291">
        <f>S61/S31</f>
        <v>0.19684433326919376</v>
      </c>
      <c r="T62" s="294">
        <f>T61/T31</f>
        <v>0.19185468177436141</v>
      </c>
      <c r="U62" s="50"/>
      <c r="V62" s="291">
        <f>V61/V31</f>
        <v>0.14956454130330091</v>
      </c>
      <c r="W62" s="291">
        <f>W61/W31</f>
        <v>0.1471593336181119</v>
      </c>
      <c r="X62" s="293">
        <v>0.17</v>
      </c>
      <c r="Y62" s="293">
        <v>0.17</v>
      </c>
      <c r="Z62" s="721">
        <f>Z61/Z31</f>
        <v>0.16108270109089101</v>
      </c>
      <c r="AA62" s="721">
        <v>0.15</v>
      </c>
      <c r="AB62" s="293">
        <v>0.17</v>
      </c>
      <c r="AC62" s="293">
        <v>0.17</v>
      </c>
      <c r="AD62" s="293">
        <v>0.17</v>
      </c>
      <c r="AE62" s="293">
        <v>0.17</v>
      </c>
      <c r="AF62" s="721">
        <f>AF61/AF31</f>
        <v>0.17</v>
      </c>
      <c r="AG62" s="721">
        <v>0.15</v>
      </c>
      <c r="AH62" s="721">
        <v>0.17</v>
      </c>
      <c r="AI62" s="721">
        <v>0.15</v>
      </c>
      <c r="AJ62" s="721">
        <v>0.17</v>
      </c>
      <c r="AK62" s="721">
        <v>0.15</v>
      </c>
      <c r="AL62" s="721">
        <v>0.17</v>
      </c>
    </row>
    <row r="63" spans="2:38" s="55" customFormat="1" ht="14.25" customHeight="1" x14ac:dyDescent="0.25">
      <c r="B63" s="32"/>
      <c r="C63" s="24"/>
      <c r="D63" s="47"/>
      <c r="E63" s="47"/>
      <c r="F63" s="47"/>
      <c r="G63" s="47"/>
      <c r="H63" s="66"/>
      <c r="I63" s="49"/>
      <c r="J63" s="47"/>
      <c r="K63" s="47"/>
      <c r="L63" s="47"/>
      <c r="M63" s="47"/>
      <c r="N63" s="66"/>
      <c r="O63" s="71"/>
      <c r="P63" s="47"/>
      <c r="Q63" s="47"/>
      <c r="R63" s="47"/>
      <c r="S63" s="47"/>
      <c r="T63" s="66"/>
      <c r="U63" s="50"/>
      <c r="V63" s="47"/>
      <c r="W63" s="47"/>
      <c r="X63" s="51"/>
      <c r="Y63" s="51"/>
      <c r="Z63" s="66"/>
      <c r="AA63" s="71"/>
      <c r="AB63" s="51"/>
      <c r="AC63" s="51"/>
      <c r="AD63" s="51"/>
      <c r="AE63" s="51"/>
      <c r="AF63" s="689"/>
      <c r="AG63" s="169"/>
      <c r="AH63" s="717"/>
      <c r="AI63" s="170"/>
      <c r="AJ63" s="717"/>
      <c r="AK63" s="694"/>
      <c r="AL63" s="694"/>
    </row>
    <row r="64" spans="2:38" s="55" customFormat="1" ht="14.25" customHeight="1" x14ac:dyDescent="0.3">
      <c r="B64" s="29" t="s">
        <v>452</v>
      </c>
      <c r="C64" s="24"/>
      <c r="D64" s="305">
        <f>IS!P59</f>
        <v>58.827399999999997</v>
      </c>
      <c r="E64" s="305">
        <f>IS!Q59</f>
        <v>59.177599999999998</v>
      </c>
      <c r="F64" s="305">
        <f>IS!R59</f>
        <v>59.360799999999998</v>
      </c>
      <c r="G64" s="305">
        <f>IS!S59</f>
        <v>59.268599999999999</v>
      </c>
      <c r="H64" s="315">
        <f>IS!T59</f>
        <v>59.235999999999997</v>
      </c>
      <c r="I64" s="316"/>
      <c r="J64" s="305">
        <f>IS!V59</f>
        <v>59.736800000000002</v>
      </c>
      <c r="K64" s="305">
        <f>IS!W59</f>
        <v>59.898099999999999</v>
      </c>
      <c r="L64" s="305">
        <f>IS!X59</f>
        <v>60.219200000000001</v>
      </c>
      <c r="M64" s="305">
        <f>IS!Y59</f>
        <v>60.792299999999997</v>
      </c>
      <c r="N64" s="315">
        <f>IS!Z59</f>
        <v>60.164700000000003</v>
      </c>
      <c r="O64" s="318"/>
      <c r="P64" s="305">
        <f>IS!AB59</f>
        <v>61.367199999999997</v>
      </c>
      <c r="Q64" s="305">
        <f>IS!AC59</f>
        <v>62.178400000000003</v>
      </c>
      <c r="R64" s="305">
        <f>IS!AD59</f>
        <v>62.500900000000001</v>
      </c>
      <c r="S64" s="305">
        <f>IS!AE59</f>
        <v>62.7943</v>
      </c>
      <c r="T64" s="315">
        <f>IS!AF59</f>
        <v>62.212600000000002</v>
      </c>
      <c r="U64" s="319"/>
      <c r="V64" s="305">
        <f>IS!AH59</f>
        <v>63.267800000000001</v>
      </c>
      <c r="W64" s="305">
        <f>IS!AI59</f>
        <v>63.968800000000002</v>
      </c>
      <c r="X64" s="305">
        <f>W64+X101</f>
        <v>64.235816140909506</v>
      </c>
      <c r="Y64" s="305">
        <f>X64+Y101</f>
        <v>64.525040064679274</v>
      </c>
      <c r="Z64" s="315">
        <f>AVERAGE(V64:Y64)</f>
        <v>63.999364051397194</v>
      </c>
      <c r="AA64" s="71"/>
      <c r="AB64" s="305">
        <f>Y64+AB101</f>
        <v>64.697287130724646</v>
      </c>
      <c r="AC64" s="305">
        <f t="shared" ref="AC64:AE64" si="38">AB64+AC101</f>
        <v>64.896120013686982</v>
      </c>
      <c r="AD64" s="305">
        <f t="shared" si="38"/>
        <v>65.126045209392913</v>
      </c>
      <c r="AE64" s="305">
        <f t="shared" si="38"/>
        <v>65.386684473078205</v>
      </c>
      <c r="AF64" s="315">
        <f>AVERAGE(AB64:AE64)</f>
        <v>65.026534206720683</v>
      </c>
      <c r="AG64" s="71"/>
      <c r="AH64" s="315">
        <f>AE64+AH101</f>
        <v>66.403780170602616</v>
      </c>
      <c r="AI64" s="72"/>
      <c r="AJ64" s="315">
        <f>AF64+AJ101</f>
        <v>66.002439469597377</v>
      </c>
      <c r="AL64" s="315">
        <f>AH64+AL101</f>
        <v>67.381951377048324</v>
      </c>
    </row>
    <row r="65" spans="2:38" s="55" customFormat="1" ht="14.25" customHeight="1" x14ac:dyDescent="0.3">
      <c r="B65" s="29" t="s">
        <v>453</v>
      </c>
      <c r="C65" s="24"/>
      <c r="D65" s="305">
        <f>IS!P60</f>
        <v>65.950900000000004</v>
      </c>
      <c r="E65" s="305">
        <f>IS!Q60</f>
        <v>65.478700000000003</v>
      </c>
      <c r="F65" s="305">
        <f>IS!R60</f>
        <v>65.612700000000004</v>
      </c>
      <c r="G65" s="305">
        <f>IS!S60</f>
        <v>64.198300000000003</v>
      </c>
      <c r="H65" s="315">
        <f>IS!T60</f>
        <v>65.341800000000006</v>
      </c>
      <c r="I65" s="316"/>
      <c r="J65" s="305">
        <f>IS!V60</f>
        <v>65.058800000000005</v>
      </c>
      <c r="K65" s="305">
        <f>IS!W60</f>
        <v>64.929599999999994</v>
      </c>
      <c r="L65" s="305">
        <f>IS!X60</f>
        <v>65.450900000000004</v>
      </c>
      <c r="M65" s="305">
        <f>IS!Y60</f>
        <v>65.911900000000003</v>
      </c>
      <c r="N65" s="315">
        <f>IS!Z60</f>
        <v>64.870500000000007</v>
      </c>
      <c r="O65" s="318"/>
      <c r="P65" s="305">
        <f>IS!AB60</f>
        <v>66.2423</v>
      </c>
      <c r="Q65" s="305">
        <f>IS!AC60</f>
        <v>67.0578</v>
      </c>
      <c r="R65" s="305">
        <f>IS!AD60</f>
        <v>66.671499999999995</v>
      </c>
      <c r="S65" s="305">
        <f>IS!AE60</f>
        <v>66.518699999999995</v>
      </c>
      <c r="T65" s="315">
        <f>IS!AF60</f>
        <v>66.237399999999994</v>
      </c>
      <c r="U65" s="319"/>
      <c r="V65" s="305">
        <f>IS!AH60</f>
        <v>66.952799999999996</v>
      </c>
      <c r="W65" s="305">
        <f>IS!AI60</f>
        <v>67.4649</v>
      </c>
      <c r="X65" s="305">
        <f>W65</f>
        <v>67.4649</v>
      </c>
      <c r="Y65" s="305">
        <f>X65</f>
        <v>67.4649</v>
      </c>
      <c r="Z65" s="315">
        <f>AVERAGE(V65:Y65)</f>
        <v>67.336874999999992</v>
      </c>
      <c r="AA65" s="71"/>
      <c r="AB65" s="305">
        <f>Y65</f>
        <v>67.4649</v>
      </c>
      <c r="AC65" s="305">
        <f t="shared" ref="AC65:AE65" si="39">AB65</f>
        <v>67.4649</v>
      </c>
      <c r="AD65" s="305">
        <f t="shared" si="39"/>
        <v>67.4649</v>
      </c>
      <c r="AE65" s="305">
        <f t="shared" si="39"/>
        <v>67.4649</v>
      </c>
      <c r="AF65" s="315">
        <f>AVERAGE(AB65:AE65)</f>
        <v>67.4649</v>
      </c>
      <c r="AG65" s="71"/>
      <c r="AH65" s="315">
        <f>AF65</f>
        <v>67.4649</v>
      </c>
      <c r="AI65" s="72"/>
      <c r="AJ65" s="315">
        <f>AH65</f>
        <v>67.4649</v>
      </c>
      <c r="AL65" s="315">
        <f>AJ65</f>
        <v>67.4649</v>
      </c>
    </row>
    <row r="66" spans="2:38" ht="14.25" customHeight="1" x14ac:dyDescent="0.25">
      <c r="U66" s="191"/>
    </row>
    <row r="67" spans="2:38" s="56" customFormat="1" ht="14.25" customHeight="1" x14ac:dyDescent="0.3">
      <c r="B67" s="147" t="s">
        <v>454</v>
      </c>
      <c r="C67" s="33"/>
      <c r="D67" s="342" t="s">
        <v>455</v>
      </c>
      <c r="E67" s="342" t="s">
        <v>456</v>
      </c>
      <c r="F67" s="342" t="s">
        <v>457</v>
      </c>
      <c r="G67" s="342" t="s">
        <v>458</v>
      </c>
      <c r="H67" s="342" t="s">
        <v>459</v>
      </c>
      <c r="I67" s="38"/>
      <c r="J67" s="342" t="s">
        <v>460</v>
      </c>
      <c r="K67" s="342" t="s">
        <v>461</v>
      </c>
      <c r="L67" s="342" t="s">
        <v>462</v>
      </c>
      <c r="M67" s="342" t="s">
        <v>463</v>
      </c>
      <c r="N67" s="342" t="s">
        <v>464</v>
      </c>
      <c r="O67" s="38"/>
      <c r="P67" s="342" t="s">
        <v>465</v>
      </c>
      <c r="Q67" s="342" t="s">
        <v>466</v>
      </c>
      <c r="R67" s="342" t="s">
        <v>467</v>
      </c>
      <c r="S67" s="342" t="s">
        <v>468</v>
      </c>
      <c r="T67" s="342" t="s">
        <v>469</v>
      </c>
      <c r="U67" s="38"/>
      <c r="V67" s="342" t="s">
        <v>470</v>
      </c>
      <c r="W67" s="342" t="s">
        <v>471</v>
      </c>
      <c r="X67" s="342" t="s">
        <v>472</v>
      </c>
      <c r="Y67" s="342" t="s">
        <v>473</v>
      </c>
      <c r="Z67" s="342" t="s">
        <v>474</v>
      </c>
      <c r="AA67" s="38"/>
      <c r="AB67" s="342" t="s">
        <v>475</v>
      </c>
      <c r="AC67" s="342" t="s">
        <v>476</v>
      </c>
      <c r="AD67" s="342" t="s">
        <v>477</v>
      </c>
      <c r="AE67" s="342" t="s">
        <v>478</v>
      </c>
      <c r="AF67" s="342" t="s">
        <v>479</v>
      </c>
      <c r="AG67" s="38"/>
      <c r="AH67" s="342" t="s">
        <v>480</v>
      </c>
      <c r="AI67" s="38"/>
      <c r="AJ67" s="342" t="s">
        <v>481</v>
      </c>
      <c r="AK67" s="342"/>
      <c r="AL67" s="342" t="s">
        <v>482</v>
      </c>
    </row>
    <row r="68" spans="2:38" ht="4.05" customHeight="1" x14ac:dyDescent="0.25">
      <c r="B68" s="274"/>
      <c r="C68" s="37"/>
      <c r="D68" s="274"/>
      <c r="E68" s="274"/>
      <c r="F68" s="274"/>
      <c r="G68" s="274"/>
      <c r="H68" s="274"/>
      <c r="I68" s="37"/>
      <c r="J68" s="274"/>
      <c r="K68" s="274"/>
      <c r="L68" s="274"/>
      <c r="M68" s="274"/>
      <c r="N68" s="274"/>
      <c r="O68" s="37"/>
      <c r="P68" s="274"/>
      <c r="Q68" s="274"/>
      <c r="R68" s="274"/>
      <c r="S68" s="274"/>
      <c r="T68" s="274"/>
      <c r="U68" s="37"/>
      <c r="V68" s="274"/>
      <c r="W68" s="274"/>
      <c r="X68" s="274"/>
      <c r="Y68" s="274"/>
      <c r="Z68" s="274"/>
      <c r="AA68" s="37"/>
      <c r="AB68" s="274"/>
      <c r="AC68" s="274"/>
      <c r="AD68" s="274"/>
      <c r="AE68" s="274"/>
      <c r="AF68" s="274"/>
      <c r="AG68" s="37"/>
      <c r="AH68" s="274"/>
      <c r="AI68" s="37"/>
      <c r="AJ68" s="275"/>
      <c r="AK68" s="274"/>
      <c r="AL68" s="274"/>
    </row>
    <row r="69" spans="2:38" ht="4.05" customHeight="1" x14ac:dyDescent="0.25">
      <c r="U69" s="191"/>
    </row>
    <row r="70" spans="2:38" ht="14.25" customHeight="1" x14ac:dyDescent="0.3">
      <c r="B70" s="29" t="s">
        <v>483</v>
      </c>
      <c r="D70" s="51">
        <f>BS!P18</f>
        <v>106.351</v>
      </c>
      <c r="E70" s="51">
        <f>BS!Q18</f>
        <v>154.62700000000001</v>
      </c>
      <c r="F70" s="51">
        <f>BS!R18</f>
        <v>188.34100000000001</v>
      </c>
      <c r="G70" s="51">
        <f>BS!S18</f>
        <v>182.93600000000001</v>
      </c>
      <c r="H70" s="68">
        <f>BS!T18</f>
        <v>182.93600000000001</v>
      </c>
      <c r="J70" s="51">
        <f>BS!V18</f>
        <v>186.13</v>
      </c>
      <c r="K70" s="51">
        <f>BS!W18</f>
        <v>200.745</v>
      </c>
      <c r="L70" s="51">
        <f>BS!X18</f>
        <v>248.477</v>
      </c>
      <c r="M70" s="51">
        <f>BS!Y18</f>
        <v>283.18599999999998</v>
      </c>
      <c r="N70" s="68">
        <f>BS!Z18</f>
        <v>283.18599999999998</v>
      </c>
      <c r="P70" s="51">
        <f>BS!AB18</f>
        <v>296.37099999999998</v>
      </c>
      <c r="Q70" s="51">
        <f>BS!AC18</f>
        <v>293.49900000000002</v>
      </c>
      <c r="R70" s="51">
        <f>BS!AD18</f>
        <v>370.589</v>
      </c>
      <c r="S70" s="51">
        <f>BS!AE18</f>
        <v>387.04500000000002</v>
      </c>
      <c r="T70" s="68">
        <f>BS!AF18</f>
        <v>387.04500000000002</v>
      </c>
      <c r="U70" s="191"/>
      <c r="V70" s="51">
        <f>BS!AH18</f>
        <v>387.84899999999999</v>
      </c>
      <c r="W70" s="51">
        <f>BS!AI18</f>
        <v>433.66199999999998</v>
      </c>
      <c r="X70" s="47">
        <f>X31*X71/92</f>
        <v>491.69532424493894</v>
      </c>
      <c r="Y70" s="47">
        <f>Y31*Y71/92</f>
        <v>599.07754925379481</v>
      </c>
      <c r="Z70" s="298">
        <f>Y70</f>
        <v>599.07754925379481</v>
      </c>
      <c r="AB70" s="47">
        <f>AB31*AB71/90</f>
        <v>427.78052400464406</v>
      </c>
      <c r="AC70" s="47">
        <f>AC31*AC71/91</f>
        <v>517.06858957850773</v>
      </c>
      <c r="AD70" s="47">
        <f t="shared" ref="AD70:AE70" si="40">AD31*AD71/92</f>
        <v>602.31023128794538</v>
      </c>
      <c r="AE70" s="47">
        <f t="shared" si="40"/>
        <v>726.45503020374019</v>
      </c>
      <c r="AF70" s="298">
        <f>AE70</f>
        <v>726.45503020374019</v>
      </c>
      <c r="AH70" s="298">
        <f>AH31*AH71/365</f>
        <v>791.84167983693908</v>
      </c>
      <c r="AJ70" s="298">
        <f>AJ31*AJ71/366</f>
        <v>970.40755833832645</v>
      </c>
      <c r="AL70" s="298">
        <f>AL31*AL71/365</f>
        <v>1111.5873282185075</v>
      </c>
    </row>
    <row r="71" spans="2:38" ht="14.25" customHeight="1" x14ac:dyDescent="0.25">
      <c r="B71" s="764" t="s">
        <v>484</v>
      </c>
      <c r="D71" s="308">
        <f>D70/D31*90</f>
        <v>226.89020054046367</v>
      </c>
      <c r="E71" s="308">
        <f>E70/E31*91</f>
        <v>134.78669476507497</v>
      </c>
      <c r="F71" s="308">
        <f>F70/F31*92</f>
        <v>129.59016969687906</v>
      </c>
      <c r="G71" s="308">
        <f>G70/G31*92</f>
        <v>155.05621786958045</v>
      </c>
      <c r="H71" s="309">
        <f>H70/H31*365</f>
        <v>171.72362357007654</v>
      </c>
      <c r="I71" s="310"/>
      <c r="J71" s="308">
        <f>J70/J31*90</f>
        <v>225.59389140271492</v>
      </c>
      <c r="K71" s="308">
        <f>K70/K31*91</f>
        <v>126.35339646001785</v>
      </c>
      <c r="L71" s="308">
        <f>L70/L31*92</f>
        <v>135.61143507999694</v>
      </c>
      <c r="M71" s="308">
        <f>M70/M31*92</f>
        <v>152.96476652908331</v>
      </c>
      <c r="N71" s="309">
        <f>N70/N31*365</f>
        <v>185.3301549335423</v>
      </c>
      <c r="O71" s="310"/>
      <c r="P71" s="308">
        <f>P70/P31*90</f>
        <v>175.26259765689164</v>
      </c>
      <c r="Q71" s="308">
        <f>Q70/Q31*91</f>
        <v>131.90640557092061</v>
      </c>
      <c r="R71" s="308">
        <f>R70/R31*92</f>
        <v>167.14803702396361</v>
      </c>
      <c r="S71" s="308">
        <f>S70/S31*92</f>
        <v>159.34121205883537</v>
      </c>
      <c r="T71" s="309">
        <f>T70/T31*365</f>
        <v>180.62674046627237</v>
      </c>
      <c r="U71" s="311"/>
      <c r="V71" s="308">
        <f>V70/V31*90</f>
        <v>202.53564030705493</v>
      </c>
      <c r="W71" s="308">
        <f>W70/W31*91</f>
        <v>183.23292721430826</v>
      </c>
      <c r="X71" s="312">
        <f>AVERAGE(V71:W71,R71:S71)</f>
        <v>178.06445415104054</v>
      </c>
      <c r="Y71" s="312">
        <f>AVERAGE(V71:X71,S71)</f>
        <v>180.79355843280976</v>
      </c>
      <c r="Z71" s="309">
        <f>Z70/Z31*365</f>
        <v>230.99548944856113</v>
      </c>
      <c r="AA71" s="310"/>
      <c r="AB71" s="312">
        <f>AVERAGE(V71:Y71)</f>
        <v>186.15664502630335</v>
      </c>
      <c r="AC71" s="312">
        <f>AVERAGE(AB71,W71:Y71)</f>
        <v>182.06189620611548</v>
      </c>
      <c r="AD71" s="312">
        <f>AVERAGE(AB71:AC71,X71:Y71)</f>
        <v>181.76913845406727</v>
      </c>
      <c r="AE71" s="312">
        <f>AVERAGE(AB71:AD71,Y71)</f>
        <v>182.69530952982396</v>
      </c>
      <c r="AF71" s="309">
        <f>AF70/AF31*365</f>
        <v>233.42531011956362</v>
      </c>
      <c r="AG71" s="310"/>
      <c r="AH71" s="312">
        <f>AVERAGE(AF71,Z71,T71)</f>
        <v>215.01584667813236</v>
      </c>
      <c r="AI71" s="310"/>
      <c r="AJ71" s="312">
        <f>AVERAGE(AF71,AH71,Z71)</f>
        <v>226.47888208208568</v>
      </c>
      <c r="AK71" s="309"/>
      <c r="AL71" s="312">
        <f>AVERAGE(AH71,AJ71,AF71)</f>
        <v>224.97334629326056</v>
      </c>
    </row>
    <row r="72" spans="2:38" ht="14.25" customHeight="1" x14ac:dyDescent="0.3">
      <c r="B72" s="29"/>
      <c r="D72" s="47"/>
      <c r="E72" s="47"/>
      <c r="F72" s="47"/>
      <c r="G72" s="47"/>
      <c r="J72" s="47"/>
      <c r="K72" s="47"/>
      <c r="L72" s="47"/>
      <c r="M72" s="47"/>
      <c r="P72" s="47"/>
      <c r="Q72" s="47"/>
      <c r="R72" s="47"/>
      <c r="S72" s="47"/>
      <c r="U72" s="191"/>
      <c r="V72" s="47"/>
      <c r="W72" s="47"/>
      <c r="X72" s="47"/>
      <c r="Y72" s="47"/>
      <c r="AB72" s="47"/>
      <c r="AC72" s="47"/>
      <c r="AD72" s="47"/>
      <c r="AE72" s="47"/>
    </row>
    <row r="73" spans="2:38" ht="14.25" customHeight="1" x14ac:dyDescent="0.3">
      <c r="B73" s="29" t="s">
        <v>485</v>
      </c>
      <c r="D73" s="51">
        <f>BS!P19</f>
        <v>271.53800000000001</v>
      </c>
      <c r="E73" s="51">
        <f>BS!Q19</f>
        <v>288.08</v>
      </c>
      <c r="F73" s="51">
        <f>BS!R19</f>
        <v>327.79199999999997</v>
      </c>
      <c r="G73" s="51">
        <f>BS!S19</f>
        <v>393.17200000000003</v>
      </c>
      <c r="H73" s="68">
        <f>BS!T19</f>
        <v>393.17200000000003</v>
      </c>
      <c r="J73" s="51">
        <f>BS!V19</f>
        <v>473.29899999999998</v>
      </c>
      <c r="K73" s="51">
        <f>BS!W19</f>
        <v>471.09399999999999</v>
      </c>
      <c r="L73" s="51">
        <f>BS!X19</f>
        <v>507.43099999999998</v>
      </c>
      <c r="M73" s="51">
        <f>BS!Y19</f>
        <v>545.39499999999998</v>
      </c>
      <c r="N73" s="68">
        <f>BS!Z19</f>
        <v>545.39499999999998</v>
      </c>
      <c r="P73" s="51">
        <f>BS!AB19</f>
        <v>581.14</v>
      </c>
      <c r="Q73" s="51">
        <f>BS!AC19</f>
        <v>602.92700000000002</v>
      </c>
      <c r="R73" s="51">
        <f>BS!AD19</f>
        <v>628.72</v>
      </c>
      <c r="S73" s="51">
        <f>BS!AE19</f>
        <v>597.98400000000004</v>
      </c>
      <c r="T73" s="68">
        <f>BS!AF19</f>
        <v>597.98400000000004</v>
      </c>
      <c r="U73" s="191"/>
      <c r="V73" s="51">
        <f>BS!AH19</f>
        <v>609.56700000000001</v>
      </c>
      <c r="W73" s="51">
        <f>BS!AI19</f>
        <v>648.27800000000002</v>
      </c>
      <c r="X73" s="47">
        <f>X74*X34/92</f>
        <v>774.41056741203579</v>
      </c>
      <c r="Y73" s="47">
        <f>Y74*Y34/92</f>
        <v>926.0714745261082</v>
      </c>
      <c r="Z73" s="298">
        <f>Y73</f>
        <v>926.0714745261082</v>
      </c>
      <c r="AB73" s="47">
        <f t="shared" ref="AB73:AE73" si="41">AB74*AB34/92</f>
        <v>647.28111306279868</v>
      </c>
      <c r="AC73" s="47">
        <f t="shared" si="41"/>
        <v>787.86241003720795</v>
      </c>
      <c r="AD73" s="47">
        <f t="shared" si="41"/>
        <v>934.69156521676621</v>
      </c>
      <c r="AE73" s="47">
        <f t="shared" si="41"/>
        <v>1123.2415414518455</v>
      </c>
      <c r="AF73" s="298">
        <f>AE73</f>
        <v>1123.2415414518455</v>
      </c>
      <c r="AH73" s="298">
        <f>AH74*AH34/365</f>
        <v>1170.2321860380996</v>
      </c>
      <c r="AJ73" s="298">
        <f>AJ74*AJ34/366</f>
        <v>1355.8826683725688</v>
      </c>
      <c r="AL73" s="298">
        <f>AL74*AL34/365</f>
        <v>1477.0997355230315</v>
      </c>
    </row>
    <row r="74" spans="2:38" ht="14.25" customHeight="1" x14ac:dyDescent="0.25">
      <c r="B74" s="32" t="s">
        <v>486</v>
      </c>
      <c r="D74" s="308">
        <f>D73/D34*90</f>
        <v>1086.152</v>
      </c>
      <c r="E74" s="308">
        <f>E73/E34*91</f>
        <v>435.19505959693214</v>
      </c>
      <c r="F74" s="308">
        <f>F73/F34*92</f>
        <v>445.17233031206632</v>
      </c>
      <c r="G74" s="308">
        <f>G73/G34*92</f>
        <v>660.8294937610757</v>
      </c>
      <c r="H74" s="309">
        <f>H73/H34*365</f>
        <v>699.29771899988793</v>
      </c>
      <c r="I74" s="310"/>
      <c r="J74" s="308">
        <f>J73/J34*90</f>
        <v>1242.9795739714034</v>
      </c>
      <c r="K74" s="308">
        <f>K73/K34*91</f>
        <v>564.53361953172316</v>
      </c>
      <c r="L74" s="308">
        <f>L73/L34*92</f>
        <v>583.14473799262998</v>
      </c>
      <c r="M74" s="308">
        <f>M73/M34*92</f>
        <v>549.90783056605835</v>
      </c>
      <c r="N74" s="309">
        <f>N73/N34*365</f>
        <v>707.15281626099443</v>
      </c>
      <c r="O74" s="310"/>
      <c r="P74" s="308">
        <f>P73/P34*90</f>
        <v>715.78760093061453</v>
      </c>
      <c r="Q74" s="308">
        <f>Q73/Q34*91</f>
        <v>519.09586928549811</v>
      </c>
      <c r="R74" s="308">
        <f>R73/R34*92</f>
        <v>583.42821407677877</v>
      </c>
      <c r="S74" s="308">
        <f>S73/S34*92</f>
        <v>488.34086067319987</v>
      </c>
      <c r="T74" s="309">
        <f>T73/T34*365</f>
        <v>558.84351860386516</v>
      </c>
      <c r="U74" s="311"/>
      <c r="V74" s="308">
        <f>V73/V34*90</f>
        <v>610.94502043498119</v>
      </c>
      <c r="W74" s="308">
        <f>W73/W34*91</f>
        <v>531.89762963096541</v>
      </c>
      <c r="X74" s="312">
        <f>AVERAGE(V74:W74,R74:S74)</f>
        <v>553.65293120398132</v>
      </c>
      <c r="Y74" s="312">
        <f>AVERAGE(V74:X74,S74)</f>
        <v>546.20911048578193</v>
      </c>
      <c r="Z74" s="309">
        <f>Z73/Z34*365</f>
        <v>696.40522924533298</v>
      </c>
      <c r="AA74" s="310"/>
      <c r="AB74" s="312">
        <f>AVERAGE(V74:Y74)</f>
        <v>560.67617293892749</v>
      </c>
      <c r="AC74" s="312">
        <f>AVERAGE(AB74,W74:Y74)</f>
        <v>548.10896106491407</v>
      </c>
      <c r="AD74" s="312">
        <f>AVERAGE(AB74:AC74,X74:Y74)</f>
        <v>552.16179392340121</v>
      </c>
      <c r="AE74" s="312">
        <f>AVERAGE(AB74:AD74,Y74)</f>
        <v>551.78900960325609</v>
      </c>
      <c r="AF74" s="309">
        <f>AF73/AF34*365</f>
        <v>705.08273813184951</v>
      </c>
      <c r="AG74" s="310"/>
      <c r="AH74" s="312">
        <f>AVERAGE(AF74,Z74,T74)</f>
        <v>653.44382866034914</v>
      </c>
      <c r="AI74" s="310"/>
      <c r="AJ74" s="312">
        <f>AVERAGE(AF74,AH74,Z74)</f>
        <v>684.97726534584388</v>
      </c>
      <c r="AK74" s="309"/>
      <c r="AL74" s="312">
        <f>AVERAGE(AH74,AJ74,AF74)</f>
        <v>681.16794404601421</v>
      </c>
    </row>
    <row r="75" spans="2:38" ht="14.25" customHeight="1" x14ac:dyDescent="0.3">
      <c r="B75" s="29"/>
      <c r="D75" s="47"/>
      <c r="E75" s="47"/>
      <c r="F75" s="47"/>
      <c r="G75" s="47"/>
      <c r="J75" s="47"/>
      <c r="K75" s="47"/>
      <c r="L75" s="47"/>
      <c r="M75" s="47"/>
      <c r="P75" s="47"/>
      <c r="Q75" s="47"/>
      <c r="R75" s="47"/>
      <c r="S75" s="47"/>
      <c r="U75" s="191"/>
      <c r="V75" s="47"/>
      <c r="W75" s="47"/>
      <c r="X75" s="47"/>
      <c r="Y75" s="47"/>
      <c r="AB75" s="47"/>
      <c r="AC75" s="47"/>
      <c r="AD75" s="47"/>
      <c r="AE75" s="47"/>
    </row>
    <row r="76" spans="2:38" s="695" customFormat="1" ht="14.25" customHeight="1" x14ac:dyDescent="0.3">
      <c r="B76" s="716" t="s">
        <v>487</v>
      </c>
      <c r="C76" s="464"/>
      <c r="D76" s="51">
        <f>BS!P20</f>
        <v>21.771000000000001</v>
      </c>
      <c r="E76" s="51">
        <f>BS!Q20</f>
        <v>18.850999999999999</v>
      </c>
      <c r="F76" s="51">
        <f>BS!R20</f>
        <v>17.771000000000001</v>
      </c>
      <c r="G76" s="51">
        <f>BS!S20</f>
        <v>15.606999999999999</v>
      </c>
      <c r="H76" s="717">
        <f>BS!T20</f>
        <v>15.606999999999999</v>
      </c>
      <c r="I76" s="464"/>
      <c r="J76" s="51">
        <f>BS!V20</f>
        <v>19.318999999999999</v>
      </c>
      <c r="K76" s="51">
        <f>BS!W20</f>
        <v>18.97</v>
      </c>
      <c r="L76" s="51">
        <f>BS!X20</f>
        <v>17.54</v>
      </c>
      <c r="M76" s="51">
        <f>BS!Y20</f>
        <v>20.023</v>
      </c>
      <c r="N76" s="717">
        <f>BS!Z20</f>
        <v>20.023</v>
      </c>
      <c r="O76" s="464"/>
      <c r="P76" s="51">
        <f>BS!AB20</f>
        <v>20.065999999999999</v>
      </c>
      <c r="Q76" s="51">
        <f>BS!AC20</f>
        <v>18.594000000000001</v>
      </c>
      <c r="R76" s="51">
        <f>BS!AD20</f>
        <v>10.794</v>
      </c>
      <c r="S76" s="51">
        <f>BS!AE20</f>
        <v>7.5069999999999997</v>
      </c>
      <c r="T76" s="717">
        <f>BS!AF20</f>
        <v>7.5069999999999997</v>
      </c>
      <c r="U76" s="718"/>
      <c r="V76" s="51">
        <f>BS!AH20</f>
        <v>10.677</v>
      </c>
      <c r="W76" s="51">
        <f>BS!AI20</f>
        <v>14.303000000000001</v>
      </c>
      <c r="X76" s="47">
        <f>X77*X$31</f>
        <v>13.646663727107127</v>
      </c>
      <c r="Y76" s="47">
        <f>Y77*Y$31</f>
        <v>16.436967281120076</v>
      </c>
      <c r="Z76" s="719">
        <f>Y76</f>
        <v>16.436967281120076</v>
      </c>
      <c r="AA76" s="464"/>
      <c r="AB76" s="47">
        <f t="shared" ref="AB76:AE76" si="42">AB77*AB$31</f>
        <v>12.202026581849095</v>
      </c>
      <c r="AC76" s="47">
        <f t="shared" si="42"/>
        <v>15.057474357154485</v>
      </c>
      <c r="AD76" s="47">
        <f t="shared" si="42"/>
        <v>17.140016259090139</v>
      </c>
      <c r="AE76" s="47">
        <f t="shared" si="42"/>
        <v>20.797225446876642</v>
      </c>
      <c r="AF76" s="719">
        <f>AE76</f>
        <v>20.797225446876642</v>
      </c>
      <c r="AG76" s="464"/>
      <c r="AH76" s="722">
        <f>AH77*AH$31</f>
        <v>20.284159935337712</v>
      </c>
      <c r="AI76" s="464"/>
      <c r="AJ76" s="722">
        <f>AJ77*AJ$31</f>
        <v>26.535718061481052</v>
      </c>
      <c r="AL76" s="722">
        <f>AL77*AL$31</f>
        <v>30.249713639244089</v>
      </c>
    </row>
    <row r="77" spans="2:38" ht="14.25" customHeight="1" x14ac:dyDescent="0.25">
      <c r="B77" s="32" t="s">
        <v>436</v>
      </c>
      <c r="D77" s="291">
        <f>D76/D31</f>
        <v>0.51607168254871283</v>
      </c>
      <c r="E77" s="291">
        <f>E76/E31</f>
        <v>0.18057378226926576</v>
      </c>
      <c r="F77" s="291">
        <f>F76/F31</f>
        <v>0.13290803162090808</v>
      </c>
      <c r="G77" s="291">
        <f>G76/G31</f>
        <v>0.14378765823367912</v>
      </c>
      <c r="H77" s="294">
        <f>H76/H31</f>
        <v>4.0138157353304255E-2</v>
      </c>
      <c r="J77" s="291">
        <f>J76/J31</f>
        <v>0.26016752854988145</v>
      </c>
      <c r="K77" s="291">
        <f>K76/K31</f>
        <v>0.13121035849408966</v>
      </c>
      <c r="L77" s="291">
        <f>L76/L31</f>
        <v>0.1040523465168566</v>
      </c>
      <c r="M77" s="291">
        <f>M76/M31</f>
        <v>0.11756037129890032</v>
      </c>
      <c r="N77" s="294">
        <f>N76/N31</f>
        <v>3.5901334533451193E-2</v>
      </c>
      <c r="P77" s="291">
        <f>P76/P31</f>
        <v>0.13184748112569072</v>
      </c>
      <c r="Q77" s="291">
        <f>Q76/Q31</f>
        <v>9.1831291979454777E-2</v>
      </c>
      <c r="R77" s="291">
        <f>R76/R31</f>
        <v>5.2917990351806096E-2</v>
      </c>
      <c r="S77" s="291">
        <f>S76/S31</f>
        <v>3.3592725678052181E-2</v>
      </c>
      <c r="T77" s="294">
        <f>T76/T31</f>
        <v>9.5982959093129164E-3</v>
      </c>
      <c r="U77" s="191"/>
      <c r="V77" s="291">
        <f>V76/V31</f>
        <v>6.1950599662309175E-2</v>
      </c>
      <c r="W77" s="291">
        <f>W76/W31</f>
        <v>6.6410675482421119E-2</v>
      </c>
      <c r="X77" s="750">
        <f>AVERAGE(V77:W77,R77:S77)</f>
        <v>5.3717997793647144E-2</v>
      </c>
      <c r="Y77" s="750">
        <f>AVERAGE(V77:X77,S77)</f>
        <v>5.3917999654107401E-2</v>
      </c>
      <c r="Z77" s="294">
        <f>Z76/Z31</f>
        <v>1.7363980178835541E-2</v>
      </c>
      <c r="AA77" s="541"/>
      <c r="AB77" s="750">
        <f>AVERAGE(V77:Y77)</f>
        <v>5.8999318148121205E-2</v>
      </c>
      <c r="AC77" s="750">
        <f>AVERAGE(AB77,W77:Y77)</f>
        <v>5.8261497769574219E-2</v>
      </c>
      <c r="AD77" s="750">
        <f>AVERAGE(AB77:AC77,X77:Y77)</f>
        <v>5.6224203341362494E-2</v>
      </c>
      <c r="AE77" s="750">
        <f>AVERAGE(AB77:AD77,Y77)</f>
        <v>5.6850754728291326E-2</v>
      </c>
      <c r="AF77" s="294">
        <f>AF76/AF31</f>
        <v>1.8308457001124885E-2</v>
      </c>
      <c r="AG77" s="541"/>
      <c r="AH77" s="750">
        <f>AVERAGE(AF77,Z77,T77)</f>
        <v>1.5090244363091114E-2</v>
      </c>
      <c r="AI77" s="541"/>
      <c r="AJ77" s="750">
        <f>AVERAGE(AF77,AH77,Z77)</f>
        <v>1.6920893847683846E-2</v>
      </c>
      <c r="AK77" s="280"/>
      <c r="AL77" s="750">
        <f>AVERAGE(AH77,AJ77,AF77)</f>
        <v>1.6773198403966617E-2</v>
      </c>
    </row>
    <row r="78" spans="2:38" ht="14.25" customHeight="1" x14ac:dyDescent="0.3">
      <c r="B78" s="29"/>
      <c r="D78" s="47"/>
      <c r="E78" s="47"/>
      <c r="F78" s="47"/>
      <c r="G78" s="47"/>
      <c r="J78" s="47"/>
      <c r="K78" s="47"/>
      <c r="L78" s="47"/>
      <c r="M78" s="47"/>
      <c r="P78" s="47"/>
      <c r="Q78" s="47"/>
      <c r="R78" s="47"/>
      <c r="S78" s="47"/>
      <c r="U78" s="191"/>
      <c r="V78" s="47"/>
      <c r="W78" s="47"/>
      <c r="X78" s="47"/>
      <c r="Y78" s="47"/>
      <c r="AB78" s="47"/>
      <c r="AC78" s="47"/>
      <c r="AD78" s="47"/>
      <c r="AE78" s="47"/>
    </row>
    <row r="79" spans="2:38" ht="14.25" customHeight="1" x14ac:dyDescent="0.3">
      <c r="B79" s="29" t="s">
        <v>488</v>
      </c>
      <c r="D79" s="51">
        <f>BS!P24</f>
        <v>71.369</v>
      </c>
      <c r="E79" s="51">
        <f>BS!Q24</f>
        <v>69.835999999999999</v>
      </c>
      <c r="F79" s="51">
        <f>BS!R24</f>
        <v>77.664000000000001</v>
      </c>
      <c r="G79" s="51">
        <f>BS!S24</f>
        <v>94.055999999999997</v>
      </c>
      <c r="H79" s="717">
        <f>BS!T24</f>
        <v>94.055999999999997</v>
      </c>
      <c r="J79" s="51">
        <f>BS!V24</f>
        <v>166.07300000000001</v>
      </c>
      <c r="K79" s="51">
        <f>BS!W24</f>
        <v>175.11199999999999</v>
      </c>
      <c r="L79" s="51">
        <f>BS!X24</f>
        <v>206.36500000000001</v>
      </c>
      <c r="M79" s="51">
        <f>BS!Y24</f>
        <v>217.24100000000001</v>
      </c>
      <c r="N79" s="68">
        <f>BS!Z24</f>
        <v>217.24100000000001</v>
      </c>
      <c r="P79" s="51">
        <f>BS!AB24</f>
        <v>233.625</v>
      </c>
      <c r="Q79" s="51">
        <f>BS!AC24</f>
        <v>243.208</v>
      </c>
      <c r="R79" s="51">
        <f>BS!AD24</f>
        <v>264.09899999999999</v>
      </c>
      <c r="S79" s="51">
        <f>BS!AE24</f>
        <v>283.31</v>
      </c>
      <c r="T79" s="68">
        <f>BS!AF24</f>
        <v>283.31</v>
      </c>
      <c r="U79" s="191"/>
      <c r="V79" s="51">
        <f>BS!AH24</f>
        <v>294.81200000000001</v>
      </c>
      <c r="W79" s="51">
        <f>BS!AI24</f>
        <v>308.22899999999998</v>
      </c>
      <c r="X79" s="47">
        <f>W79-X80*X106-X109-X52-X37</f>
        <v>308.22899999999998</v>
      </c>
      <c r="Y79" s="47">
        <f>X79-Y80*Y106-Y109-Y52-Y37</f>
        <v>308.22899999999998</v>
      </c>
      <c r="Z79" s="58">
        <f>Y79</f>
        <v>308.22899999999998</v>
      </c>
      <c r="AB79" s="47">
        <f>Y79-AB80*AB106-AB109-AB52-AB37</f>
        <v>308.22899999999998</v>
      </c>
      <c r="AC79" s="47">
        <f>AB79-AC80*AC106-AC109-AC52-AC37</f>
        <v>308.22899999999998</v>
      </c>
      <c r="AD79" s="47">
        <f>AC79-AD80*AD106-AD109-AD52-AD37</f>
        <v>308.22899999999998</v>
      </c>
      <c r="AE79" s="47">
        <f>AD79-AE80*AE106-AE109-AE52-AE37</f>
        <v>308.22899999999998</v>
      </c>
      <c r="AF79" s="58">
        <f>AE79</f>
        <v>308.22899999999998</v>
      </c>
      <c r="AH79" s="58">
        <f>AF79-AH80*AH106-AH109-AH52-AH37</f>
        <v>308.22899999999998</v>
      </c>
      <c r="AI79" s="72"/>
      <c r="AJ79" s="58">
        <f>AH79-AJ80*AJ106-AJ109-AJ52-AJ37</f>
        <v>308.22899999999998</v>
      </c>
      <c r="AK79" s="55"/>
      <c r="AL79" s="58">
        <f>AJ79-AL80*AL106-AL109-AL52-AL37</f>
        <v>308.22899999999998</v>
      </c>
    </row>
    <row r="80" spans="2:38" ht="14.25" customHeight="1" x14ac:dyDescent="0.25">
      <c r="B80" s="32" t="s">
        <v>489</v>
      </c>
      <c r="D80" s="291"/>
      <c r="E80" s="291"/>
      <c r="F80" s="291"/>
      <c r="G80" s="291"/>
      <c r="H80" s="721"/>
      <c r="J80" s="291"/>
      <c r="K80" s="291"/>
      <c r="L80" s="291"/>
      <c r="M80" s="291"/>
      <c r="N80" s="294"/>
      <c r="P80" s="291"/>
      <c r="Q80" s="291"/>
      <c r="R80" s="291"/>
      <c r="S80" s="291"/>
      <c r="T80" s="294"/>
      <c r="U80" s="191"/>
      <c r="V80" s="291"/>
      <c r="W80" s="291"/>
      <c r="X80" s="302"/>
      <c r="Y80" s="302"/>
      <c r="Z80" s="304"/>
      <c r="AB80" s="302"/>
      <c r="AC80" s="302"/>
      <c r="AD80" s="302"/>
      <c r="AE80" s="302"/>
      <c r="AF80" s="304"/>
      <c r="AH80" s="302"/>
      <c r="AJ80" s="302"/>
      <c r="AL80" s="302"/>
    </row>
    <row r="81" spans="2:39" ht="14.25" customHeight="1" x14ac:dyDescent="0.25">
      <c r="D81" s="47"/>
      <c r="E81" s="47"/>
      <c r="F81" s="47"/>
      <c r="G81" s="47"/>
      <c r="H81" s="695"/>
      <c r="J81" s="47"/>
      <c r="K81" s="47"/>
      <c r="L81" s="47"/>
      <c r="M81" s="47"/>
      <c r="N81" s="695"/>
      <c r="P81" s="47"/>
      <c r="Q81" s="47"/>
      <c r="R81" s="47"/>
      <c r="S81" s="47"/>
      <c r="U81" s="191"/>
      <c r="V81" s="47"/>
      <c r="W81" s="47"/>
      <c r="X81" s="47"/>
      <c r="Y81" s="47"/>
      <c r="Z81" s="695"/>
      <c r="AB81" s="47"/>
      <c r="AC81" s="47"/>
      <c r="AD81" s="47"/>
      <c r="AE81" s="47"/>
    </row>
    <row r="82" spans="2:39" s="695" customFormat="1" ht="14.25" customHeight="1" x14ac:dyDescent="0.3">
      <c r="B82" s="716" t="s">
        <v>490</v>
      </c>
      <c r="C82" s="464"/>
      <c r="D82" s="51">
        <f>IF($B$82="Intangibles excl. Goodwill",BS!P29,BS!P27)</f>
        <v>0.748</v>
      </c>
      <c r="E82" s="51">
        <f>IF($B$82="Intangibles excl. Goodwill",BS!Q29,BS!Q27)</f>
        <v>0.66100000000000003</v>
      </c>
      <c r="F82" s="51">
        <f>IF($B$82="Intangibles excl. Goodwill",BS!R29,BS!R27)</f>
        <v>0.873</v>
      </c>
      <c r="G82" s="51">
        <f>IF($B$82="Intangibles excl. Goodwill",BS!S29,BS!S27)</f>
        <v>1.2549999999999999</v>
      </c>
      <c r="H82" s="717">
        <f>IF($B$82="Intangibles excl. Goodwill",BS!T29,BS!T27)</f>
        <v>1.3</v>
      </c>
      <c r="I82" s="464"/>
      <c r="J82" s="51">
        <f>IF($B$82="Intangibles excl. Goodwill",BS!V29,BS!V27)</f>
        <v>1.2330000000000001</v>
      </c>
      <c r="K82" s="51">
        <f>IF($B$82="Intangibles excl. Goodwill",BS!W29,BS!W27)</f>
        <v>2.1070000000000002</v>
      </c>
      <c r="L82" s="51">
        <f>IF($B$82="Intangibles excl. Goodwill",BS!X29,BS!X27)</f>
        <v>2.1629999999999998</v>
      </c>
      <c r="M82" s="51">
        <f>IF($B$82="Intangibles excl. Goodwill",BS!Y29,BS!Y27)</f>
        <v>2.5379999999999998</v>
      </c>
      <c r="N82" s="717">
        <f>IF($B$82="Intangibles excl. Goodwill",BS!Z29,BS!Z27)</f>
        <v>3</v>
      </c>
      <c r="O82" s="464"/>
      <c r="P82" s="51">
        <f>IF($B$82="Intangibles excl. Goodwill",BS!AB29,BS!AB27)</f>
        <v>2.8359999999999999</v>
      </c>
      <c r="Q82" s="51">
        <f>IF($B$82="Intangibles excl. Goodwill",BS!AC29,BS!AC27)</f>
        <v>2.8380000000000001</v>
      </c>
      <c r="R82" s="51">
        <f>IF($B$82="Intangibles excl. Goodwill",BS!AD29,BS!AD27)</f>
        <v>3.4609999999999999</v>
      </c>
      <c r="S82" s="51">
        <f>IF($B$82="Intangibles excl. Goodwill",BS!AE29,BS!AE27)</f>
        <v>2.9969999999999999</v>
      </c>
      <c r="T82" s="717">
        <f>IF($B$82="Intangibles excl. Goodwill",BS!AF29,BS!AF27)</f>
        <v>3.5</v>
      </c>
      <c r="U82" s="718"/>
      <c r="V82" s="51">
        <f>IF($B$82="Intangibles excl. Goodwill",BS!AH29,BS!AH27)</f>
        <v>2.9969999999999999</v>
      </c>
      <c r="W82" s="51">
        <f>IF($B$82="Intangibles excl. Goodwill",BS!AI29,BS!AI27)</f>
        <v>2.8490000000000002</v>
      </c>
      <c r="X82" s="47">
        <f>X83*X46</f>
        <v>4.5333235570644153</v>
      </c>
      <c r="Y82" s="47">
        <f>Y83*Y46</f>
        <v>5.4143285272030433</v>
      </c>
      <c r="Z82" s="689">
        <f>Y82</f>
        <v>5.4143285272030433</v>
      </c>
      <c r="AA82" s="689"/>
      <c r="AB82" s="47">
        <f>AB83*AB46</f>
        <v>3.4176169582565725</v>
      </c>
      <c r="AC82" s="47">
        <f>AC83*AC46</f>
        <v>4.2117501624667746</v>
      </c>
      <c r="AD82" s="47">
        <f>AD83*AD46</f>
        <v>5.2141613077136304</v>
      </c>
      <c r="AE82" s="47">
        <f>AE83*AE46</f>
        <v>5.1748073999260704</v>
      </c>
      <c r="AF82" s="689">
        <f>AE82</f>
        <v>5.1748073999260704</v>
      </c>
      <c r="AG82" s="689"/>
      <c r="AH82" s="689">
        <f>AH83*AH46</f>
        <v>6.8736686561857869</v>
      </c>
      <c r="AI82" s="689"/>
      <c r="AJ82" s="689">
        <f>AJ83*AJ46</f>
        <v>10.145515672612714</v>
      </c>
      <c r="AK82" s="689"/>
      <c r="AL82" s="689">
        <f>AL83*AL46</f>
        <v>13.893157763593377</v>
      </c>
      <c r="AM82" s="689"/>
    </row>
    <row r="83" spans="2:39" ht="14.25" customHeight="1" x14ac:dyDescent="0.25">
      <c r="B83" s="32" t="s">
        <v>491</v>
      </c>
      <c r="D83" s="291">
        <f t="shared" ref="D83:T83" si="43">D82/D46</f>
        <v>4.3122333679234404E-2</v>
      </c>
      <c r="E83" s="291">
        <f t="shared" si="43"/>
        <v>5.8150787366939384E-2</v>
      </c>
      <c r="F83" s="291">
        <f t="shared" si="43"/>
        <v>5.5683122847301945E-2</v>
      </c>
      <c r="G83" s="291">
        <f t="shared" si="43"/>
        <v>7.0367255396691891E-2</v>
      </c>
      <c r="H83" s="721">
        <f t="shared" si="43"/>
        <v>2.089158872497027E-2</v>
      </c>
      <c r="I83" s="291" t="e">
        <f t="shared" si="43"/>
        <v>#DIV/0!</v>
      </c>
      <c r="J83" s="291">
        <f t="shared" si="43"/>
        <v>8.7889372015111558E-2</v>
      </c>
      <c r="K83" s="291">
        <f t="shared" si="43"/>
        <v>0.10501395534290273</v>
      </c>
      <c r="L83" s="291">
        <f t="shared" si="43"/>
        <v>8.2711942181943318E-2</v>
      </c>
      <c r="M83" s="291">
        <f t="shared" si="43"/>
        <v>7.8176497766825795E-2</v>
      </c>
      <c r="N83" s="721">
        <f t="shared" si="43"/>
        <v>3.2359317865579391E-2</v>
      </c>
      <c r="O83" s="291" t="e">
        <f t="shared" si="43"/>
        <v>#DIV/0!</v>
      </c>
      <c r="P83" s="291">
        <f t="shared" si="43"/>
        <v>0.11857178693870725</v>
      </c>
      <c r="Q83" s="291">
        <f t="shared" si="43"/>
        <v>0.10928835489833642</v>
      </c>
      <c r="R83" s="291">
        <f t="shared" si="43"/>
        <v>0.12433092646477709</v>
      </c>
      <c r="S83" s="291">
        <f t="shared" si="43"/>
        <v>0.108</v>
      </c>
      <c r="T83" s="721">
        <f t="shared" si="43"/>
        <v>3.3183847999013964E-2</v>
      </c>
      <c r="U83" s="191"/>
      <c r="V83" s="291">
        <f>V82/V46</f>
        <v>0.10896993055303057</v>
      </c>
      <c r="W83" s="291">
        <f>W82/W46</f>
        <v>8.4247567791347552E-2</v>
      </c>
      <c r="X83" s="750">
        <f>AVERAGE(V83:W83,R83:S83)</f>
        <v>0.10638710620228881</v>
      </c>
      <c r="Y83" s="751">
        <f>AVERAGE(V83:X83,S83)</f>
        <v>0.10190115113666673</v>
      </c>
      <c r="Z83" s="721">
        <f>Z82/Z46</f>
        <v>3.4471955960034183E-2</v>
      </c>
      <c r="AA83" s="715"/>
      <c r="AB83" s="751">
        <f>AVERAGE(V83:Y83)</f>
        <v>0.10037643892083342</v>
      </c>
      <c r="AC83" s="751">
        <f>AVERAGE(AB83,W83:Y83)</f>
        <v>9.8228066012784138E-2</v>
      </c>
      <c r="AD83" s="751">
        <f>AVERAGE(AB83:AC83,X83:Y83)</f>
        <v>0.10172319056814327</v>
      </c>
      <c r="AE83" s="751">
        <f>AVERAGE(AC83:AD83,Y83:Z83)</f>
        <v>8.4081090919407075E-2</v>
      </c>
      <c r="AF83" s="721">
        <f>AF82/AF46</f>
        <v>2.7274726732643539E-2</v>
      </c>
      <c r="AH83" s="302">
        <f>AF83*1.15</f>
        <v>3.1365935742540069E-2</v>
      </c>
      <c r="AJ83" s="302">
        <f>AH83*1.15</f>
        <v>3.6070826103921073E-2</v>
      </c>
      <c r="AL83" s="302">
        <f>AJ83*1.15</f>
        <v>4.1481450019509231E-2</v>
      </c>
    </row>
    <row r="84" spans="2:39" ht="14.25" customHeight="1" x14ac:dyDescent="0.25">
      <c r="D84" s="47"/>
      <c r="E84" s="47"/>
      <c r="F84" s="47"/>
      <c r="G84" s="47"/>
      <c r="H84" s="695"/>
      <c r="J84" s="47"/>
      <c r="K84" s="47"/>
      <c r="L84" s="47"/>
      <c r="M84" s="47"/>
      <c r="N84" s="695"/>
      <c r="P84" s="47"/>
      <c r="Q84" s="47"/>
      <c r="R84" s="47"/>
      <c r="S84" s="47"/>
      <c r="T84" s="695"/>
      <c r="U84" s="718"/>
      <c r="V84" s="47"/>
      <c r="W84" s="47"/>
      <c r="X84" s="47"/>
      <c r="Y84" s="47"/>
      <c r="Z84" s="695"/>
      <c r="AB84" s="47"/>
      <c r="AC84" s="47"/>
      <c r="AD84" s="47"/>
      <c r="AE84" s="47"/>
      <c r="AF84" s="695"/>
    </row>
    <row r="85" spans="2:39" ht="14.25" customHeight="1" x14ac:dyDescent="0.3">
      <c r="B85" s="29" t="s">
        <v>492</v>
      </c>
      <c r="D85" s="51">
        <f>BS!P37</f>
        <v>145.59700000000001</v>
      </c>
      <c r="E85" s="51">
        <f>BS!Q37</f>
        <v>144.191</v>
      </c>
      <c r="F85" s="51">
        <f>BS!R37</f>
        <v>147.75899999999999</v>
      </c>
      <c r="G85" s="51">
        <f>BS!S37</f>
        <v>171.87299999999999</v>
      </c>
      <c r="H85" s="717">
        <f>BS!T37</f>
        <v>171.87299999999999</v>
      </c>
      <c r="J85" s="51">
        <f>BS!V37</f>
        <v>196.45699999999999</v>
      </c>
      <c r="K85" s="51">
        <f>BS!W37</f>
        <v>189.06100000000001</v>
      </c>
      <c r="L85" s="51">
        <f>BS!X37</f>
        <v>235.82</v>
      </c>
      <c r="M85" s="51">
        <f>BS!Y37</f>
        <v>262.57299999999998</v>
      </c>
      <c r="N85" s="717">
        <f>BS!Z37</f>
        <v>262.57299999999998</v>
      </c>
      <c r="P85" s="51">
        <f>BS!AB37</f>
        <v>270.24299999999999</v>
      </c>
      <c r="Q85" s="51">
        <f>BS!AC37</f>
        <v>286.50599999999997</v>
      </c>
      <c r="R85" s="51">
        <f>BS!AD37</f>
        <v>308.38600000000002</v>
      </c>
      <c r="S85" s="51">
        <f>BS!AE37</f>
        <v>289.863</v>
      </c>
      <c r="T85" s="717">
        <f>BS!AF37</f>
        <v>289.863</v>
      </c>
      <c r="U85" s="718"/>
      <c r="V85" s="51">
        <f>BS!AH37</f>
        <v>260.70800000000003</v>
      </c>
      <c r="W85" s="51">
        <f>BS!AI37</f>
        <v>295.64699999999999</v>
      </c>
      <c r="X85" s="47">
        <f>X86*X34/92</f>
        <v>359.03802674944745</v>
      </c>
      <c r="Y85" s="47">
        <f>Y86*Y34/92</f>
        <v>422.70724659545334</v>
      </c>
      <c r="Z85" s="719">
        <f>Y85</f>
        <v>422.70724659545334</v>
      </c>
      <c r="AB85" s="47">
        <f>AB86*AB34/90</f>
        <v>297.94374401172706</v>
      </c>
      <c r="AC85" s="47">
        <f>AC86*AC34/91</f>
        <v>363.68445350865483</v>
      </c>
      <c r="AD85" s="47">
        <f t="shared" ref="AD85:AE85" si="44">AD86*AD34/92</f>
        <v>426.89429783112183</v>
      </c>
      <c r="AE85" s="47">
        <f t="shared" si="44"/>
        <v>511.06358545990076</v>
      </c>
      <c r="AF85" s="719">
        <f>AE85</f>
        <v>511.06358545990076</v>
      </c>
      <c r="AH85" s="58">
        <f>AH86*AH34/365</f>
        <v>529.82481173850817</v>
      </c>
      <c r="AJ85" s="58">
        <f>AJ86*AJ34/366</f>
        <v>616.61986678934124</v>
      </c>
      <c r="AL85" s="58">
        <f>AL86*AL34/365</f>
        <v>670.90138039526801</v>
      </c>
    </row>
    <row r="86" spans="2:39" ht="14.25" customHeight="1" x14ac:dyDescent="0.25">
      <c r="B86" s="32" t="s">
        <v>493</v>
      </c>
      <c r="D86" s="308">
        <f>D85/D34*90</f>
        <v>582.38800000000003</v>
      </c>
      <c r="E86" s="308">
        <f>E85/E34*91</f>
        <v>217.82564162156777</v>
      </c>
      <c r="F86" s="308">
        <f>F85/F34*92</f>
        <v>200.67060317085409</v>
      </c>
      <c r="G86" s="308">
        <f>G85/G34*92</f>
        <v>288.87801669802872</v>
      </c>
      <c r="H86" s="720">
        <f>H85/H34*365</f>
        <v>305.69419200163725</v>
      </c>
      <c r="I86" s="310"/>
      <c r="J86" s="308">
        <f>J85/J34*90</f>
        <v>515.936095710534</v>
      </c>
      <c r="K86" s="308">
        <f>K85/K34*91</f>
        <v>226.56049672100923</v>
      </c>
      <c r="L86" s="308">
        <f>L85/L34*92</f>
        <v>271.00668290550243</v>
      </c>
      <c r="M86" s="308">
        <f>M85/M34*92</f>
        <v>264.74564085703327</v>
      </c>
      <c r="N86" s="309">
        <f>N85/N34*365</f>
        <v>340.44909913750229</v>
      </c>
      <c r="O86" s="310"/>
      <c r="P86" s="308">
        <f>P85/P34*90</f>
        <v>332.85712330641849</v>
      </c>
      <c r="Q86" s="308">
        <f>Q85/Q34*91</f>
        <v>246.67012942779289</v>
      </c>
      <c r="R86" s="308">
        <f>R85/R34*92</f>
        <v>286.17046256884072</v>
      </c>
      <c r="S86" s="308">
        <f>S85/S34*92</f>
        <v>236.71527481891775</v>
      </c>
      <c r="T86" s="309">
        <f>T85/T34*365</f>
        <v>270.890289427597</v>
      </c>
      <c r="U86" s="311"/>
      <c r="V86" s="308">
        <f>V85/V34*90</f>
        <v>261.29737073621618</v>
      </c>
      <c r="W86" s="308">
        <f>W85/W34*91</f>
        <v>242.57176474831169</v>
      </c>
      <c r="X86" s="312">
        <f>AVERAGE(V86:W86,R86:S86)</f>
        <v>256.68871821807159</v>
      </c>
      <c r="Y86" s="312">
        <f>AVERAGE(V86:X86,S86)</f>
        <v>249.31828213037932</v>
      </c>
      <c r="Z86" s="720">
        <f>Z85/Z34*365</f>
        <v>317.87561226805826</v>
      </c>
      <c r="AA86" s="310"/>
      <c r="AB86" s="312">
        <f>AVERAGE(V86:Y86)</f>
        <v>252.46903395824469</v>
      </c>
      <c r="AC86" s="312">
        <f>AVERAGE(AB86,W86:Y86)</f>
        <v>250.26194976375183</v>
      </c>
      <c r="AD86" s="312">
        <f>AVERAGE(AB86:AC86,X86:Y86)</f>
        <v>252.18449601761185</v>
      </c>
      <c r="AE86" s="312">
        <f>AVERAGE(AB86:AD86,Y86)</f>
        <v>251.05844046749692</v>
      </c>
      <c r="AF86" s="309">
        <f>AF85/AF34*365</f>
        <v>320.80554261711796</v>
      </c>
      <c r="AG86" s="310"/>
      <c r="AH86" s="312">
        <f>AVERAGE(AF86,T86)</f>
        <v>295.84791602235748</v>
      </c>
      <c r="AI86" s="310"/>
      <c r="AJ86" s="312">
        <f>AVERAGE(AF86:AH86,Z86)</f>
        <v>311.50969030251127</v>
      </c>
      <c r="AK86" s="309"/>
      <c r="AL86" s="312">
        <f>AVERAGE(AF86:AJ86)</f>
        <v>309.38771631399555</v>
      </c>
    </row>
    <row r="87" spans="2:39" ht="14.25" customHeight="1" x14ac:dyDescent="0.3">
      <c r="B87" s="29"/>
      <c r="D87" s="47"/>
      <c r="E87" s="47"/>
      <c r="F87" s="47"/>
      <c r="G87" s="47"/>
      <c r="H87" s="695"/>
      <c r="J87" s="47"/>
      <c r="K87" s="47"/>
      <c r="L87" s="47"/>
      <c r="M87" s="47"/>
      <c r="P87" s="47"/>
      <c r="Q87" s="47"/>
      <c r="R87" s="47"/>
      <c r="S87" s="47"/>
      <c r="U87" s="191"/>
      <c r="V87" s="47"/>
      <c r="W87" s="47"/>
      <c r="X87" s="47"/>
      <c r="Y87" s="47"/>
      <c r="AB87" s="47"/>
      <c r="AC87" s="47"/>
      <c r="AD87" s="47"/>
      <c r="AE87" s="47"/>
    </row>
    <row r="88" spans="2:39" ht="14.25" customHeight="1" x14ac:dyDescent="0.3">
      <c r="B88" s="29" t="s">
        <v>494</v>
      </c>
      <c r="D88" s="51">
        <f>BS!P40</f>
        <v>84.735000000000014</v>
      </c>
      <c r="E88" s="51">
        <f>BS!Q40</f>
        <v>99.542000000000002</v>
      </c>
      <c r="F88" s="51">
        <f>BS!R40</f>
        <v>143.57499999999999</v>
      </c>
      <c r="G88" s="51">
        <f>BS!S40</f>
        <v>164.63300000000001</v>
      </c>
      <c r="H88" s="68">
        <f>BS!T40</f>
        <v>164.63300000000001</v>
      </c>
      <c r="J88" s="51">
        <f>BS!V40</f>
        <v>191.62700000000001</v>
      </c>
      <c r="K88" s="51">
        <f>BS!W40</f>
        <v>206.98099999999994</v>
      </c>
      <c r="L88" s="51">
        <f>BS!X40</f>
        <v>202.62700000000004</v>
      </c>
      <c r="M88" s="51">
        <f>BS!Y40</f>
        <v>197.20400000000001</v>
      </c>
      <c r="N88" s="68">
        <f>BS!Z40</f>
        <v>197.20400000000001</v>
      </c>
      <c r="P88" s="51">
        <f>BS!AB40</f>
        <v>199.08300000000003</v>
      </c>
      <c r="Q88" s="51">
        <f>BS!AC40</f>
        <v>222.98099999999997</v>
      </c>
      <c r="R88" s="51">
        <f>BS!AD40</f>
        <v>234.80699999999993</v>
      </c>
      <c r="S88" s="51">
        <f>BS!AE40</f>
        <v>271.95199999999994</v>
      </c>
      <c r="T88" s="68">
        <f>BS!AF40</f>
        <v>271.95199999999994</v>
      </c>
      <c r="U88" s="191"/>
      <c r="V88" s="51">
        <f>BS!AH40</f>
        <v>271.71999999999997</v>
      </c>
      <c r="W88" s="51">
        <f>BS!AI40</f>
        <v>256.47899999999993</v>
      </c>
      <c r="X88" s="47">
        <f>X89*X43</f>
        <v>326.77725536940915</v>
      </c>
      <c r="Y88" s="47">
        <f t="shared" ref="Y88" si="45">Y89*Y43</f>
        <v>306.215136671935</v>
      </c>
      <c r="Z88" s="298">
        <f>Y88</f>
        <v>306.215136671935</v>
      </c>
      <c r="AB88" s="47">
        <f t="shared" ref="AB88" si="46">AB89*AB43</f>
        <v>262.25861942950797</v>
      </c>
      <c r="AC88" s="47">
        <f t="shared" ref="AC88" si="47">AC89*AC43</f>
        <v>305.21034851287618</v>
      </c>
      <c r="AD88" s="47">
        <f t="shared" ref="AD88" si="48">AD89*AD43</f>
        <v>362.6216884188388</v>
      </c>
      <c r="AE88" s="47">
        <f t="shared" ref="AE88" si="49">AE89*AE43</f>
        <v>424.63861128897008</v>
      </c>
      <c r="AF88" s="298">
        <f>AE88</f>
        <v>424.63861128897008</v>
      </c>
      <c r="AH88" s="58">
        <f>AH89*AH43</f>
        <v>468.24663988669863</v>
      </c>
      <c r="AJ88" s="58">
        <f t="shared" ref="AJ88:AL88" si="50">AJ89*AJ43</f>
        <v>546.61493004238207</v>
      </c>
      <c r="AL88" s="58">
        <f t="shared" si="50"/>
        <v>643.65437401648182</v>
      </c>
    </row>
    <row r="89" spans="2:39" ht="14.25" customHeight="1" x14ac:dyDescent="0.25">
      <c r="B89" s="32" t="s">
        <v>495</v>
      </c>
      <c r="D89" s="723">
        <f>D88/D43</f>
        <v>7.2758887171561062</v>
      </c>
      <c r="E89" s="723">
        <f>E88/E43</f>
        <v>7.8041552332418656</v>
      </c>
      <c r="F89" s="723">
        <f>F88/F43</f>
        <v>7.6971532729319678</v>
      </c>
      <c r="G89" s="723">
        <f>G88/G43</f>
        <v>8.5302072538860099</v>
      </c>
      <c r="H89" s="724">
        <f>H88/H43</f>
        <v>2.6402957308272126</v>
      </c>
      <c r="I89" s="662"/>
      <c r="J89" s="723">
        <f>J88/J43</f>
        <v>11.209534951740276</v>
      </c>
      <c r="K89" s="723">
        <f>K88/K43</f>
        <v>11.407054284926973</v>
      </c>
      <c r="L89" s="723">
        <f>L88/L43</f>
        <v>6.9416581020897574</v>
      </c>
      <c r="M89" s="723">
        <f>M88/M43</f>
        <v>8.486637689891122</v>
      </c>
      <c r="N89" s="724">
        <f>N88/N43</f>
        <v>2.2494667320656574</v>
      </c>
      <c r="O89" s="662"/>
      <c r="P89" s="723">
        <f>P88/P43</f>
        <v>6.6425211037336096</v>
      </c>
      <c r="Q89" s="723">
        <f>Q88/Q43</f>
        <v>6.7116455467597742</v>
      </c>
      <c r="R89" s="723">
        <f>R88/R43</f>
        <v>7.155913814646631</v>
      </c>
      <c r="S89" s="723">
        <f>S88/S43</f>
        <v>6.9595659739993838</v>
      </c>
      <c r="T89" s="724">
        <f>T88/T43</f>
        <v>2.0132215008550296</v>
      </c>
      <c r="U89" s="725"/>
      <c r="V89" s="723">
        <f>V88/V43</f>
        <v>9.2832251451998626</v>
      </c>
      <c r="W89" s="723">
        <f>W88/W43</f>
        <v>6.5848267008985859</v>
      </c>
      <c r="X89" s="752">
        <f>AVERAGE(V89:W89,R89:S89)</f>
        <v>7.4958829086861165</v>
      </c>
      <c r="Y89" s="752">
        <f>AVERAGE(W89:X89,S89:T89)</f>
        <v>5.763374271109778</v>
      </c>
      <c r="Z89" s="724">
        <f>Z88/Z43</f>
        <v>1.8564629941631827</v>
      </c>
      <c r="AA89" s="662"/>
      <c r="AB89" s="752">
        <f>AVERAGE(V89:Y89)</f>
        <v>7.2818272564735862</v>
      </c>
      <c r="AC89" s="752">
        <f>AVERAGE(AB89,W89:Y89)</f>
        <v>6.7814777842920169</v>
      </c>
      <c r="AD89" s="752">
        <f>AVERAGE(AB89:AC89,X89:Y89)</f>
        <v>6.8306405551403744</v>
      </c>
      <c r="AE89" s="752">
        <f>AVERAGE(AB89:AD89,Y89)</f>
        <v>6.6643299667539386</v>
      </c>
      <c r="AF89" s="724">
        <f>AF88/AF43</f>
        <v>2.1465084804995724</v>
      </c>
      <c r="AG89" s="662"/>
      <c r="AH89" s="752">
        <f>AVERAGE(AF89,Z89,T89)</f>
        <v>2.0053976585059279</v>
      </c>
      <c r="AI89" s="662"/>
      <c r="AJ89" s="752">
        <f>AVERAGE(AF89,AH89,Z89)</f>
        <v>2.0027897110562276</v>
      </c>
      <c r="AK89" s="585"/>
      <c r="AL89" s="752">
        <f>AVERAGE(AH89,AJ89,AF89)</f>
        <v>2.0515652833539093</v>
      </c>
    </row>
    <row r="90" spans="2:39" ht="14.25" customHeight="1" x14ac:dyDescent="0.25">
      <c r="U90" s="191"/>
    </row>
    <row r="91" spans="2:39" ht="14.25" customHeight="1" x14ac:dyDescent="0.3">
      <c r="B91" s="147" t="s">
        <v>496</v>
      </c>
      <c r="C91" s="172"/>
      <c r="D91" s="342" t="s">
        <v>455</v>
      </c>
      <c r="E91" s="342" t="s">
        <v>456</v>
      </c>
      <c r="F91" s="342" t="s">
        <v>457</v>
      </c>
      <c r="G91" s="342" t="s">
        <v>458</v>
      </c>
      <c r="H91" s="342" t="s">
        <v>459</v>
      </c>
      <c r="I91" s="38"/>
      <c r="J91" s="342" t="s">
        <v>460</v>
      </c>
      <c r="K91" s="342" t="s">
        <v>461</v>
      </c>
      <c r="L91" s="342" t="s">
        <v>462</v>
      </c>
      <c r="M91" s="342" t="s">
        <v>463</v>
      </c>
      <c r="N91" s="342" t="s">
        <v>464</v>
      </c>
      <c r="O91" s="38"/>
      <c r="P91" s="342" t="s">
        <v>465</v>
      </c>
      <c r="Q91" s="342" t="s">
        <v>466</v>
      </c>
      <c r="R91" s="342" t="s">
        <v>467</v>
      </c>
      <c r="S91" s="342" t="s">
        <v>468</v>
      </c>
      <c r="T91" s="342" t="s">
        <v>469</v>
      </c>
      <c r="U91" s="38"/>
      <c r="V91" s="342" t="s">
        <v>470</v>
      </c>
      <c r="W91" s="342" t="s">
        <v>471</v>
      </c>
      <c r="X91" s="342" t="s">
        <v>472</v>
      </c>
      <c r="Y91" s="342" t="s">
        <v>473</v>
      </c>
      <c r="Z91" s="342" t="s">
        <v>474</v>
      </c>
      <c r="AA91" s="38"/>
      <c r="AB91" s="342" t="s">
        <v>475</v>
      </c>
      <c r="AC91" s="342" t="s">
        <v>476</v>
      </c>
      <c r="AD91" s="342" t="s">
        <v>477</v>
      </c>
      <c r="AE91" s="342" t="s">
        <v>478</v>
      </c>
      <c r="AF91" s="342" t="s">
        <v>479</v>
      </c>
      <c r="AG91" s="38"/>
      <c r="AH91" s="342" t="s">
        <v>480</v>
      </c>
      <c r="AI91" s="38"/>
      <c r="AJ91" s="342" t="s">
        <v>481</v>
      </c>
      <c r="AK91" s="342"/>
      <c r="AL91" s="342" t="s">
        <v>482</v>
      </c>
    </row>
    <row r="92" spans="2:39" ht="4.05" customHeight="1" x14ac:dyDescent="0.25">
      <c r="B92" s="274"/>
      <c r="C92" s="37"/>
      <c r="D92" s="274"/>
      <c r="E92" s="274"/>
      <c r="F92" s="274"/>
      <c r="G92" s="274"/>
      <c r="H92" s="274"/>
      <c r="I92" s="37"/>
      <c r="J92" s="274"/>
      <c r="K92" s="274"/>
      <c r="L92" s="274"/>
      <c r="M92" s="274"/>
      <c r="N92" s="274"/>
      <c r="O92" s="37"/>
      <c r="P92" s="274"/>
      <c r="Q92" s="274"/>
      <c r="R92" s="274"/>
      <c r="S92" s="274"/>
      <c r="T92" s="274"/>
      <c r="U92" s="37"/>
      <c r="V92" s="274"/>
      <c r="W92" s="274"/>
      <c r="X92" s="274"/>
      <c r="Y92" s="274"/>
      <c r="Z92" s="274"/>
      <c r="AA92" s="37"/>
      <c r="AB92" s="274"/>
      <c r="AC92" s="274"/>
      <c r="AD92" s="274"/>
      <c r="AE92" s="274"/>
      <c r="AF92" s="274"/>
      <c r="AG92" s="37"/>
      <c r="AH92" s="274"/>
      <c r="AI92" s="37"/>
      <c r="AJ92" s="275"/>
      <c r="AK92" s="274"/>
      <c r="AL92" s="274"/>
    </row>
    <row r="93" spans="2:39" ht="4.05" customHeight="1" x14ac:dyDescent="0.25">
      <c r="U93" s="191"/>
    </row>
    <row r="94" spans="2:39" ht="14.25" customHeight="1" x14ac:dyDescent="0.3">
      <c r="B94" s="29" t="s">
        <v>444</v>
      </c>
      <c r="D94" s="51">
        <f>CF!P17</f>
        <v>1.2130000000000001</v>
      </c>
      <c r="E94" s="51">
        <f>CF!Q17</f>
        <v>1.3420000000000001</v>
      </c>
      <c r="F94" s="51">
        <f>CF!R17</f>
        <v>1.5489999999999999</v>
      </c>
      <c r="G94" s="51">
        <f>CF!S17</f>
        <v>1.262</v>
      </c>
      <c r="H94" s="68">
        <f>CF!T17</f>
        <v>5.3659999999999997</v>
      </c>
      <c r="J94" s="51">
        <f>CF!V17</f>
        <v>1.714</v>
      </c>
      <c r="K94" s="51">
        <f>CF!W17</f>
        <v>2.2410000000000001</v>
      </c>
      <c r="L94" s="51">
        <f>CF!X17</f>
        <v>2.0659999999999998</v>
      </c>
      <c r="M94" s="51">
        <f>CF!Y17</f>
        <v>2.0710000000000002</v>
      </c>
      <c r="N94" s="68">
        <f>CF!Z17</f>
        <v>8.0920000000000005</v>
      </c>
      <c r="P94" s="51">
        <f>CF!AB17</f>
        <v>2.5179999999999998</v>
      </c>
      <c r="Q94" s="51">
        <f>CF!AC17</f>
        <v>2.1659999999999999</v>
      </c>
      <c r="R94" s="51">
        <f>CF!AD17</f>
        <v>2.3889999999999998</v>
      </c>
      <c r="S94" s="51">
        <f>CF!AE17</f>
        <v>2.8940000000000001</v>
      </c>
      <c r="T94" s="68">
        <f>CF!AF17</f>
        <v>9.9670000000000005</v>
      </c>
      <c r="U94" s="191"/>
      <c r="V94" s="51">
        <f>CF!AH17</f>
        <v>3.0169999999999999</v>
      </c>
      <c r="W94" s="51">
        <f>CF!AI17</f>
        <v>3.339</v>
      </c>
      <c r="X94" s="47">
        <f>X37+X49</f>
        <v>3.3570789266905345</v>
      </c>
      <c r="Y94" s="47">
        <f>Y37+Y49</f>
        <v>3.366535318962868</v>
      </c>
      <c r="Z94" s="298">
        <f>SUM(V94:Y94)</f>
        <v>13.079614245653403</v>
      </c>
      <c r="AB94" s="47">
        <f t="shared" ref="AB94:AE94" si="51">AB37+AB49</f>
        <v>3.29812352643295</v>
      </c>
      <c r="AC94" s="47">
        <f t="shared" si="51"/>
        <v>3.3418523934111195</v>
      </c>
      <c r="AD94" s="47">
        <f t="shared" si="51"/>
        <v>3.3496209742463665</v>
      </c>
      <c r="AE94" s="47">
        <f t="shared" si="51"/>
        <v>3.3455094255091731</v>
      </c>
      <c r="AF94" s="298">
        <f>SUM(AB94:AE94)</f>
        <v>13.335106319599609</v>
      </c>
      <c r="AH94" s="58">
        <f>AH37+AH49</f>
        <v>12.499356192947026</v>
      </c>
      <c r="AJ94" s="58">
        <f>AJ37+AJ49</f>
        <v>13.150887966671032</v>
      </c>
      <c r="AL94" s="58">
        <f>AL37+AL49</f>
        <v>13.263185821509472</v>
      </c>
    </row>
    <row r="95" spans="2:39" ht="14.25" customHeight="1" x14ac:dyDescent="0.25">
      <c r="B95" s="32" t="s">
        <v>445</v>
      </c>
      <c r="D95" s="291">
        <f>D94/(D82+D79)</f>
        <v>1.6819889901132881E-2</v>
      </c>
      <c r="E95" s="291">
        <f>E94/(E82+E79)</f>
        <v>1.9036271046994908E-2</v>
      </c>
      <c r="F95" s="291">
        <f>F94/(F82+F79)</f>
        <v>1.9723187796834612E-2</v>
      </c>
      <c r="G95" s="291">
        <f>G94/(G82+G79)</f>
        <v>1.3240864118517276E-2</v>
      </c>
      <c r="H95" s="294">
        <f>H94/(H82+H79)</f>
        <v>5.6273333612987121E-2</v>
      </c>
      <c r="J95" s="291">
        <f>J94/(J82+J79)</f>
        <v>1.0244701325714558E-2</v>
      </c>
      <c r="K95" s="291">
        <f>K94/(K82+K79)</f>
        <v>1.2645370981666753E-2</v>
      </c>
      <c r="L95" s="291">
        <f>L94/(L82+L79)</f>
        <v>9.9075423923885506E-3</v>
      </c>
      <c r="M95" s="291">
        <f>M94/(M82+M79)</f>
        <v>9.4231022982177552E-3</v>
      </c>
      <c r="N95" s="294">
        <f>N94/(N82+N79)</f>
        <v>3.6741569462543304E-2</v>
      </c>
      <c r="P95" s="291">
        <f>P94/(P82+P79)</f>
        <v>1.0648690481728486E-2</v>
      </c>
      <c r="Q95" s="291">
        <f>Q94/(Q82+Q79)</f>
        <v>8.8032319159831902E-3</v>
      </c>
      <c r="R95" s="291">
        <f>R94/(R82+R79)</f>
        <v>8.9288383913888464E-3</v>
      </c>
      <c r="S95" s="291">
        <f>S94/(S82+S79)</f>
        <v>1.0108030889918863E-2</v>
      </c>
      <c r="T95" s="294">
        <f>T94/(T82+T79)</f>
        <v>3.4751229036644467E-2</v>
      </c>
      <c r="U95" s="191"/>
      <c r="V95" s="291">
        <f>V94/(V82+V79)</f>
        <v>1.0130654211256206E-2</v>
      </c>
      <c r="W95" s="291">
        <f>W94/(W82+W79)</f>
        <v>1.0733642366223263E-2</v>
      </c>
      <c r="X95" s="291">
        <f>X94/(X79+X82)</f>
        <v>1.0733642366223263E-2</v>
      </c>
      <c r="Y95" s="291">
        <f>Y94/(Y79+Y82)</f>
        <v>1.0733642366223263E-2</v>
      </c>
      <c r="Z95" s="313">
        <f>Z94/(Z79+Z82)</f>
        <v>4.1702191808358442E-2</v>
      </c>
      <c r="AB95" s="291">
        <f>AB94/(AB79+AB82)</f>
        <v>1.0582895327481499E-2</v>
      </c>
      <c r="AC95" s="291">
        <f>AC94/(AC79+AC82)</f>
        <v>1.0695955606537822E-2</v>
      </c>
      <c r="AD95" s="291">
        <f t="shared" ref="AD95:AL95" si="52">AD94/(AD79+AD82)</f>
        <v>1.0686533916616461E-2</v>
      </c>
      <c r="AE95" s="291">
        <f t="shared" si="52"/>
        <v>1.0674756804214761E-2</v>
      </c>
      <c r="AF95" s="313">
        <f t="shared" si="52"/>
        <v>4.254927988983568E-2</v>
      </c>
      <c r="AH95" s="313">
        <f t="shared" si="52"/>
        <v>3.9667566911612863E-2</v>
      </c>
      <c r="AJ95" s="313">
        <f t="shared" si="52"/>
        <v>4.1306346203269E-2</v>
      </c>
      <c r="AL95" s="313">
        <f t="shared" si="52"/>
        <v>4.1174397668239181E-2</v>
      </c>
    </row>
    <row r="96" spans="2:39" ht="14.25" customHeight="1" x14ac:dyDescent="0.25">
      <c r="D96" s="47"/>
      <c r="E96" s="47"/>
      <c r="F96" s="47"/>
      <c r="G96" s="47"/>
      <c r="J96" s="47"/>
      <c r="K96" s="47"/>
      <c r="L96" s="47"/>
      <c r="M96" s="47"/>
      <c r="P96" s="47"/>
      <c r="Q96" s="47"/>
      <c r="R96" s="47"/>
      <c r="S96" s="47"/>
      <c r="U96" s="191"/>
      <c r="V96" s="47"/>
      <c r="W96" s="47"/>
      <c r="X96" s="47"/>
      <c r="Y96" s="47"/>
      <c r="AB96" s="47"/>
      <c r="AC96" s="47"/>
      <c r="AD96" s="47"/>
      <c r="AE96" s="47"/>
    </row>
    <row r="97" spans="2:39" ht="14.25" customHeight="1" x14ac:dyDescent="0.3">
      <c r="B97" s="29" t="s">
        <v>497</v>
      </c>
      <c r="D97" s="51">
        <f>CF!P18</f>
        <v>1.3740000000000001</v>
      </c>
      <c r="E97" s="51">
        <f>CF!Q18</f>
        <v>1.9690000000000001</v>
      </c>
      <c r="F97" s="51">
        <f>CF!R18</f>
        <v>1.893</v>
      </c>
      <c r="G97" s="51">
        <f>CF!S18</f>
        <v>2.4940000000000002</v>
      </c>
      <c r="H97" s="68">
        <f>CF!T18</f>
        <v>7.73</v>
      </c>
      <c r="J97" s="51">
        <f>CF!V18</f>
        <v>2.0680000000000001</v>
      </c>
      <c r="K97" s="51">
        <f>CF!W18</f>
        <v>2.0169999999999999</v>
      </c>
      <c r="L97" s="51">
        <f>CF!X18</f>
        <v>10.581</v>
      </c>
      <c r="M97" s="51">
        <f>CF!Y18</f>
        <v>12.672000000000001</v>
      </c>
      <c r="N97" s="68">
        <f>CF!Z18</f>
        <v>27.338000000000001</v>
      </c>
      <c r="P97" s="51">
        <f>CF!AB18</f>
        <v>14.569000000000001</v>
      </c>
      <c r="Q97" s="51">
        <f>CF!AC18</f>
        <v>14.342000000000001</v>
      </c>
      <c r="R97" s="51">
        <f>CF!AD18</f>
        <v>11.881</v>
      </c>
      <c r="S97" s="51">
        <f>CF!AE18</f>
        <v>8.7840000000000007</v>
      </c>
      <c r="T97" s="68">
        <f>CF!AF18</f>
        <v>49.576000000000001</v>
      </c>
      <c r="U97" s="191"/>
      <c r="V97" s="51">
        <f>CF!AH18</f>
        <v>9.8170000000000002</v>
      </c>
      <c r="W97" s="51">
        <f>CF!AI18</f>
        <v>9.77</v>
      </c>
      <c r="X97" s="47">
        <f>X98*X43</f>
        <v>12.785139878773913</v>
      </c>
      <c r="Y97" s="47">
        <f>Y98*Y43</f>
        <v>15.088033463113188</v>
      </c>
      <c r="Z97" s="298">
        <f>SUM(V97:Y97)</f>
        <v>47.460173341887099</v>
      </c>
      <c r="AB97" s="47">
        <f t="shared" ref="AB97:AE97" si="53">AB98*AB43</f>
        <v>10.475842808791912</v>
      </c>
      <c r="AC97" s="47">
        <f t="shared" si="53"/>
        <v>12.59008123970505</v>
      </c>
      <c r="AD97" s="47">
        <f t="shared" si="53"/>
        <v>15.234290568878412</v>
      </c>
      <c r="AE97" s="47">
        <f t="shared" si="53"/>
        <v>18.18439180931254</v>
      </c>
      <c r="AF97" s="298">
        <f>SUM(AB97:AE97)</f>
        <v>56.484606426687918</v>
      </c>
      <c r="AH97" s="66">
        <f t="shared" ref="AH97:AL97" si="54">AH98*AH43</f>
        <v>73.181498619348346</v>
      </c>
      <c r="AJ97" s="66">
        <f t="shared" si="54"/>
        <v>80.665985602031782</v>
      </c>
      <c r="AL97" s="66">
        <f t="shared" si="54"/>
        <v>93.546666288069801</v>
      </c>
    </row>
    <row r="98" spans="2:39" ht="14.25" customHeight="1" x14ac:dyDescent="0.25">
      <c r="B98" s="32" t="s">
        <v>495</v>
      </c>
      <c r="D98" s="291">
        <f>D97/D43</f>
        <v>0.11798042246264812</v>
      </c>
      <c r="E98" s="291">
        <f>E97/E43</f>
        <v>0.15437083496667972</v>
      </c>
      <c r="F98" s="291">
        <f>F97/F43</f>
        <v>0.10148501581515039</v>
      </c>
      <c r="G98" s="291">
        <f>G97/G43</f>
        <v>0.12922279792746114</v>
      </c>
      <c r="H98" s="294">
        <f>H97/H43</f>
        <v>0.12396959296917601</v>
      </c>
      <c r="J98" s="291">
        <f>J97/J43</f>
        <v>0.12097104416496053</v>
      </c>
      <c r="K98" s="291">
        <f>K97/K43</f>
        <v>0.11116009920088178</v>
      </c>
      <c r="L98" s="291">
        <f>L97/L43</f>
        <v>0.36248715313463514</v>
      </c>
      <c r="M98" s="291">
        <f>M97/M43</f>
        <v>0.54533717777682156</v>
      </c>
      <c r="N98" s="294">
        <f>N97/N43</f>
        <v>0.31183911848243923</v>
      </c>
      <c r="P98" s="291">
        <f>P97/P43</f>
        <v>0.48610323312535453</v>
      </c>
      <c r="Q98" s="291">
        <f>Q97/Q43</f>
        <v>0.43168889022665025</v>
      </c>
      <c r="R98" s="291">
        <f>R97/R43</f>
        <v>0.36208210160607074</v>
      </c>
      <c r="S98" s="291">
        <f>S97/S43</f>
        <v>0.22479271163885761</v>
      </c>
      <c r="T98" s="294">
        <f>T97/T43</f>
        <v>0.36700399013939577</v>
      </c>
      <c r="U98" s="191"/>
      <c r="V98" s="291">
        <f>V97/V43</f>
        <v>0.33539460198155108</v>
      </c>
      <c r="W98" s="291">
        <f>W97/W43</f>
        <v>0.2508344030808729</v>
      </c>
      <c r="X98" s="752">
        <f>AVERAGE(V98:W98,R98:S98)</f>
        <v>0.29327595457683808</v>
      </c>
      <c r="Y98" s="752">
        <f>AVERAGE(W98:X98,S98:T98)</f>
        <v>0.28397676485899109</v>
      </c>
      <c r="Z98" s="313">
        <f>Z97/Z43</f>
        <v>0.287732528389602</v>
      </c>
      <c r="AB98" s="752">
        <f>AVERAGE(V98:Y98)</f>
        <v>0.29087043112456329</v>
      </c>
      <c r="AC98" s="752">
        <f>AVERAGE(AB98,W98:Y98)</f>
        <v>0.27973938841031637</v>
      </c>
      <c r="AD98" s="752">
        <f>AVERAGE(AB98:AC98,X98:Y98)</f>
        <v>0.28696563474267722</v>
      </c>
      <c r="AE98" s="752">
        <f>AVERAGE(AB98:AD98,Y98)</f>
        <v>0.28538805478413698</v>
      </c>
      <c r="AF98" s="313">
        <f>AF97/AF43</f>
        <v>0.28552440472743129</v>
      </c>
      <c r="AH98" s="752">
        <f>AVERAGE(AF98,Z98,T98)</f>
        <v>0.31342030775214302</v>
      </c>
      <c r="AJ98" s="752">
        <f>AVERAGE(AF98,AH98,Z98)</f>
        <v>0.29555908028972544</v>
      </c>
      <c r="AL98" s="752">
        <f>AVERAGE(AH98,AJ98,AF98)</f>
        <v>0.29816793092309996</v>
      </c>
    </row>
    <row r="99" spans="2:39" ht="14.25" customHeight="1" x14ac:dyDescent="0.25">
      <c r="B99" s="32" t="s">
        <v>498</v>
      </c>
      <c r="D99" s="291"/>
      <c r="E99" s="291"/>
      <c r="F99" s="291"/>
      <c r="G99" s="291"/>
      <c r="H99" s="294"/>
      <c r="J99" s="291"/>
      <c r="K99" s="291"/>
      <c r="L99" s="291"/>
      <c r="M99" s="291"/>
      <c r="N99" s="294"/>
      <c r="P99" s="291"/>
      <c r="Q99" s="291"/>
      <c r="R99" s="291"/>
      <c r="S99" s="291"/>
      <c r="T99" s="294"/>
      <c r="U99" s="191"/>
      <c r="V99" s="291"/>
      <c r="W99" s="291"/>
      <c r="X99" s="314">
        <v>3.54</v>
      </c>
      <c r="Y99" s="314">
        <v>3.54</v>
      </c>
      <c r="Z99" s="321">
        <f>AVERAGE(V99:Y99)</f>
        <v>3.54</v>
      </c>
      <c r="AB99" s="314">
        <v>4</v>
      </c>
      <c r="AC99" s="314">
        <v>4</v>
      </c>
      <c r="AD99" s="314">
        <v>4</v>
      </c>
      <c r="AE99" s="314">
        <v>4</v>
      </c>
      <c r="AF99" s="321">
        <f>AVERAGE(AB99:AE99)</f>
        <v>4</v>
      </c>
      <c r="AH99" s="314">
        <v>3.5</v>
      </c>
      <c r="AJ99" s="314">
        <v>3.5</v>
      </c>
      <c r="AL99" s="314">
        <v>3.5</v>
      </c>
    </row>
    <row r="100" spans="2:39" ht="14.25" customHeight="1" x14ac:dyDescent="0.25">
      <c r="B100" s="32" t="s">
        <v>499</v>
      </c>
      <c r="D100" s="47"/>
      <c r="E100" s="47"/>
      <c r="F100" s="47"/>
      <c r="G100" s="47"/>
      <c r="J100" s="47"/>
      <c r="K100" s="47"/>
      <c r="L100" s="47"/>
      <c r="M100" s="47"/>
      <c r="P100" s="47"/>
      <c r="Q100" s="47"/>
      <c r="R100" s="47"/>
      <c r="S100" s="47"/>
      <c r="U100" s="191"/>
      <c r="V100" s="47"/>
      <c r="W100" s="47"/>
      <c r="X100" s="518">
        <f>X99*(X31+W31+V31+S31)/W64</f>
        <v>47.88152444727001</v>
      </c>
      <c r="Y100" s="518">
        <f>Y99*(Y31+X31+W31+V31)/X64</f>
        <v>52.167307830053673</v>
      </c>
      <c r="Z100" s="321">
        <f>AVERAGE(V100:Y100)</f>
        <v>50.024416138661842</v>
      </c>
      <c r="AB100" s="518">
        <f>AB99*(AB31+Y31+X31+W31)/Y64</f>
        <v>60.818701004939761</v>
      </c>
      <c r="AC100" s="518">
        <f>AC99*(AC31+AB31+Y31+X31)/AB64</f>
        <v>63.319914956372344</v>
      </c>
      <c r="AD100" s="518">
        <f>AD99*(AD31+AC31+AB31+Y31)/AC64</f>
        <v>66.257595310965399</v>
      </c>
      <c r="AE100" s="518">
        <f>AE99*(AE31+AD31+AC31+AB31)/AD64</f>
        <v>69.768428410193962</v>
      </c>
      <c r="AF100" s="321">
        <f>AVERAGE(AB100:AE100)</f>
        <v>65.041159920617872</v>
      </c>
      <c r="AH100" s="320">
        <f>AH99*AH31/AE64</f>
        <v>71.951438588788378</v>
      </c>
      <c r="AJ100" s="320">
        <f>AJ99*AJ31/AH64</f>
        <v>82.657598714296483</v>
      </c>
      <c r="AL100" s="320">
        <f>AL99*AL31/AJ64</f>
        <v>95.634246511898468</v>
      </c>
    </row>
    <row r="101" spans="2:39" ht="14.25" customHeight="1" x14ac:dyDescent="0.25">
      <c r="B101" s="32" t="s">
        <v>500</v>
      </c>
      <c r="D101" s="47"/>
      <c r="E101" s="47"/>
      <c r="F101" s="47"/>
      <c r="G101" s="47"/>
      <c r="J101" s="47"/>
      <c r="K101" s="47"/>
      <c r="L101" s="47"/>
      <c r="M101" s="47"/>
      <c r="P101" s="47"/>
      <c r="Q101" s="47"/>
      <c r="R101" s="47"/>
      <c r="S101" s="47"/>
      <c r="U101" s="191"/>
      <c r="V101" s="47"/>
      <c r="W101" s="47"/>
      <c r="X101" s="518">
        <f>X97/X100</f>
        <v>0.26701614090949988</v>
      </c>
      <c r="Y101" s="518">
        <f>Y97/Y100</f>
        <v>0.28922392376976269</v>
      </c>
      <c r="Z101" s="320">
        <f>AVERAGE(V101:Y101)</f>
        <v>0.27812003233963128</v>
      </c>
      <c r="AB101" s="518">
        <f>AB97/AB100</f>
        <v>0.17224706604537726</v>
      </c>
      <c r="AC101" s="518">
        <f>AC97/AC100</f>
        <v>0.19883288296232968</v>
      </c>
      <c r="AD101" s="518">
        <f>AD97/AD100</f>
        <v>0.22992519570593578</v>
      </c>
      <c r="AE101" s="518">
        <f>AE97/AE100</f>
        <v>0.26063926368528595</v>
      </c>
      <c r="AF101" s="739">
        <f>AVERAGE(AB101:AE101)</f>
        <v>0.21541110209973213</v>
      </c>
      <c r="AH101" s="739">
        <f>AH97/AH100</f>
        <v>1.0170956975244083</v>
      </c>
      <c r="AI101" s="464"/>
      <c r="AJ101" s="739">
        <f>AJ97/AJ100</f>
        <v>0.97590526287669388</v>
      </c>
      <c r="AK101" s="695"/>
      <c r="AL101" s="739">
        <f>AL97/AL100</f>
        <v>0.97817120644570632</v>
      </c>
    </row>
    <row r="102" spans="2:39" ht="14.25" customHeight="1" x14ac:dyDescent="0.25">
      <c r="D102" s="47"/>
      <c r="E102" s="47"/>
      <c r="F102" s="47"/>
      <c r="G102" s="47"/>
      <c r="J102" s="47"/>
      <c r="K102" s="47"/>
      <c r="L102" s="47"/>
      <c r="M102" s="47"/>
      <c r="P102" s="47"/>
      <c r="Q102" s="47"/>
      <c r="R102" s="47"/>
      <c r="S102" s="47"/>
      <c r="U102" s="191"/>
      <c r="V102" s="47"/>
      <c r="W102" s="47"/>
      <c r="X102" s="47"/>
      <c r="Y102" s="47"/>
      <c r="AB102" s="47"/>
      <c r="AC102" s="47"/>
      <c r="AD102" s="47"/>
      <c r="AE102" s="47"/>
      <c r="AF102" s="695"/>
      <c r="AG102" s="464"/>
      <c r="AH102" s="695"/>
      <c r="AI102" s="464"/>
      <c r="AJ102" s="740"/>
      <c r="AK102" s="695"/>
      <c r="AL102" s="695"/>
      <c r="AM102" s="695"/>
    </row>
    <row r="103" spans="2:39" ht="14.25" customHeight="1" x14ac:dyDescent="0.3">
      <c r="B103" s="29" t="s">
        <v>501</v>
      </c>
      <c r="D103" s="51">
        <f>SUM(CF!P21:P24)</f>
        <v>-27.456000000000003</v>
      </c>
      <c r="E103" s="51">
        <f>SUM(CF!Q21:Q24)</f>
        <v>-55.363</v>
      </c>
      <c r="F103" s="51">
        <f>SUM(CF!R21:R24)</f>
        <v>-33.305999999999983</v>
      </c>
      <c r="G103" s="51">
        <f>SUM(CF!S21:S24)</f>
        <v>-21.900000000000002</v>
      </c>
      <c r="H103" s="68">
        <f>SUM(CF!T21:T24)</f>
        <v>-138.02500000000003</v>
      </c>
      <c r="J103" s="51">
        <f>SUM(CF!V21:V24)</f>
        <v>-39.071999999999996</v>
      </c>
      <c r="K103" s="51">
        <f>SUM(CF!W21:W24)</f>
        <v>-26.92</v>
      </c>
      <c r="L103" s="51">
        <f>SUM(CF!X21:X24)</f>
        <v>-61.785000000000004</v>
      </c>
      <c r="M103" s="51">
        <f>SUM(CF!Y21:Y24)</f>
        <v>-60.647000000000006</v>
      </c>
      <c r="N103" s="68">
        <f>SUM(CF!Z21:Z24)</f>
        <v>-188.42399999999998</v>
      </c>
      <c r="P103" s="51">
        <f>SUM(CF!AB21:AB24)</f>
        <v>-57.225000000000001</v>
      </c>
      <c r="Q103" s="51">
        <f>SUM(CF!AC21:AC24)</f>
        <v>13.832999999999995</v>
      </c>
      <c r="R103" s="51">
        <f>SUM(CF!AD21:AD24)</f>
        <v>-59.045999999999999</v>
      </c>
      <c r="S103" s="51">
        <f>SUM(CF!AE21:AE24)</f>
        <v>25.967999999999996</v>
      </c>
      <c r="T103" s="68">
        <f>SUM(CF!AF21:AF24)</f>
        <v>-76.47</v>
      </c>
      <c r="U103" s="191"/>
      <c r="V103" s="51">
        <f>SUM(CF!AH21:AH24)</f>
        <v>-38.494</v>
      </c>
      <c r="W103" s="51">
        <f>SUM(CF!AI21:AI24)</f>
        <v>-89.16</v>
      </c>
      <c r="X103" s="47">
        <f>X104*(X70-W70)</f>
        <v>-38.282551476215801</v>
      </c>
      <c r="Y103" s="47">
        <f>Y104*(Y70-X70)</f>
        <v>-63.752663646552286</v>
      </c>
      <c r="Z103" s="58">
        <f>SUM(V103:Y103)</f>
        <v>-229.6892151227681</v>
      </c>
      <c r="AB103" s="47">
        <f>AB104*(AB70-Z70)</f>
        <v>91.5289049944449</v>
      </c>
      <c r="AC103" s="47">
        <f>AC104*(AC70-AB70)</f>
        <v>-42.938252857835927</v>
      </c>
      <c r="AD103" s="47">
        <f>AD104*(AD70-AC70)</f>
        <v>-36.893110271698504</v>
      </c>
      <c r="AE103" s="47">
        <f>AE104*(AE70-AD70)</f>
        <v>-48.357573807685675</v>
      </c>
      <c r="AF103" s="689">
        <f>SUM(AB103:AE103)</f>
        <v>-36.660031942775205</v>
      </c>
      <c r="AG103" s="464"/>
      <c r="AH103" s="689">
        <f>AH104*(AH70-AF70)</f>
        <v>-10.255681807799055</v>
      </c>
      <c r="AI103" s="464"/>
      <c r="AJ103" s="689">
        <f>AJ104*(AJ70-AH70)</f>
        <v>-22.686053222637049</v>
      </c>
      <c r="AK103" s="695"/>
      <c r="AL103" s="689">
        <f>AL104*(AL70-AJ70)</f>
        <v>-14.528405752970377</v>
      </c>
      <c r="AM103" s="695"/>
    </row>
    <row r="104" spans="2:39" ht="14.25" customHeight="1" x14ac:dyDescent="0.25">
      <c r="B104" s="32" t="s">
        <v>502</v>
      </c>
      <c r="D104" s="291">
        <f>D103/(D31-IS!M18)</f>
        <v>0.51846816224790404</v>
      </c>
      <c r="E104" s="291">
        <f>E103/(E31-D31)</f>
        <v>-0.88995161471812767</v>
      </c>
      <c r="F104" s="291">
        <f>F103/(F31-E31)</f>
        <v>-1.1361806645288932</v>
      </c>
      <c r="G104" s="291">
        <f>G103/(G31-F31)</f>
        <v>0.87018714983907497</v>
      </c>
      <c r="H104" s="294">
        <f>H103/IS!N18</f>
        <v>-0.53137427767361833</v>
      </c>
      <c r="J104" s="291">
        <f>J103/(J31-IS!S18)</f>
        <v>1.1395905034124714</v>
      </c>
      <c r="K104" s="291">
        <f>K103/(K31-J31)</f>
        <v>-0.38281594402809976</v>
      </c>
      <c r="L104" s="291">
        <f>L103/(L31-K31)</f>
        <v>-2.575233411137047</v>
      </c>
      <c r="M104" s="291">
        <f>M103/(M31-L31)</f>
        <v>-34.615867579908489</v>
      </c>
      <c r="N104" s="294">
        <f>N103/IS!T18</f>
        <v>-0.48458974569994234</v>
      </c>
      <c r="P104" s="291">
        <f>P103/(P31-IS!Y18)</f>
        <v>3.1563706563706573</v>
      </c>
      <c r="Q104" s="291">
        <f>Q103/(Q31-P31)</f>
        <v>0.27507009485175682</v>
      </c>
      <c r="R104" s="291">
        <f>R103/(R31-Q31)</f>
        <v>-39.469251336898147</v>
      </c>
      <c r="S104" s="291">
        <f>S103/(S31-R31)</f>
        <v>1.3320338548345725</v>
      </c>
      <c r="T104" s="294">
        <f>T103/IS!Z18</f>
        <v>-0.13711107485257018</v>
      </c>
      <c r="U104" s="191"/>
      <c r="V104" s="291">
        <f>V103/(V31-IS!AE18)</f>
        <v>0.75295360300445979</v>
      </c>
      <c r="W104" s="291">
        <f>W103/(W31-V31)</f>
        <v>-2.0722835560720507</v>
      </c>
      <c r="X104" s="291">
        <f>AVERAGE(V104:W104)</f>
        <v>-0.65966497653379541</v>
      </c>
      <c r="Y104" s="291">
        <f>X104*0.9</f>
        <v>-0.59369847888041594</v>
      </c>
      <c r="Z104" s="294">
        <f>Z103/(Z31-T31)</f>
        <v>-1.3963304843467068</v>
      </c>
      <c r="AB104" s="291">
        <f>Y104*0.9</f>
        <v>-0.53432863099237438</v>
      </c>
      <c r="AC104" s="291">
        <f>AB104*0.9</f>
        <v>-0.48089576789313693</v>
      </c>
      <c r="AD104" s="291">
        <f>AC104*0.9</f>
        <v>-0.43280619110382323</v>
      </c>
      <c r="AE104" s="291">
        <f>AD104*0.9</f>
        <v>-0.3895255719934409</v>
      </c>
      <c r="AF104" s="294">
        <f>AF103/(AF31-Z31)</f>
        <v>-0.19363793123230241</v>
      </c>
      <c r="AG104" s="721">
        <f t="shared" ref="AG104:AL104" si="55">AF104*0.9</f>
        <v>-0.17427413810907216</v>
      </c>
      <c r="AH104" s="721">
        <f t="shared" si="55"/>
        <v>-0.15684672429816496</v>
      </c>
      <c r="AI104" s="721">
        <f t="shared" si="55"/>
        <v>-0.14116205186834846</v>
      </c>
      <c r="AJ104" s="721">
        <f t="shared" si="55"/>
        <v>-0.12704584668151361</v>
      </c>
      <c r="AK104" s="721">
        <f t="shared" si="55"/>
        <v>-0.11434126201336225</v>
      </c>
      <c r="AL104" s="721">
        <f t="shared" si="55"/>
        <v>-0.10290713581202603</v>
      </c>
      <c r="AM104" s="695"/>
    </row>
    <row r="105" spans="2:39" ht="14.25" customHeight="1" x14ac:dyDescent="0.25">
      <c r="D105" s="47"/>
      <c r="E105" s="47"/>
      <c r="F105" s="47"/>
      <c r="G105" s="47"/>
      <c r="J105" s="47"/>
      <c r="K105" s="47"/>
      <c r="L105" s="47"/>
      <c r="M105" s="47"/>
      <c r="P105" s="47"/>
      <c r="Q105" s="47"/>
      <c r="R105" s="47"/>
      <c r="S105" s="47"/>
      <c r="U105" s="191"/>
      <c r="V105" s="47"/>
      <c r="W105" s="47"/>
      <c r="X105" s="47"/>
      <c r="Y105" s="47"/>
      <c r="AB105" s="47"/>
      <c r="AC105" s="47"/>
      <c r="AD105" s="47"/>
      <c r="AE105" s="47"/>
      <c r="AF105" s="695"/>
      <c r="AG105" s="464"/>
      <c r="AH105" s="695"/>
      <c r="AI105" s="464"/>
      <c r="AJ105" s="740"/>
      <c r="AK105" s="695"/>
      <c r="AL105" s="695"/>
      <c r="AM105" s="695"/>
    </row>
    <row r="106" spans="2:39" ht="14.25" customHeight="1" x14ac:dyDescent="0.3">
      <c r="B106" s="29" t="s">
        <v>503</v>
      </c>
      <c r="D106" s="51">
        <f>CF!P28</f>
        <v>-3.5840000000000001</v>
      </c>
      <c r="E106" s="51">
        <f>CF!Q28</f>
        <v>-2.125</v>
      </c>
      <c r="F106" s="51">
        <f>CF!R28</f>
        <v>-13.787000000000001</v>
      </c>
      <c r="G106" s="51">
        <f>CF!S28</f>
        <v>-73.024000000000001</v>
      </c>
      <c r="H106" s="68">
        <f>CF!T28</f>
        <v>-92.52</v>
      </c>
      <c r="J106" s="51">
        <f>CF!V28</f>
        <v>-15.05</v>
      </c>
      <c r="K106" s="51">
        <f>CF!W28</f>
        <v>-7.8680000000000003</v>
      </c>
      <c r="L106" s="51">
        <f>CF!X28</f>
        <v>-28.228000000000002</v>
      </c>
      <c r="M106" s="51">
        <f>CF!Y28</f>
        <v>-13.192</v>
      </c>
      <c r="N106" s="68">
        <f>CF!Z28</f>
        <v>-64.337999999999994</v>
      </c>
      <c r="P106" s="51">
        <f>CF!AB28</f>
        <v>-26.087</v>
      </c>
      <c r="Q106" s="51">
        <f>CF!AC28</f>
        <v>-13.577</v>
      </c>
      <c r="R106" s="51">
        <f>CF!AD28</f>
        <v>-33.366999999999997</v>
      </c>
      <c r="S106" s="51">
        <f>CF!AE28</f>
        <v>-12.917</v>
      </c>
      <c r="T106" s="68">
        <f>CF!AF28</f>
        <v>-85.947999999999993</v>
      </c>
      <c r="U106" s="191"/>
      <c r="V106" s="51">
        <f>CF!AH28</f>
        <v>-17.100999999999999</v>
      </c>
      <c r="W106" s="51">
        <f>CF!AI28</f>
        <v>-15.141</v>
      </c>
      <c r="X106" s="47">
        <f>-X$31*(X107+Sensitivity!$U$38)</f>
        <v>-24.8269877498327</v>
      </c>
      <c r="Y106" s="47">
        <f>-Y$31*(Y107+Sensitivity!$U$38)</f>
        <v>-25.586335215007825</v>
      </c>
      <c r="Z106" s="58">
        <f>SUM(V106:Y106)</f>
        <v>-82.655322964840522</v>
      </c>
      <c r="AA106" s="71"/>
      <c r="AB106" s="47">
        <f>-AB$31*(AB107+Sensitivity!$U$38)</f>
        <v>-17.706432980806262</v>
      </c>
      <c r="AC106" s="47">
        <f>-AC$31*(AC107+Sensitivity!$U$38)</f>
        <v>-21.851083596591565</v>
      </c>
      <c r="AD106" s="47">
        <f>-AD$31*(AD107+Sensitivity!$U$38)</f>
        <v>-26.813210127597781</v>
      </c>
      <c r="AE106" s="47">
        <f>-AE$31*(AE107+Sensitivity!$U$38)</f>
        <v>-31.437817196239379</v>
      </c>
      <c r="AF106" s="722">
        <f>SUM(AB106:AE106)</f>
        <v>-97.808543901234984</v>
      </c>
      <c r="AG106" s="722"/>
      <c r="AH106" s="722">
        <f>-AH$31*(AH107+Sensitivity!$U$38)</f>
        <v>-126.94184982923294</v>
      </c>
      <c r="AI106" s="722"/>
      <c r="AJ106" s="722">
        <f>-AJ$31*(AJ107+Sensitivity!$U$38)</f>
        <v>-140.26704672417861</v>
      </c>
      <c r="AK106" s="722"/>
      <c r="AL106" s="722">
        <f>-AL$31*(AL107+Sensitivity!$U$38)</f>
        <v>-158.29587584800109</v>
      </c>
      <c r="AM106" s="695"/>
    </row>
    <row r="107" spans="2:39" ht="14.25" customHeight="1" x14ac:dyDescent="0.25">
      <c r="B107" s="32" t="s">
        <v>436</v>
      </c>
      <c r="D107" s="291">
        <f>-D106/D31</f>
        <v>8.4957094770777036E-2</v>
      </c>
      <c r="E107" s="291">
        <f>-E106/E31</f>
        <v>2.0355381004837397E-2</v>
      </c>
      <c r="F107" s="291">
        <f>-F106/F31</f>
        <v>0.10311198199074109</v>
      </c>
      <c r="G107" s="291">
        <f>-G106/G31</f>
        <v>0.67277183025925447</v>
      </c>
      <c r="H107" s="294">
        <f>-H106/H31</f>
        <v>0.23794337914574931</v>
      </c>
      <c r="J107" s="291">
        <f>-J106/J31</f>
        <v>0.20267722473604827</v>
      </c>
      <c r="K107" s="291">
        <f>-K106/K31</f>
        <v>5.4420827655851212E-2</v>
      </c>
      <c r="L107" s="291">
        <f>-L106/L31</f>
        <v>0.16745664979919203</v>
      </c>
      <c r="M107" s="291">
        <f>-M106/M31</f>
        <v>7.7453749097292759E-2</v>
      </c>
      <c r="N107" s="294">
        <f>-N106/N31</f>
        <v>0.11535834096854532</v>
      </c>
      <c r="P107" s="291">
        <f>-P106/P31</f>
        <v>0.17140961029233004</v>
      </c>
      <c r="Q107" s="291">
        <f>-Q106/Q31</f>
        <v>6.705353615171869E-2</v>
      </c>
      <c r="R107" s="291">
        <f>-R106/R31</f>
        <v>0.16358297054555437</v>
      </c>
      <c r="S107" s="291">
        <f>-S106/S31</f>
        <v>5.7801683439909428E-2</v>
      </c>
      <c r="T107" s="294">
        <f>-T106/T31</f>
        <v>0.10989134631858619</v>
      </c>
      <c r="U107" s="191"/>
      <c r="V107" s="291">
        <f>-V106/V31</f>
        <v>9.9224239470370817E-2</v>
      </c>
      <c r="W107" s="291">
        <f>-W106/W31</f>
        <v>7.0301617666177582E-2</v>
      </c>
      <c r="X107" s="750">
        <f>AVERAGE(V107:W107,R107:S107)</f>
        <v>9.7727627780503049E-2</v>
      </c>
      <c r="Y107" s="765">
        <f>AVERAGE(W107:X107,S107:T107)</f>
        <v>8.393056880129407E-2</v>
      </c>
      <c r="Z107" s="294">
        <f>-Z106/Z31</f>
        <v>8.7316921977771286E-2</v>
      </c>
      <c r="AA107" s="541"/>
      <c r="AB107" s="750">
        <f>AVERAGE(Z107:AA107,V107:W107)</f>
        <v>8.5614259704773224E-2</v>
      </c>
      <c r="AC107" s="750">
        <f>AVERAGE(AA107:AB107,W107:X107)</f>
        <v>8.4547835050484618E-2</v>
      </c>
      <c r="AD107" s="750">
        <f>AVERAGE(AB107:AC107,X107:Y107)</f>
        <v>8.7955072834263737E-2</v>
      </c>
      <c r="AE107" s="750">
        <f>AVERAGE(AC107:AD107,Y107:Z107)</f>
        <v>8.5937599665953435E-2</v>
      </c>
      <c r="AF107" s="294">
        <f>-AF106/AF31</f>
        <v>8.6103962518102609E-2</v>
      </c>
      <c r="AG107" s="541"/>
      <c r="AH107" s="750">
        <f>AVERAGE(AF107,Z107,T107)</f>
        <v>9.4437410271486708E-2</v>
      </c>
      <c r="AI107" s="541"/>
      <c r="AJ107" s="750">
        <f>AVERAGE(AH107:AI107,AD107:AE107)</f>
        <v>8.9443360923901302E-2</v>
      </c>
      <c r="AK107" s="280"/>
      <c r="AL107" s="750">
        <f>AVERAGE(AJ107:AK107,AF107:AG107)</f>
        <v>8.7773661721001955E-2</v>
      </c>
    </row>
    <row r="108" spans="2:39" ht="14.25" customHeight="1" x14ac:dyDescent="0.25">
      <c r="D108" s="47"/>
      <c r="E108" s="47"/>
      <c r="F108" s="47"/>
      <c r="G108" s="47"/>
      <c r="J108" s="47"/>
      <c r="K108" s="47"/>
      <c r="L108" s="47"/>
      <c r="M108" s="47"/>
      <c r="P108" s="47"/>
      <c r="Q108" s="47"/>
      <c r="R108" s="47"/>
      <c r="S108" s="47"/>
      <c r="U108" s="191"/>
      <c r="V108" s="47"/>
      <c r="W108" s="47"/>
      <c r="X108" s="47"/>
      <c r="Y108" s="47"/>
      <c r="AB108" s="47"/>
      <c r="AC108" s="47"/>
      <c r="AD108" s="47"/>
      <c r="AE108" s="47"/>
    </row>
    <row r="109" spans="2:39" ht="14.25" customHeight="1" x14ac:dyDescent="0.3">
      <c r="B109" s="29" t="s">
        <v>504</v>
      </c>
      <c r="D109" s="51">
        <f>CF!P29</f>
        <v>0</v>
      </c>
      <c r="E109" s="51">
        <f>CF!Q29</f>
        <v>0</v>
      </c>
      <c r="F109" s="51">
        <f>CF!R29</f>
        <v>0</v>
      </c>
      <c r="G109" s="51">
        <f>CF!S29</f>
        <v>0</v>
      </c>
      <c r="H109" s="68">
        <f>CF!T29</f>
        <v>-0.12</v>
      </c>
      <c r="J109" s="51">
        <f>CF!V29</f>
        <v>0</v>
      </c>
      <c r="K109" s="51">
        <f>CF!W29</f>
        <v>0</v>
      </c>
      <c r="L109" s="51">
        <f>CF!X29</f>
        <v>0</v>
      </c>
      <c r="M109" s="51">
        <f>CF!Y29</f>
        <v>0</v>
      </c>
      <c r="N109" s="68">
        <f>CF!Z29</f>
        <v>6.1999999999999993E-2</v>
      </c>
      <c r="P109" s="51">
        <f>CF!AB29</f>
        <v>0</v>
      </c>
      <c r="Q109" s="51">
        <f>CF!AC29</f>
        <v>0</v>
      </c>
      <c r="R109" s="51">
        <f>CF!AD29</f>
        <v>0</v>
      </c>
      <c r="S109" s="51">
        <f>CF!AE29</f>
        <v>0</v>
      </c>
      <c r="T109" s="68">
        <f>CF!AF29</f>
        <v>0.94499999999999995</v>
      </c>
      <c r="U109" s="191"/>
      <c r="V109" s="51">
        <f>CF!AH29</f>
        <v>0</v>
      </c>
      <c r="W109" s="51">
        <f>CF!AI29</f>
        <v>0</v>
      </c>
      <c r="X109" s="47">
        <f>X110*X$106</f>
        <v>0</v>
      </c>
      <c r="Y109" s="47">
        <f>Y110*Y$106</f>
        <v>0</v>
      </c>
      <c r="Z109" s="58">
        <f>SUM(V109:Y109)</f>
        <v>0</v>
      </c>
      <c r="AB109" s="47">
        <f t="shared" ref="AB109:AE109" si="56">AB110*AB$106</f>
        <v>0</v>
      </c>
      <c r="AC109" s="47">
        <f t="shared" si="56"/>
        <v>0</v>
      </c>
      <c r="AD109" s="47">
        <f t="shared" si="56"/>
        <v>0</v>
      </c>
      <c r="AE109" s="47">
        <f t="shared" si="56"/>
        <v>0</v>
      </c>
      <c r="AF109" s="58">
        <f>SUM(AB109:AE109)</f>
        <v>0</v>
      </c>
      <c r="AH109" s="58">
        <f>AH110*AH$106</f>
        <v>0</v>
      </c>
      <c r="AJ109" s="58">
        <f>AJ110*AJ$106</f>
        <v>0</v>
      </c>
      <c r="AL109" s="58">
        <f>AL110*AL$106</f>
        <v>0</v>
      </c>
    </row>
    <row r="110" spans="2:39" ht="14.25" customHeight="1" x14ac:dyDescent="0.25">
      <c r="B110" s="32" t="s">
        <v>505</v>
      </c>
      <c r="D110" s="291">
        <f>-D109/D106</f>
        <v>0</v>
      </c>
      <c r="E110" s="291">
        <f t="shared" ref="E110:H110" si="57">-E109/E106</f>
        <v>0</v>
      </c>
      <c r="F110" s="291">
        <f t="shared" si="57"/>
        <v>0</v>
      </c>
      <c r="G110" s="291">
        <f t="shared" si="57"/>
        <v>0</v>
      </c>
      <c r="H110" s="294">
        <f t="shared" si="57"/>
        <v>-1.2970168612191958E-3</v>
      </c>
      <c r="J110" s="291">
        <f>-J109/J106</f>
        <v>0</v>
      </c>
      <c r="K110" s="291">
        <f t="shared" ref="K110" si="58">-K109/K106</f>
        <v>0</v>
      </c>
      <c r="L110" s="291">
        <f t="shared" ref="L110" si="59">-L109/L106</f>
        <v>0</v>
      </c>
      <c r="M110" s="291">
        <f t="shared" ref="M110" si="60">-M109/M106</f>
        <v>0</v>
      </c>
      <c r="N110" s="294">
        <f t="shared" ref="N110" si="61">-N109/N106</f>
        <v>9.6366066710186818E-4</v>
      </c>
      <c r="P110" s="291">
        <f>-P109/P106</f>
        <v>0</v>
      </c>
      <c r="Q110" s="291">
        <f t="shared" ref="Q110" si="62">-Q109/Q106</f>
        <v>0</v>
      </c>
      <c r="R110" s="291">
        <f t="shared" ref="R110" si="63">-R109/R106</f>
        <v>0</v>
      </c>
      <c r="S110" s="291">
        <f t="shared" ref="S110" si="64">-S109/S106</f>
        <v>0</v>
      </c>
      <c r="T110" s="294">
        <f t="shared" ref="T110" si="65">-T109/T106</f>
        <v>1.099502024479918E-2</v>
      </c>
      <c r="U110" s="191"/>
      <c r="V110" s="291">
        <f>-V109/V106</f>
        <v>0</v>
      </c>
      <c r="W110" s="291">
        <f t="shared" ref="W110" si="66">-W109/W106</f>
        <v>0</v>
      </c>
      <c r="X110" s="302"/>
      <c r="Y110" s="302"/>
      <c r="Z110" s="292"/>
      <c r="AB110" s="302"/>
      <c r="AC110" s="302"/>
      <c r="AD110" s="302"/>
      <c r="AE110" s="302"/>
      <c r="AF110" s="292"/>
      <c r="AH110" s="302"/>
      <c r="AJ110" s="302"/>
      <c r="AL110" s="302"/>
    </row>
    <row r="111" spans="2:39" ht="14.25" customHeight="1" x14ac:dyDescent="0.25">
      <c r="B111" s="32"/>
      <c r="D111" s="291"/>
      <c r="E111" s="291"/>
      <c r="F111" s="291"/>
      <c r="G111" s="291"/>
      <c r="H111" s="294"/>
      <c r="J111" s="291"/>
      <c r="K111" s="291"/>
      <c r="L111" s="291"/>
      <c r="M111" s="291"/>
      <c r="N111" s="294"/>
      <c r="P111" s="291"/>
      <c r="Q111" s="291"/>
      <c r="R111" s="291"/>
      <c r="S111" s="291"/>
      <c r="T111" s="294"/>
      <c r="U111" s="191"/>
      <c r="V111" s="291"/>
      <c r="W111" s="291"/>
      <c r="X111" s="291"/>
      <c r="Y111" s="291"/>
      <c r="Z111" s="292"/>
      <c r="AA111" s="292"/>
      <c r="AB111" s="291"/>
      <c r="AC111" s="291"/>
      <c r="AD111" s="291"/>
      <c r="AE111" s="291"/>
      <c r="AF111" s="292"/>
      <c r="AH111" s="602"/>
      <c r="AJ111" s="602"/>
      <c r="AL111" s="602"/>
    </row>
    <row r="112" spans="2:39" ht="14.25" customHeight="1" x14ac:dyDescent="0.3">
      <c r="B112" s="29" t="s">
        <v>506</v>
      </c>
      <c r="D112" s="51">
        <f>CF!P39</f>
        <v>0</v>
      </c>
      <c r="E112" s="51">
        <f>CF!Q39</f>
        <v>0</v>
      </c>
      <c r="F112" s="51">
        <f>CF!R39</f>
        <v>0</v>
      </c>
      <c r="G112" s="51">
        <f>CF!S39</f>
        <v>0</v>
      </c>
      <c r="H112" s="68">
        <f>CF!T39</f>
        <v>0</v>
      </c>
      <c r="J112" s="51">
        <f>CF!V39</f>
        <v>0</v>
      </c>
      <c r="K112" s="51">
        <f>CF!W39</f>
        <v>0</v>
      </c>
      <c r="L112" s="51">
        <f>CF!X39</f>
        <v>-3.9510000000000001</v>
      </c>
      <c r="M112" s="51">
        <f>CF!Y39</f>
        <v>0</v>
      </c>
      <c r="N112" s="68">
        <f>CF!Z39</f>
        <v>-3.9510000000000001</v>
      </c>
      <c r="P112" s="51">
        <f>CF!AB39</f>
        <v>0</v>
      </c>
      <c r="Q112" s="51">
        <f>CF!AC39</f>
        <v>0</v>
      </c>
      <c r="R112" s="51">
        <f>CF!AD39</f>
        <v>-6.9</v>
      </c>
      <c r="S112" s="51">
        <f>CF!AE39</f>
        <v>0</v>
      </c>
      <c r="T112" s="68">
        <f>CF!AF39</f>
        <v>-6.9</v>
      </c>
      <c r="U112" s="191"/>
      <c r="V112" s="51">
        <f>CF!AH39</f>
        <v>0</v>
      </c>
      <c r="W112" s="51">
        <f>CF!AI39</f>
        <v>0</v>
      </c>
      <c r="X112" s="47">
        <f>-X113*X126</f>
        <v>-4.0596019084121933</v>
      </c>
      <c r="Y112" s="47">
        <f>-Y113*Y126</f>
        <v>0</v>
      </c>
      <c r="Z112" s="58">
        <f>-Z113*Z126</f>
        <v>-6.9646939858080321</v>
      </c>
      <c r="AB112" s="47">
        <f>-AB113*AB126</f>
        <v>0</v>
      </c>
      <c r="AC112" s="47">
        <f>-AC113*AC126</f>
        <v>0</v>
      </c>
      <c r="AD112" s="47">
        <f>-AD113*AD126</f>
        <v>-7.9291798977072183</v>
      </c>
      <c r="AE112" s="47">
        <f>-AE113*AE126</f>
        <v>0</v>
      </c>
      <c r="AF112" s="58">
        <f>-AF113*AF126</f>
        <v>-8.207133667487744</v>
      </c>
      <c r="AH112" s="58">
        <f>-AH113*AH126</f>
        <v>-9.7117748398604995</v>
      </c>
      <c r="AJ112" s="58">
        <f>-AJ113*AJ126</f>
        <v>-11.330403979837248</v>
      </c>
      <c r="AL112" s="58">
        <f>-AL113*AL126</f>
        <v>-13.029964576812834</v>
      </c>
    </row>
    <row r="113" spans="1:45" ht="14.25" customHeight="1" x14ac:dyDescent="0.25">
      <c r="B113" s="32" t="s">
        <v>507</v>
      </c>
      <c r="D113" s="291">
        <f>-D112/D126</f>
        <v>0</v>
      </c>
      <c r="E113" s="291">
        <f>-E112/E126</f>
        <v>0</v>
      </c>
      <c r="F113" s="291">
        <f>-F112/F126</f>
        <v>0</v>
      </c>
      <c r="G113" s="291">
        <f>-G112/G126</f>
        <v>0</v>
      </c>
      <c r="H113" s="294">
        <f>-H112/H126</f>
        <v>0</v>
      </c>
      <c r="J113" s="291">
        <f>-J112/J126</f>
        <v>0</v>
      </c>
      <c r="K113" s="291">
        <f>-K112/K126</f>
        <v>0</v>
      </c>
      <c r="L113" s="291">
        <f>-L112/L126</f>
        <v>0.12234216531194272</v>
      </c>
      <c r="M113" s="291">
        <f>-M112/M126</f>
        <v>0</v>
      </c>
      <c r="N113" s="294">
        <f>-N112/N126</f>
        <v>4.9528075348560532E-2</v>
      </c>
      <c r="P113" s="291">
        <f>-P112/P126</f>
        <v>0</v>
      </c>
      <c r="Q113" s="291">
        <f>-Q112/Q126</f>
        <v>0</v>
      </c>
      <c r="R113" s="291">
        <f>-R112/R126</f>
        <v>0.17243175667608224</v>
      </c>
      <c r="S113" s="291">
        <f>-S112/S126</f>
        <v>0</v>
      </c>
      <c r="T113" s="294">
        <f>-T112/T126</f>
        <v>5.8255721129144733E-2</v>
      </c>
      <c r="U113" s="191"/>
      <c r="V113" s="291">
        <f>-V112/V126</f>
        <v>0</v>
      </c>
      <c r="W113" s="291">
        <f>-W112/W126</f>
        <v>0</v>
      </c>
      <c r="X113" s="302">
        <v>0.1</v>
      </c>
      <c r="Y113" s="302">
        <v>0</v>
      </c>
      <c r="Z113" s="292">
        <v>0.05</v>
      </c>
      <c r="AB113" s="302">
        <v>0</v>
      </c>
      <c r="AC113" s="302">
        <v>0</v>
      </c>
      <c r="AD113" s="302">
        <v>0.18</v>
      </c>
      <c r="AE113" s="302">
        <v>0</v>
      </c>
      <c r="AF113" s="292">
        <v>0.05</v>
      </c>
      <c r="AH113" s="753">
        <v>0.05</v>
      </c>
      <c r="AI113" s="541"/>
      <c r="AJ113" s="753">
        <v>0.05</v>
      </c>
      <c r="AK113" s="280"/>
      <c r="AL113" s="753">
        <v>0.05</v>
      </c>
    </row>
    <row r="114" spans="1:45" ht="14.25" customHeight="1" x14ac:dyDescent="0.25">
      <c r="B114" s="32"/>
      <c r="D114" s="291"/>
      <c r="E114" s="291"/>
      <c r="F114" s="291"/>
      <c r="G114" s="291"/>
      <c r="H114" s="294"/>
      <c r="J114" s="291"/>
      <c r="K114" s="291"/>
      <c r="L114" s="291"/>
      <c r="M114" s="291"/>
      <c r="N114" s="294"/>
      <c r="P114" s="291"/>
      <c r="Q114" s="291"/>
      <c r="R114" s="291"/>
      <c r="S114" s="291"/>
      <c r="T114" s="294"/>
      <c r="U114" s="191"/>
      <c r="V114" s="291"/>
      <c r="W114" s="291"/>
      <c r="X114" s="291"/>
      <c r="Y114" s="291"/>
      <c r="Z114" s="292"/>
      <c r="AA114" s="292"/>
      <c r="AB114" s="291"/>
      <c r="AC114" s="291"/>
      <c r="AD114" s="291"/>
      <c r="AE114" s="291"/>
      <c r="AF114" s="292"/>
      <c r="AH114" s="602"/>
      <c r="AJ114" s="602"/>
      <c r="AL114" s="602"/>
    </row>
    <row r="115" spans="1:45" ht="14.25" customHeight="1" x14ac:dyDescent="0.3">
      <c r="B115" s="29" t="s">
        <v>508</v>
      </c>
      <c r="D115" s="51">
        <f>CF!P40</f>
        <v>0.72399999999999998</v>
      </c>
      <c r="E115" s="51">
        <f>CF!Q40</f>
        <v>2.5999999999999999E-2</v>
      </c>
      <c r="F115" s="51">
        <f>CF!R40</f>
        <v>0.4</v>
      </c>
      <c r="G115" s="51">
        <f>CF!S40</f>
        <v>0.16400000000000001</v>
      </c>
      <c r="H115" s="68">
        <f>CF!T40</f>
        <v>1.3140000000000001</v>
      </c>
      <c r="J115" s="51">
        <f>CF!V40</f>
        <v>0.24099999999999999</v>
      </c>
      <c r="K115" s="51">
        <f>CF!W40</f>
        <v>4.2839999999999998</v>
      </c>
      <c r="L115" s="51">
        <f>CF!X40</f>
        <v>0.76500000000000001</v>
      </c>
      <c r="M115" s="51">
        <f>CF!Y40</f>
        <v>0.84799999999999998</v>
      </c>
      <c r="N115" s="68">
        <f>CF!Z40</f>
        <v>6.1379999999999999</v>
      </c>
      <c r="P115" s="51">
        <f>CF!AB40</f>
        <v>4.7990000000000004</v>
      </c>
      <c r="Q115" s="51">
        <f>CF!AC40</f>
        <v>1.6379999999999999</v>
      </c>
      <c r="R115" s="51">
        <f>CF!AD40</f>
        <v>5.2999999999999999E-2</v>
      </c>
      <c r="S115" s="51">
        <f>CF!AE40</f>
        <v>4.609</v>
      </c>
      <c r="T115" s="68">
        <f>CF!AF40</f>
        <v>11.099</v>
      </c>
      <c r="U115" s="191"/>
      <c r="V115" s="51">
        <f>CF!AH40</f>
        <v>22.728999999999999</v>
      </c>
      <c r="W115" s="726">
        <f>CF!AI40</f>
        <v>0.85299999999999998</v>
      </c>
      <c r="X115" s="727">
        <v>0</v>
      </c>
      <c r="Y115" s="727">
        <f>AVERAGE(W115:X115,S115:T115)</f>
        <v>4.14025</v>
      </c>
      <c r="Z115" s="738">
        <f>SUM(V115:Y115)</f>
        <v>27.722250000000003</v>
      </c>
      <c r="AA115" s="702"/>
      <c r="AB115" s="727">
        <f>AVERAGE(V115:Y115)</f>
        <v>6.9305625000000006</v>
      </c>
      <c r="AC115" s="754">
        <f>AVERAGE(AA115:AB115,W115:X115)</f>
        <v>2.5945208333333336</v>
      </c>
      <c r="AD115" s="754">
        <f>AVERAGE(AB115:AC115,X115:Y115)</f>
        <v>3.4163333333333337</v>
      </c>
      <c r="AE115" s="754">
        <f>AVERAGE(AC115:AD115,Y115:Z115)</f>
        <v>9.4683385416666681</v>
      </c>
      <c r="AF115" s="728">
        <f>SUM(AB115:AE115)</f>
        <v>22.409755208333337</v>
      </c>
      <c r="AG115" s="702"/>
      <c r="AH115" s="754">
        <f>AVERAGE(AF115:AG115,AB115:AC115)</f>
        <v>10.644946180555557</v>
      </c>
      <c r="AI115" s="702"/>
      <c r="AJ115" s="754">
        <f>AVERAGE(AH115:AI115,AD115:AE115)</f>
        <v>7.8432060185185195</v>
      </c>
      <c r="AK115" s="701"/>
      <c r="AL115" s="754">
        <f>AVERAGE(AJ115:AK115,AF115:AG115)</f>
        <v>15.126480613425928</v>
      </c>
    </row>
    <row r="116" spans="1:45" ht="14.25" customHeight="1" x14ac:dyDescent="0.25">
      <c r="U116" s="191"/>
      <c r="AS116" s="298"/>
    </row>
    <row r="117" spans="1:45" s="42" customFormat="1" ht="15" customHeight="1" x14ac:dyDescent="0.3">
      <c r="A117" s="31" t="s">
        <v>38</v>
      </c>
      <c r="B117" s="147" t="s">
        <v>509</v>
      </c>
      <c r="C117" s="19"/>
      <c r="D117" s="148"/>
      <c r="E117" s="148"/>
      <c r="F117" s="148"/>
      <c r="G117" s="148"/>
      <c r="H117" s="148"/>
      <c r="I117" s="19"/>
      <c r="J117" s="148"/>
      <c r="K117" s="148"/>
      <c r="L117" s="148"/>
      <c r="M117" s="148"/>
      <c r="N117" s="148"/>
      <c r="O117" s="19"/>
      <c r="P117" s="148"/>
      <c r="Q117" s="148"/>
      <c r="R117" s="148"/>
      <c r="S117" s="148"/>
      <c r="T117" s="148"/>
      <c r="U117" s="19"/>
      <c r="V117" s="148"/>
      <c r="W117" s="148"/>
      <c r="X117" s="148"/>
      <c r="Y117" s="148"/>
      <c r="Z117" s="148"/>
      <c r="AA117" s="19"/>
      <c r="AB117" s="148"/>
      <c r="AC117" s="148"/>
      <c r="AD117" s="148"/>
      <c r="AE117" s="148"/>
      <c r="AF117" s="148"/>
      <c r="AG117" s="19"/>
      <c r="AH117" s="148"/>
      <c r="AI117" s="19"/>
      <c r="AJ117" s="149"/>
      <c r="AK117" s="19"/>
      <c r="AL117" s="149"/>
    </row>
    <row r="118" spans="1:45" s="42" customFormat="1" ht="15" customHeight="1" x14ac:dyDescent="0.3">
      <c r="B118" s="150"/>
      <c r="C118" s="19"/>
      <c r="D118" s="803">
        <f>D$8</f>
        <v>2022</v>
      </c>
      <c r="E118" s="803">
        <f>F118</f>
        <v>0</v>
      </c>
      <c r="F118" s="803">
        <f>F$8</f>
        <v>0</v>
      </c>
      <c r="G118" s="803">
        <f>F118</f>
        <v>0</v>
      </c>
      <c r="H118" s="803">
        <f>F118</f>
        <v>0</v>
      </c>
      <c r="I118" s="155"/>
      <c r="J118" s="803">
        <f>J$8</f>
        <v>2023</v>
      </c>
      <c r="K118" s="803">
        <f>L118</f>
        <v>0</v>
      </c>
      <c r="L118" s="803">
        <f>L$8</f>
        <v>0</v>
      </c>
      <c r="M118" s="803">
        <f>L118</f>
        <v>0</v>
      </c>
      <c r="N118" s="803">
        <f>L118</f>
        <v>0</v>
      </c>
      <c r="O118" s="155"/>
      <c r="P118" s="803">
        <f>P$8</f>
        <v>2024</v>
      </c>
      <c r="Q118" s="803">
        <f>R118</f>
        <v>0</v>
      </c>
      <c r="R118" s="803">
        <f>R$8</f>
        <v>0</v>
      </c>
      <c r="S118" s="803">
        <f>R118</f>
        <v>0</v>
      </c>
      <c r="T118" s="803">
        <f>R118</f>
        <v>0</v>
      </c>
      <c r="U118" s="155"/>
      <c r="V118" s="802">
        <f>V$8</f>
        <v>2025</v>
      </c>
      <c r="W118" s="802">
        <f>X118</f>
        <v>0</v>
      </c>
      <c r="X118" s="802">
        <f>X$8</f>
        <v>0</v>
      </c>
      <c r="Y118" s="802">
        <f>X118</f>
        <v>0</v>
      </c>
      <c r="Z118" s="802">
        <f>X118</f>
        <v>0</v>
      </c>
      <c r="AA118" s="155"/>
      <c r="AB118" s="802">
        <f>AB$8</f>
        <v>2026</v>
      </c>
      <c r="AC118" s="802">
        <f>AD118</f>
        <v>0</v>
      </c>
      <c r="AD118" s="802">
        <f>AD$8</f>
        <v>0</v>
      </c>
      <c r="AE118" s="802">
        <f>AD118</f>
        <v>0</v>
      </c>
      <c r="AF118" s="802">
        <f>AD118</f>
        <v>0</v>
      </c>
      <c r="AG118" s="157"/>
      <c r="AH118" s="152">
        <f>AH$8</f>
        <v>2027</v>
      </c>
      <c r="AI118" s="153"/>
      <c r="AJ118" s="152">
        <f>AJ$8</f>
        <v>2028</v>
      </c>
      <c r="AK118" s="153"/>
      <c r="AL118" s="152">
        <f>AL$8</f>
        <v>2029</v>
      </c>
    </row>
    <row r="119" spans="1:45" s="42" customFormat="1" ht="14.25" customHeight="1" x14ac:dyDescent="0.3">
      <c r="B119" s="150"/>
      <c r="C119" s="19"/>
      <c r="D119" s="154" t="s">
        <v>219</v>
      </c>
      <c r="E119" s="154" t="s">
        <v>220</v>
      </c>
      <c r="F119" s="154" t="s">
        <v>221</v>
      </c>
      <c r="G119" s="154" t="s">
        <v>222</v>
      </c>
      <c r="H119" s="154" t="s">
        <v>223</v>
      </c>
      <c r="I119" s="151"/>
      <c r="J119" s="154" t="s">
        <v>219</v>
      </c>
      <c r="K119" s="154" t="s">
        <v>220</v>
      </c>
      <c r="L119" s="154" t="s">
        <v>221</v>
      </c>
      <c r="M119" s="154" t="s">
        <v>222</v>
      </c>
      <c r="N119" s="154" t="s">
        <v>223</v>
      </c>
      <c r="O119" s="151"/>
      <c r="P119" s="154" t="s">
        <v>219</v>
      </c>
      <c r="Q119" s="154" t="s">
        <v>220</v>
      </c>
      <c r="R119" s="154" t="s">
        <v>221</v>
      </c>
      <c r="S119" s="154" t="s">
        <v>222</v>
      </c>
      <c r="T119" s="154" t="s">
        <v>223</v>
      </c>
      <c r="U119" s="151"/>
      <c r="V119" s="154" t="s">
        <v>219</v>
      </c>
      <c r="W119" s="154" t="s">
        <v>220</v>
      </c>
      <c r="X119" s="154" t="s">
        <v>221</v>
      </c>
      <c r="Y119" s="154" t="s">
        <v>222</v>
      </c>
      <c r="Z119" s="154" t="s">
        <v>223</v>
      </c>
      <c r="AA119" s="151"/>
      <c r="AB119" s="154" t="s">
        <v>219</v>
      </c>
      <c r="AC119" s="154" t="s">
        <v>220</v>
      </c>
      <c r="AD119" s="154" t="s">
        <v>221</v>
      </c>
      <c r="AE119" s="154" t="s">
        <v>222</v>
      </c>
      <c r="AF119" s="154" t="s">
        <v>223</v>
      </c>
      <c r="AG119" s="151"/>
      <c r="AH119" s="154" t="s">
        <v>223</v>
      </c>
      <c r="AI119" s="151"/>
      <c r="AJ119" s="154" t="s">
        <v>223</v>
      </c>
      <c r="AK119" s="151"/>
      <c r="AL119" s="154" t="s">
        <v>223</v>
      </c>
    </row>
    <row r="120" spans="1:45" s="42" customFormat="1" ht="4.05" customHeight="1" x14ac:dyDescent="0.3">
      <c r="B120" s="162"/>
      <c r="C120" s="36"/>
      <c r="D120" s="163"/>
      <c r="E120" s="163"/>
      <c r="F120" s="163"/>
      <c r="G120" s="163"/>
      <c r="H120" s="163"/>
      <c r="I120" s="164"/>
      <c r="J120" s="163"/>
      <c r="K120" s="163"/>
      <c r="L120" s="163"/>
      <c r="M120" s="163"/>
      <c r="N120" s="163"/>
      <c r="O120" s="164"/>
      <c r="P120" s="163"/>
      <c r="Q120" s="163"/>
      <c r="R120" s="163"/>
      <c r="S120" s="163"/>
      <c r="T120" s="163"/>
      <c r="U120" s="164"/>
      <c r="V120" s="163"/>
      <c r="W120" s="163"/>
      <c r="X120" s="163"/>
      <c r="Y120" s="163"/>
      <c r="Z120" s="165"/>
      <c r="AA120" s="166"/>
      <c r="AB120" s="165"/>
      <c r="AC120" s="165"/>
      <c r="AD120" s="165"/>
      <c r="AE120" s="165"/>
      <c r="AF120" s="165"/>
      <c r="AG120" s="166"/>
      <c r="AH120" s="165"/>
      <c r="AI120" s="166"/>
      <c r="AJ120" s="165"/>
      <c r="AK120" s="166"/>
      <c r="AL120" s="165"/>
    </row>
    <row r="121" spans="1:45" ht="4.05" customHeight="1" x14ac:dyDescent="0.25">
      <c r="U121" s="191"/>
    </row>
    <row r="122" spans="1:45" ht="14.25" customHeight="1" x14ac:dyDescent="0.3">
      <c r="B122" s="29" t="s">
        <v>451</v>
      </c>
      <c r="D122" s="286">
        <f>D61</f>
        <v>-9.3059999999999992</v>
      </c>
      <c r="E122" s="286">
        <f>E61</f>
        <v>20.035</v>
      </c>
      <c r="F122" s="286">
        <f>F61</f>
        <v>31.635999999999999</v>
      </c>
      <c r="G122" s="286">
        <f>G61</f>
        <v>16.670000000000002</v>
      </c>
      <c r="H122" s="297">
        <f>H61</f>
        <v>59.023000000000003</v>
      </c>
      <c r="J122" s="286">
        <f>J61</f>
        <v>8.8620000000000001</v>
      </c>
      <c r="K122" s="286">
        <f>K61</f>
        <v>30.43</v>
      </c>
      <c r="L122" s="286">
        <f>L61</f>
        <v>33.173000000000002</v>
      </c>
      <c r="M122" s="286">
        <f>M61</f>
        <v>23.373999999999999</v>
      </c>
      <c r="N122" s="297">
        <f>N61</f>
        <v>95.837000000000003</v>
      </c>
      <c r="P122" s="286">
        <f>P61</f>
        <v>25.231999999999999</v>
      </c>
      <c r="Q122" s="286">
        <f>Q61</f>
        <v>37.593000000000004</v>
      </c>
      <c r="R122" s="286">
        <f>R61</f>
        <v>44.183999999999997</v>
      </c>
      <c r="S122" s="286">
        <f>S61</f>
        <v>43.988999999999997</v>
      </c>
      <c r="T122" s="297">
        <f>T61</f>
        <v>150.053</v>
      </c>
      <c r="U122" s="191"/>
      <c r="V122" s="286">
        <f>V61</f>
        <v>25.777000000000001</v>
      </c>
      <c r="W122" s="286">
        <f>W61</f>
        <v>31.693999999999999</v>
      </c>
      <c r="X122" s="286">
        <f>X61</f>
        <v>43.187254344810562</v>
      </c>
      <c r="Y122" s="286">
        <f>Y61</f>
        <v>51.824705213772674</v>
      </c>
      <c r="Z122" s="297">
        <f>Z61</f>
        <v>152.48295955858322</v>
      </c>
      <c r="AB122" s="286">
        <f>AB61</f>
        <v>35.158788000000008</v>
      </c>
      <c r="AC122" s="286">
        <f>AC61</f>
        <v>43.935887999999998</v>
      </c>
      <c r="AD122" s="286">
        <f>AD61</f>
        <v>51.824705213772674</v>
      </c>
      <c r="AE122" s="286">
        <f>AE61</f>
        <v>62.189646256527205</v>
      </c>
      <c r="AF122" s="297">
        <f>AF61</f>
        <v>193.10902747029988</v>
      </c>
      <c r="AH122" s="297">
        <f>AH61</f>
        <v>228.5123491731882</v>
      </c>
      <c r="AJ122" s="297">
        <f>AJ61</f>
        <v>266.59774070205287</v>
      </c>
      <c r="AL122" s="297">
        <f>AL61</f>
        <v>306.58740180736078</v>
      </c>
    </row>
    <row r="123" spans="1:45" ht="14.25" customHeight="1" x14ac:dyDescent="0.3">
      <c r="B123" s="29"/>
      <c r="D123" s="47"/>
      <c r="E123" s="47"/>
      <c r="F123" s="47"/>
      <c r="G123" s="47"/>
      <c r="H123" s="298"/>
      <c r="J123" s="47"/>
      <c r="K123" s="47"/>
      <c r="L123" s="47"/>
      <c r="M123" s="47"/>
      <c r="N123" s="298"/>
      <c r="P123" s="47"/>
      <c r="Q123" s="47"/>
      <c r="R123" s="47"/>
      <c r="S123" s="47"/>
      <c r="T123" s="298"/>
      <c r="U123" s="191"/>
      <c r="V123" s="47"/>
      <c r="W123" s="47"/>
      <c r="X123" s="47"/>
      <c r="Y123" s="47"/>
      <c r="AB123" s="47"/>
      <c r="AC123" s="47"/>
      <c r="AD123" s="47"/>
      <c r="AE123" s="47"/>
      <c r="AS123" s="298"/>
    </row>
    <row r="124" spans="1:45" ht="14.25" customHeight="1" x14ac:dyDescent="0.3">
      <c r="B124" s="29" t="s">
        <v>415</v>
      </c>
      <c r="D124" s="295">
        <f>IS!P45/IS!P42</f>
        <v>0.52804107424960511</v>
      </c>
      <c r="E124" s="295">
        <f>IS!Q45/IS!Q42</f>
        <v>0.30901408450704226</v>
      </c>
      <c r="F124" s="295">
        <f>IS!R45/IS!R42</f>
        <v>0.24068761952274054</v>
      </c>
      <c r="G124" s="295">
        <f>IS!S45/IS!S42</f>
        <v>0.17573995771670192</v>
      </c>
      <c r="H124" s="296">
        <f>IS!T45/IS!T42</f>
        <v>0.22332956585333424</v>
      </c>
      <c r="J124" s="295">
        <f>IS!V45/IS!V42</f>
        <v>0.25612796988943776</v>
      </c>
      <c r="K124" s="295">
        <f>IS!W45/IS!W42</f>
        <v>0.17135601317542934</v>
      </c>
      <c r="L124" s="295">
        <f>IS!X45/IS!X42</f>
        <v>2.6477220077220077E-2</v>
      </c>
      <c r="M124" s="295">
        <f>IS!Y45/IS!Y42</f>
        <v>0.26143058918482648</v>
      </c>
      <c r="N124" s="296">
        <f>IS!Z45/IS!Z42</f>
        <v>0.16761859925515551</v>
      </c>
      <c r="P124" s="295">
        <f>IS!AB45/IS!AB42</f>
        <v>0.16873154292464301</v>
      </c>
      <c r="Q124" s="295">
        <f>IS!AC45/IS!AC42</f>
        <v>0.22968718517025993</v>
      </c>
      <c r="R124" s="295">
        <f>IS!AD45/IS!AD42</f>
        <v>9.4336619551015563E-2</v>
      </c>
      <c r="S124" s="295">
        <f>IS!AE45/IS!AE42</f>
        <v>0.31894440249719153</v>
      </c>
      <c r="T124" s="296">
        <f>IS!AF45/IS!AF42</f>
        <v>0.21065688457373677</v>
      </c>
      <c r="U124" s="191"/>
      <c r="V124" s="295">
        <f>IS!AH45/IS!AH42</f>
        <v>8.4260832625318596E-2</v>
      </c>
      <c r="W124" s="295">
        <f>IS!AI45/IS!AI42</f>
        <v>3.6927947536535034E-2</v>
      </c>
      <c r="X124" s="302">
        <v>0.06</v>
      </c>
      <c r="Y124" s="302">
        <v>0.14000000000000001</v>
      </c>
      <c r="Z124" s="303">
        <v>0.17</v>
      </c>
      <c r="AB124" s="302">
        <v>0.15</v>
      </c>
      <c r="AC124" s="302">
        <v>0.15</v>
      </c>
      <c r="AD124" s="302">
        <v>0.15</v>
      </c>
      <c r="AE124" s="302">
        <v>0.15</v>
      </c>
      <c r="AF124" s="303">
        <v>0.15</v>
      </c>
      <c r="AH124" s="302">
        <v>0.15</v>
      </c>
      <c r="AJ124" s="302">
        <v>0.15</v>
      </c>
      <c r="AL124" s="302">
        <v>0.15</v>
      </c>
    </row>
    <row r="125" spans="1:45" ht="14.25" customHeight="1" x14ac:dyDescent="0.3">
      <c r="B125" s="29"/>
      <c r="D125" s="47"/>
      <c r="E125" s="47"/>
      <c r="F125" s="47"/>
      <c r="G125" s="47"/>
      <c r="H125" s="298"/>
      <c r="J125" s="47"/>
      <c r="K125" s="47"/>
      <c r="L125" s="47"/>
      <c r="M125" s="47"/>
      <c r="N125" s="298"/>
      <c r="P125" s="47"/>
      <c r="Q125" s="47"/>
      <c r="R125" s="47"/>
      <c r="S125" s="47"/>
      <c r="T125" s="298"/>
      <c r="U125" s="191"/>
      <c r="V125" s="47"/>
      <c r="W125" s="47"/>
      <c r="X125" s="47"/>
      <c r="Y125" s="47"/>
      <c r="AB125" s="47"/>
      <c r="AC125" s="47"/>
      <c r="AD125" s="47"/>
      <c r="AE125" s="47"/>
    </row>
    <row r="126" spans="1:45" ht="14.25" customHeight="1" x14ac:dyDescent="0.3">
      <c r="B126" s="29" t="s">
        <v>510</v>
      </c>
      <c r="D126" s="47">
        <f>D122*(1-D124)</f>
        <v>-4.3920497630331745</v>
      </c>
      <c r="E126" s="47">
        <f t="shared" ref="E126:H126" si="67">E122*(1-E124)</f>
        <v>13.843902816901409</v>
      </c>
      <c r="F126" s="47">
        <f t="shared" si="67"/>
        <v>24.021606468778579</v>
      </c>
      <c r="G126" s="47">
        <f t="shared" si="67"/>
        <v>13.740414904862581</v>
      </c>
      <c r="H126" s="299">
        <f t="shared" si="67"/>
        <v>45.841419034638655</v>
      </c>
      <c r="J126" s="47">
        <f>J122*(1-J124)</f>
        <v>6.5921939308398025</v>
      </c>
      <c r="K126" s="47">
        <f t="shared" ref="K126:N126" si="68">K122*(1-K124)</f>
        <v>25.215636519071683</v>
      </c>
      <c r="L126" s="47">
        <f t="shared" si="68"/>
        <v>32.29467117837838</v>
      </c>
      <c r="M126" s="47">
        <f t="shared" si="68"/>
        <v>17.263321408393864</v>
      </c>
      <c r="N126" s="299">
        <f t="shared" si="68"/>
        <v>79.772936303183656</v>
      </c>
      <c r="P126" s="47">
        <f>P122*(1-P124)</f>
        <v>20.974565708925407</v>
      </c>
      <c r="Q126" s="47">
        <f t="shared" ref="Q126:T126" si="69">Q122*(1-Q124)</f>
        <v>28.958369647894418</v>
      </c>
      <c r="R126" s="47">
        <f t="shared" si="69"/>
        <v>40.015830801757929</v>
      </c>
      <c r="S126" s="47">
        <f t="shared" si="69"/>
        <v>29.958954678551041</v>
      </c>
      <c r="T126" s="299">
        <f t="shared" si="69"/>
        <v>118.44330249905707</v>
      </c>
      <c r="U126" s="191"/>
      <c r="V126" s="47">
        <f>V122*(1-V124)</f>
        <v>23.605008517417165</v>
      </c>
      <c r="W126" s="47">
        <f t="shared" ref="W126" si="70">W122*(1-W124)</f>
        <v>30.523605630777055</v>
      </c>
      <c r="X126" s="47">
        <f>X122*(1-X124)</f>
        <v>40.596019084121927</v>
      </c>
      <c r="Y126" s="47">
        <f>Y122*(1-Y124)</f>
        <v>44.569246483844502</v>
      </c>
      <c r="Z126" s="299">
        <f>SUM(V126:Y126)</f>
        <v>139.29387971616063</v>
      </c>
      <c r="AB126" s="47">
        <f t="shared" ref="AB126:AE126" si="71">AB122*(1-AB124)</f>
        <v>29.884969800000007</v>
      </c>
      <c r="AC126" s="47">
        <f t="shared" si="71"/>
        <v>37.345504800000001</v>
      </c>
      <c r="AD126" s="47">
        <f t="shared" si="71"/>
        <v>44.050999431706771</v>
      </c>
      <c r="AE126" s="47">
        <f t="shared" si="71"/>
        <v>52.861199318048122</v>
      </c>
      <c r="AF126" s="299">
        <f>SUM(AB126:AE126)</f>
        <v>164.14267334975489</v>
      </c>
      <c r="AH126" s="299">
        <f>AH122*(1-AH124)</f>
        <v>194.23549679720998</v>
      </c>
      <c r="AJ126" s="299">
        <f>AJ122*(1-AJ124)</f>
        <v>226.60807959674494</v>
      </c>
      <c r="AL126" s="299">
        <f>AL122*(1-AL124)</f>
        <v>260.59929153625666</v>
      </c>
    </row>
    <row r="127" spans="1:45" ht="14.25" customHeight="1" x14ac:dyDescent="0.25">
      <c r="D127" s="47"/>
      <c r="E127" s="47"/>
      <c r="F127" s="47"/>
      <c r="G127" s="47"/>
      <c r="H127" s="298"/>
      <c r="J127" s="47"/>
      <c r="K127" s="47"/>
      <c r="L127" s="47"/>
      <c r="M127" s="47"/>
      <c r="N127" s="298"/>
      <c r="P127" s="47"/>
      <c r="Q127" s="47"/>
      <c r="R127" s="47"/>
      <c r="S127" s="47"/>
      <c r="T127" s="298"/>
      <c r="U127" s="191"/>
      <c r="V127" s="47"/>
      <c r="W127" s="47"/>
      <c r="X127" s="47"/>
      <c r="Y127" s="47"/>
      <c r="AB127" s="47"/>
      <c r="AC127" s="47"/>
      <c r="AD127" s="47"/>
      <c r="AE127" s="47"/>
    </row>
    <row r="128" spans="1:45" ht="14.25" customHeight="1" x14ac:dyDescent="0.3">
      <c r="B128" s="29" t="s">
        <v>444</v>
      </c>
      <c r="D128" s="286">
        <f>D94</f>
        <v>1.2130000000000001</v>
      </c>
      <c r="E128" s="286">
        <f>E94</f>
        <v>1.3420000000000001</v>
      </c>
      <c r="F128" s="286">
        <f>F94</f>
        <v>1.5489999999999999</v>
      </c>
      <c r="G128" s="286">
        <f>G94</f>
        <v>1.262</v>
      </c>
      <c r="H128" s="297">
        <f>H94</f>
        <v>5.3659999999999997</v>
      </c>
      <c r="J128" s="286">
        <f>J94</f>
        <v>1.714</v>
      </c>
      <c r="K128" s="286">
        <f>K94</f>
        <v>2.2410000000000001</v>
      </c>
      <c r="L128" s="286">
        <f>L94</f>
        <v>2.0659999999999998</v>
      </c>
      <c r="M128" s="286">
        <f>M94</f>
        <v>2.0710000000000002</v>
      </c>
      <c r="N128" s="297">
        <f>N94</f>
        <v>8.0920000000000005</v>
      </c>
      <c r="P128" s="286">
        <f>P94</f>
        <v>2.5179999999999998</v>
      </c>
      <c r="Q128" s="286">
        <f>Q94</f>
        <v>2.1659999999999999</v>
      </c>
      <c r="R128" s="286">
        <f>R94</f>
        <v>2.3889999999999998</v>
      </c>
      <c r="S128" s="286">
        <f>S94</f>
        <v>2.8940000000000001</v>
      </c>
      <c r="T128" s="297">
        <f>T94</f>
        <v>9.9670000000000005</v>
      </c>
      <c r="U128" s="191"/>
      <c r="V128" s="286">
        <f>V94</f>
        <v>3.0169999999999999</v>
      </c>
      <c r="W128" s="286">
        <f>W94</f>
        <v>3.339</v>
      </c>
      <c r="X128" s="286">
        <f>X94</f>
        <v>3.3570789266905345</v>
      </c>
      <c r="Y128" s="286">
        <f>Y94</f>
        <v>3.366535318962868</v>
      </c>
      <c r="Z128" s="297">
        <f>Z94</f>
        <v>13.079614245653403</v>
      </c>
      <c r="AB128" s="286">
        <f>AB94</f>
        <v>3.29812352643295</v>
      </c>
      <c r="AC128" s="286">
        <f>AC94</f>
        <v>3.3418523934111195</v>
      </c>
      <c r="AD128" s="286">
        <f>AD94</f>
        <v>3.3496209742463665</v>
      </c>
      <c r="AE128" s="286">
        <f>AE94</f>
        <v>3.3455094255091731</v>
      </c>
      <c r="AF128" s="297">
        <f>AF94</f>
        <v>13.335106319599609</v>
      </c>
      <c r="AH128" s="297">
        <f>AH94</f>
        <v>12.499356192947026</v>
      </c>
      <c r="AJ128" s="297">
        <f>AJ94</f>
        <v>13.150887966671032</v>
      </c>
      <c r="AL128" s="297">
        <f>AL94</f>
        <v>13.263185821509472</v>
      </c>
    </row>
    <row r="129" spans="1:38" ht="14.25" customHeight="1" x14ac:dyDescent="0.25">
      <c r="D129" s="47"/>
      <c r="E129" s="47"/>
      <c r="F129" s="47"/>
      <c r="G129" s="47"/>
      <c r="H129" s="298"/>
      <c r="J129" s="47"/>
      <c r="K129" s="47"/>
      <c r="L129" s="47"/>
      <c r="M129" s="47"/>
      <c r="N129" s="298"/>
      <c r="P129" s="47"/>
      <c r="Q129" s="47"/>
      <c r="R129" s="47"/>
      <c r="S129" s="47"/>
      <c r="T129" s="298"/>
      <c r="U129" s="191"/>
      <c r="V129" s="47"/>
      <c r="W129" s="47"/>
      <c r="X129" s="47"/>
      <c r="Y129" s="47"/>
      <c r="AB129" s="47"/>
      <c r="AC129" s="47"/>
      <c r="AD129" s="47"/>
      <c r="AE129" s="47"/>
    </row>
    <row r="130" spans="1:38" ht="14.25" customHeight="1" x14ac:dyDescent="0.3">
      <c r="B130" s="29" t="s">
        <v>511</v>
      </c>
      <c r="D130" s="286">
        <f>D97</f>
        <v>1.3740000000000001</v>
      </c>
      <c r="E130" s="286">
        <f>E97</f>
        <v>1.9690000000000001</v>
      </c>
      <c r="F130" s="286">
        <f>F97</f>
        <v>1.893</v>
      </c>
      <c r="G130" s="286">
        <f>G97</f>
        <v>2.4940000000000002</v>
      </c>
      <c r="H130" s="297">
        <f>H97</f>
        <v>7.73</v>
      </c>
      <c r="J130" s="286">
        <f>J97</f>
        <v>2.0680000000000001</v>
      </c>
      <c r="K130" s="286">
        <f>K97</f>
        <v>2.0169999999999999</v>
      </c>
      <c r="L130" s="286">
        <f>L97</f>
        <v>10.581</v>
      </c>
      <c r="M130" s="286">
        <f>M97</f>
        <v>12.672000000000001</v>
      </c>
      <c r="N130" s="297">
        <f>N97</f>
        <v>27.338000000000001</v>
      </c>
      <c r="P130" s="286">
        <f>P97</f>
        <v>14.569000000000001</v>
      </c>
      <c r="Q130" s="286">
        <f>Q97</f>
        <v>14.342000000000001</v>
      </c>
      <c r="R130" s="286">
        <f>R97</f>
        <v>11.881</v>
      </c>
      <c r="S130" s="286">
        <f>S97</f>
        <v>8.7840000000000007</v>
      </c>
      <c r="T130" s="297">
        <f>T97</f>
        <v>49.576000000000001</v>
      </c>
      <c r="U130" s="191"/>
      <c r="V130" s="286">
        <f>V97</f>
        <v>9.8170000000000002</v>
      </c>
      <c r="W130" s="286">
        <f>W97</f>
        <v>9.77</v>
      </c>
      <c r="X130" s="286">
        <f>X97</f>
        <v>12.785139878773913</v>
      </c>
      <c r="Y130" s="286">
        <f>Y97</f>
        <v>15.088033463113188</v>
      </c>
      <c r="Z130" s="297">
        <f>Z97</f>
        <v>47.460173341887099</v>
      </c>
      <c r="AB130" s="286">
        <f>AB97</f>
        <v>10.475842808791912</v>
      </c>
      <c r="AC130" s="286">
        <f>AC97</f>
        <v>12.59008123970505</v>
      </c>
      <c r="AD130" s="286">
        <f>AD97</f>
        <v>15.234290568878412</v>
      </c>
      <c r="AE130" s="286">
        <f>AE97</f>
        <v>18.18439180931254</v>
      </c>
      <c r="AF130" s="297">
        <f>AF97</f>
        <v>56.484606426687918</v>
      </c>
      <c r="AH130" s="297">
        <f>AH97</f>
        <v>73.181498619348346</v>
      </c>
      <c r="AJ130" s="297">
        <f>AJ97</f>
        <v>80.665985602031782</v>
      </c>
      <c r="AL130" s="297">
        <f>AL97</f>
        <v>93.546666288069801</v>
      </c>
    </row>
    <row r="131" spans="1:38" ht="14.25" customHeight="1" x14ac:dyDescent="0.25">
      <c r="D131" s="47"/>
      <c r="E131" s="47"/>
      <c r="F131" s="47"/>
      <c r="G131" s="47"/>
      <c r="H131" s="298"/>
      <c r="J131" s="47"/>
      <c r="K131" s="47"/>
      <c r="L131" s="47"/>
      <c r="M131" s="47"/>
      <c r="N131" s="298"/>
      <c r="P131" s="47"/>
      <c r="Q131" s="47"/>
      <c r="R131" s="47"/>
      <c r="S131" s="47"/>
      <c r="T131" s="298"/>
      <c r="U131" s="191"/>
      <c r="V131" s="47"/>
      <c r="W131" s="47"/>
      <c r="X131" s="47"/>
      <c r="Y131" s="47"/>
      <c r="AB131" s="47"/>
      <c r="AC131" s="47"/>
      <c r="AD131" s="47"/>
      <c r="AE131" s="47"/>
    </row>
    <row r="132" spans="1:38" ht="14.25" customHeight="1" x14ac:dyDescent="0.3">
      <c r="B132" s="29" t="s">
        <v>501</v>
      </c>
      <c r="D132" s="286">
        <f>D103</f>
        <v>-27.456000000000003</v>
      </c>
      <c r="E132" s="286">
        <f>E103</f>
        <v>-55.363</v>
      </c>
      <c r="F132" s="286">
        <f>F103</f>
        <v>-33.305999999999983</v>
      </c>
      <c r="G132" s="286">
        <f>G103</f>
        <v>-21.900000000000002</v>
      </c>
      <c r="H132" s="297">
        <f>H103</f>
        <v>-138.02500000000003</v>
      </c>
      <c r="J132" s="286">
        <f>J103</f>
        <v>-39.071999999999996</v>
      </c>
      <c r="K132" s="286">
        <f>K103</f>
        <v>-26.92</v>
      </c>
      <c r="L132" s="286">
        <f>L103</f>
        <v>-61.785000000000004</v>
      </c>
      <c r="M132" s="286">
        <f>M103</f>
        <v>-60.647000000000006</v>
      </c>
      <c r="N132" s="297">
        <f>N103</f>
        <v>-188.42399999999998</v>
      </c>
      <c r="P132" s="286">
        <f>P103</f>
        <v>-57.225000000000001</v>
      </c>
      <c r="Q132" s="286">
        <f>Q103</f>
        <v>13.832999999999995</v>
      </c>
      <c r="R132" s="286">
        <f>R103</f>
        <v>-59.045999999999999</v>
      </c>
      <c r="S132" s="286">
        <f>S103</f>
        <v>25.967999999999996</v>
      </c>
      <c r="T132" s="297">
        <f>T103</f>
        <v>-76.47</v>
      </c>
      <c r="U132" s="191"/>
      <c r="V132" s="286">
        <f>V103</f>
        <v>-38.494</v>
      </c>
      <c r="W132" s="286">
        <f>W103</f>
        <v>-89.16</v>
      </c>
      <c r="X132" s="286">
        <f>X103</f>
        <v>-38.282551476215801</v>
      </c>
      <c r="Y132" s="286">
        <f>Y103</f>
        <v>-63.752663646552286</v>
      </c>
      <c r="Z132" s="297">
        <f>Z103</f>
        <v>-229.6892151227681</v>
      </c>
      <c r="AB132" s="286">
        <f>AB103</f>
        <v>91.5289049944449</v>
      </c>
      <c r="AC132" s="286">
        <f>AC103</f>
        <v>-42.938252857835927</v>
      </c>
      <c r="AD132" s="286">
        <f>AD103</f>
        <v>-36.893110271698504</v>
      </c>
      <c r="AE132" s="286">
        <f>AE103</f>
        <v>-48.357573807685675</v>
      </c>
      <c r="AF132" s="297">
        <f>AF103</f>
        <v>-36.660031942775205</v>
      </c>
      <c r="AH132" s="297">
        <f>AH103</f>
        <v>-10.255681807799055</v>
      </c>
      <c r="AJ132" s="297">
        <f>AJ103</f>
        <v>-22.686053222637049</v>
      </c>
      <c r="AL132" s="297">
        <f>AL103</f>
        <v>-14.528405752970377</v>
      </c>
    </row>
    <row r="133" spans="1:38" ht="14.25" customHeight="1" x14ac:dyDescent="0.25">
      <c r="D133" s="47"/>
      <c r="E133" s="47"/>
      <c r="F133" s="47"/>
      <c r="G133" s="47"/>
      <c r="H133" s="298"/>
      <c r="J133" s="47"/>
      <c r="K133" s="47"/>
      <c r="L133" s="47"/>
      <c r="M133" s="47"/>
      <c r="N133" s="298"/>
      <c r="P133" s="47"/>
      <c r="Q133" s="47"/>
      <c r="R133" s="47"/>
      <c r="S133" s="47"/>
      <c r="T133" s="298"/>
      <c r="U133" s="191"/>
      <c r="V133" s="47"/>
      <c r="W133" s="47"/>
      <c r="X133" s="47"/>
      <c r="Y133" s="47"/>
      <c r="AB133" s="47"/>
      <c r="AC133" s="47"/>
      <c r="AD133" s="47"/>
      <c r="AE133" s="47"/>
    </row>
    <row r="134" spans="1:38" ht="14.25" customHeight="1" x14ac:dyDescent="0.3">
      <c r="B134" s="29" t="s">
        <v>512</v>
      </c>
      <c r="D134" s="47">
        <f>D106+D109</f>
        <v>-3.5840000000000001</v>
      </c>
      <c r="E134" s="47">
        <f>E106+E109</f>
        <v>-2.125</v>
      </c>
      <c r="F134" s="47">
        <f>F106+F109</f>
        <v>-13.787000000000001</v>
      </c>
      <c r="G134" s="47">
        <f>G106+G109</f>
        <v>-73.024000000000001</v>
      </c>
      <c r="H134" s="66">
        <f>H106+H109</f>
        <v>-92.64</v>
      </c>
      <c r="J134" s="47">
        <f>J106+J109</f>
        <v>-15.05</v>
      </c>
      <c r="K134" s="47">
        <f>K106+K109</f>
        <v>-7.8680000000000003</v>
      </c>
      <c r="L134" s="47">
        <f>L106+L109</f>
        <v>-28.228000000000002</v>
      </c>
      <c r="M134" s="47">
        <f>M106+M109</f>
        <v>-13.192</v>
      </c>
      <c r="N134" s="66">
        <f>N106+N109</f>
        <v>-64.275999999999996</v>
      </c>
      <c r="P134" s="47">
        <f>P106+P109</f>
        <v>-26.087</v>
      </c>
      <c r="Q134" s="47">
        <f>Q106+Q109</f>
        <v>-13.577</v>
      </c>
      <c r="R134" s="47">
        <f>R106+R109</f>
        <v>-33.366999999999997</v>
      </c>
      <c r="S134" s="47">
        <f>S106+S109</f>
        <v>-12.917</v>
      </c>
      <c r="T134" s="66">
        <f>T106+T109</f>
        <v>-85.003</v>
      </c>
      <c r="U134" s="191"/>
      <c r="V134" s="47">
        <f>V106+V109</f>
        <v>-17.100999999999999</v>
      </c>
      <c r="W134" s="47">
        <f>W106+W109</f>
        <v>-15.141</v>
      </c>
      <c r="X134" s="47">
        <f>X106+X109</f>
        <v>-24.8269877498327</v>
      </c>
      <c r="Y134" s="47">
        <f>Y106+Y109</f>
        <v>-25.586335215007825</v>
      </c>
      <c r="Z134" s="66">
        <f>Z106+Z109</f>
        <v>-82.655322964840522</v>
      </c>
      <c r="AB134" s="47">
        <f>AB106+AB109</f>
        <v>-17.706432980806262</v>
      </c>
      <c r="AC134" s="47">
        <f>AC106+AC109</f>
        <v>-21.851083596591565</v>
      </c>
      <c r="AD134" s="47">
        <f>AD106+AD109</f>
        <v>-26.813210127597781</v>
      </c>
      <c r="AE134" s="47">
        <f>AE106+AE109</f>
        <v>-31.437817196239379</v>
      </c>
      <c r="AF134" s="66">
        <f>AF106+AF109</f>
        <v>-97.808543901234984</v>
      </c>
      <c r="AH134" s="66">
        <f>AH106+AH109</f>
        <v>-126.94184982923294</v>
      </c>
      <c r="AJ134" s="66">
        <f>AJ106+AJ109</f>
        <v>-140.26704672417861</v>
      </c>
      <c r="AL134" s="66">
        <f>AL106+AL109</f>
        <v>-158.29587584800109</v>
      </c>
    </row>
    <row r="135" spans="1:38" ht="14.25" customHeight="1" x14ac:dyDescent="0.25">
      <c r="D135" s="300"/>
      <c r="E135" s="300"/>
      <c r="F135" s="300"/>
      <c r="G135" s="300"/>
      <c r="H135" s="298"/>
      <c r="J135" s="300"/>
      <c r="K135" s="300"/>
      <c r="L135" s="300"/>
      <c r="M135" s="300"/>
      <c r="N135" s="298"/>
      <c r="P135" s="300"/>
      <c r="Q135" s="300"/>
      <c r="R135" s="300"/>
      <c r="S135" s="300"/>
      <c r="T135" s="298"/>
      <c r="U135" s="322"/>
      <c r="V135" s="300"/>
      <c r="W135" s="300"/>
      <c r="X135" s="276"/>
      <c r="Y135" s="276"/>
      <c r="AB135" s="276"/>
      <c r="AC135" s="276"/>
      <c r="AD135" s="276"/>
      <c r="AE135" s="276"/>
    </row>
    <row r="136" spans="1:38" ht="14.25" customHeight="1" x14ac:dyDescent="0.25">
      <c r="B136" s="278" t="s">
        <v>513</v>
      </c>
      <c r="C136" s="279"/>
      <c r="D136" s="301">
        <f>D126+D94+D97+D103+D134</f>
        <v>-32.845049763033181</v>
      </c>
      <c r="E136" s="301">
        <f>E126+E94+E97+E103+E134</f>
        <v>-40.333097183098587</v>
      </c>
      <c r="F136" s="301">
        <f>F126+F94+F97+F103+F134</f>
        <v>-19.629393531221403</v>
      </c>
      <c r="G136" s="301">
        <f>G126+G94+G97+G103+G134</f>
        <v>-77.427585095137417</v>
      </c>
      <c r="H136" s="301">
        <f>H126+H94+H97+H103+H134</f>
        <v>-171.72758096536137</v>
      </c>
      <c r="I136" s="279"/>
      <c r="J136" s="301">
        <f>J126+J94+J97+J103+J134</f>
        <v>-43.747806069160191</v>
      </c>
      <c r="K136" s="301">
        <f>K126+K94+K97+K103+K134</f>
        <v>-5.3143634809283196</v>
      </c>
      <c r="L136" s="301">
        <f>L126+L94+L97+L103+L134</f>
        <v>-45.07132882162162</v>
      </c>
      <c r="M136" s="301">
        <f>M126+M94+M97+M103+M134</f>
        <v>-41.83267859160614</v>
      </c>
      <c r="N136" s="301">
        <f>N126+N94+N97+N103+N134</f>
        <v>-137.49706369681633</v>
      </c>
      <c r="O136" s="279"/>
      <c r="P136" s="301">
        <f>P126+P94+P97+P103+P134</f>
        <v>-45.250434291074598</v>
      </c>
      <c r="Q136" s="301">
        <f>Q126+Q94+Q97+Q103+Q134</f>
        <v>45.722369647894411</v>
      </c>
      <c r="R136" s="301">
        <f>R126+R94+R97+R103+R134</f>
        <v>-38.127169198242065</v>
      </c>
      <c r="S136" s="301">
        <f>S126+S94+S97+S103+S134</f>
        <v>54.687954678551037</v>
      </c>
      <c r="T136" s="301">
        <f>T126+T94+T97+T103+T134</f>
        <v>16.513302499057076</v>
      </c>
      <c r="U136" s="279"/>
      <c r="V136" s="301">
        <f>V126+V94+V97+V103+V134</f>
        <v>-19.155991482582834</v>
      </c>
      <c r="W136" s="301">
        <f>W126+W94+W97+W103+W134</f>
        <v>-60.668394369222945</v>
      </c>
      <c r="X136" s="301">
        <f t="shared" ref="X136:AH136" si="72">X126+X128+X130+X132+X134</f>
        <v>-6.3713013364621283</v>
      </c>
      <c r="Y136" s="301">
        <f t="shared" si="72"/>
        <v>-26.315183595639549</v>
      </c>
      <c r="Z136" s="301">
        <f t="shared" si="72"/>
        <v>-112.51087078390749</v>
      </c>
      <c r="AA136" s="301"/>
      <c r="AB136" s="301">
        <f>AB126+AB128+AB130+AB132+AB134</f>
        <v>117.48140814886352</v>
      </c>
      <c r="AC136" s="301">
        <f t="shared" si="72"/>
        <v>-11.511898021311325</v>
      </c>
      <c r="AD136" s="301">
        <f t="shared" si="72"/>
        <v>-1.0714094244647363</v>
      </c>
      <c r="AE136" s="301">
        <f t="shared" si="72"/>
        <v>-5.4042904510552248</v>
      </c>
      <c r="AF136" s="301">
        <f t="shared" si="72"/>
        <v>99.493810252032247</v>
      </c>
      <c r="AG136" s="301"/>
      <c r="AH136" s="301">
        <f t="shared" si="72"/>
        <v>142.71881997247334</v>
      </c>
      <c r="AI136" s="301"/>
      <c r="AJ136" s="301">
        <f t="shared" ref="AJ136" si="73">AJ126+AJ128+AJ130+AJ132+AJ134</f>
        <v>157.47185321863208</v>
      </c>
      <c r="AK136" s="301"/>
      <c r="AL136" s="301">
        <f t="shared" ref="AL136" si="74">AL126+AL128+AL130+AL132+AL134</f>
        <v>194.58486204486442</v>
      </c>
    </row>
    <row r="138" spans="1:38" s="42" customFormat="1" ht="15" customHeight="1" x14ac:dyDescent="0.3">
      <c r="A138" s="31" t="s">
        <v>38</v>
      </c>
      <c r="B138" s="147" t="s">
        <v>514</v>
      </c>
      <c r="C138" s="19"/>
      <c r="D138" s="148"/>
      <c r="E138" s="148"/>
      <c r="F138" s="148"/>
      <c r="G138" s="148"/>
      <c r="H138" s="148"/>
      <c r="I138" s="19"/>
      <c r="J138" s="148"/>
      <c r="K138" s="148"/>
      <c r="L138" s="148"/>
      <c r="M138" s="148"/>
      <c r="N138" s="148"/>
      <c r="O138" s="19"/>
      <c r="P138" s="148"/>
      <c r="Q138" s="148"/>
      <c r="R138" s="148"/>
      <c r="S138" s="148"/>
      <c r="T138" s="148"/>
      <c r="U138" s="19"/>
      <c r="V138" s="148"/>
      <c r="W138" s="148"/>
      <c r="X138" s="148"/>
      <c r="Y138" s="148"/>
      <c r="Z138" s="148"/>
      <c r="AA138" s="19"/>
      <c r="AB138" s="148"/>
      <c r="AC138" s="148"/>
      <c r="AD138" s="148"/>
      <c r="AE138" s="148"/>
      <c r="AF138" s="148"/>
      <c r="AG138" s="19"/>
      <c r="AH138" s="148"/>
      <c r="AI138" s="19"/>
      <c r="AJ138" s="149"/>
      <c r="AK138" s="19"/>
      <c r="AL138" s="149"/>
    </row>
    <row r="139" spans="1:38" s="42" customFormat="1" ht="15" customHeight="1" x14ac:dyDescent="0.3">
      <c r="B139" s="150"/>
      <c r="C139" s="19"/>
      <c r="D139" s="151"/>
      <c r="E139" s="151"/>
      <c r="F139" s="151"/>
      <c r="G139" s="151"/>
      <c r="H139" s="151"/>
      <c r="I139" s="155"/>
      <c r="J139" s="151"/>
      <c r="K139" s="151"/>
      <c r="L139" s="151"/>
      <c r="M139" s="151"/>
      <c r="N139" s="151"/>
      <c r="O139" s="155"/>
      <c r="P139" s="151"/>
      <c r="Q139" s="151"/>
      <c r="R139" s="151"/>
      <c r="S139" s="151"/>
      <c r="T139" s="151"/>
      <c r="U139" s="155"/>
      <c r="V139" s="802">
        <f>V$8</f>
        <v>2025</v>
      </c>
      <c r="W139" s="802">
        <f>X139</f>
        <v>0</v>
      </c>
      <c r="X139" s="802">
        <f>X$8</f>
        <v>0</v>
      </c>
      <c r="Y139" s="802">
        <f>X139</f>
        <v>0</v>
      </c>
      <c r="Z139" s="802">
        <f>X139</f>
        <v>0</v>
      </c>
      <c r="AA139" s="155"/>
      <c r="AB139" s="802">
        <f>AB$8</f>
        <v>2026</v>
      </c>
      <c r="AC139" s="802">
        <f>AD139</f>
        <v>0</v>
      </c>
      <c r="AD139" s="802">
        <f>AD$8</f>
        <v>0</v>
      </c>
      <c r="AE139" s="802">
        <f>AD139</f>
        <v>0</v>
      </c>
      <c r="AF139" s="802">
        <f>AD139</f>
        <v>0</v>
      </c>
      <c r="AG139" s="157"/>
      <c r="AH139" s="152">
        <f>AH$8</f>
        <v>2027</v>
      </c>
      <c r="AI139" s="153"/>
      <c r="AJ139" s="152">
        <f>AJ$8</f>
        <v>2028</v>
      </c>
      <c r="AK139" s="153"/>
      <c r="AL139" s="152">
        <f>AL$8</f>
        <v>2029</v>
      </c>
    </row>
    <row r="140" spans="1:38" s="42" customFormat="1" ht="14.25" customHeight="1" x14ac:dyDescent="0.3">
      <c r="B140" s="150"/>
      <c r="C140" s="19"/>
      <c r="D140" s="154"/>
      <c r="E140" s="154"/>
      <c r="F140" s="154"/>
      <c r="G140" s="154"/>
      <c r="H140" s="154"/>
      <c r="I140" s="151"/>
      <c r="J140" s="154"/>
      <c r="K140" s="154"/>
      <c r="L140" s="154"/>
      <c r="M140" s="154"/>
      <c r="N140" s="154"/>
      <c r="O140" s="151"/>
      <c r="P140" s="154"/>
      <c r="Q140" s="154"/>
      <c r="R140" s="154"/>
      <c r="S140" s="154"/>
      <c r="T140" s="154"/>
      <c r="U140" s="151"/>
      <c r="V140" s="154" t="s">
        <v>219</v>
      </c>
      <c r="W140" s="154" t="s">
        <v>220</v>
      </c>
      <c r="X140" s="154" t="s">
        <v>221</v>
      </c>
      <c r="Y140" s="154" t="s">
        <v>222</v>
      </c>
      <c r="Z140" s="154" t="s">
        <v>223</v>
      </c>
      <c r="AA140" s="151"/>
      <c r="AB140" s="154" t="s">
        <v>219</v>
      </c>
      <c r="AC140" s="154" t="s">
        <v>220</v>
      </c>
      <c r="AD140" s="154" t="s">
        <v>221</v>
      </c>
      <c r="AE140" s="154" t="s">
        <v>222</v>
      </c>
      <c r="AF140" s="154" t="s">
        <v>223</v>
      </c>
      <c r="AG140" s="151"/>
      <c r="AH140" s="154" t="s">
        <v>223</v>
      </c>
      <c r="AI140" s="151"/>
      <c r="AJ140" s="154" t="s">
        <v>223</v>
      </c>
      <c r="AK140" s="151"/>
      <c r="AL140" s="154" t="s">
        <v>223</v>
      </c>
    </row>
    <row r="141" spans="1:38" s="42" customFormat="1" ht="4.05" customHeight="1" x14ac:dyDescent="0.3">
      <c r="A141" s="44"/>
      <c r="B141" s="162"/>
      <c r="C141" s="36"/>
      <c r="D141" s="163"/>
      <c r="E141" s="163"/>
      <c r="F141" s="163"/>
      <c r="G141" s="163"/>
      <c r="H141" s="163"/>
      <c r="I141" s="164"/>
      <c r="J141" s="163"/>
      <c r="K141" s="163"/>
      <c r="L141" s="163"/>
      <c r="M141" s="163"/>
      <c r="N141" s="163"/>
      <c r="O141" s="164"/>
      <c r="P141" s="163"/>
      <c r="Q141" s="163"/>
      <c r="R141" s="163"/>
      <c r="S141" s="163"/>
      <c r="T141" s="163"/>
      <c r="U141" s="164"/>
      <c r="V141" s="163"/>
      <c r="W141" s="163"/>
      <c r="X141" s="163"/>
      <c r="Y141" s="163"/>
      <c r="Z141" s="165"/>
      <c r="AA141" s="166"/>
      <c r="AB141" s="165"/>
      <c r="AC141" s="165"/>
      <c r="AD141" s="165"/>
      <c r="AE141" s="165"/>
      <c r="AF141" s="165"/>
      <c r="AG141" s="166"/>
      <c r="AH141" s="165"/>
      <c r="AI141" s="166"/>
      <c r="AJ141" s="165"/>
      <c r="AK141" s="166"/>
      <c r="AL141" s="165"/>
    </row>
    <row r="142" spans="1:38" ht="4.05" customHeight="1" x14ac:dyDescent="0.25"/>
    <row r="143" spans="1:38" ht="14.25" customHeight="1" x14ac:dyDescent="0.3">
      <c r="B143" s="147" t="s">
        <v>515</v>
      </c>
      <c r="C143" s="172"/>
      <c r="D143" s="272"/>
      <c r="E143" s="272"/>
      <c r="F143" s="272"/>
      <c r="G143" s="272"/>
      <c r="H143" s="272"/>
      <c r="I143" s="172"/>
      <c r="J143" s="272"/>
      <c r="K143" s="272"/>
      <c r="L143" s="272"/>
      <c r="M143" s="272"/>
      <c r="N143" s="272"/>
      <c r="O143" s="172"/>
      <c r="P143" s="272"/>
      <c r="Q143" s="272"/>
      <c r="R143" s="272"/>
      <c r="S143" s="272"/>
      <c r="T143" s="272"/>
      <c r="U143" s="172"/>
      <c r="V143" s="272"/>
      <c r="W143" s="272"/>
      <c r="X143" s="272"/>
      <c r="Y143" s="272"/>
      <c r="Z143" s="272"/>
      <c r="AA143" s="172"/>
      <c r="AB143" s="272"/>
      <c r="AC143" s="272"/>
      <c r="AD143" s="272"/>
      <c r="AE143" s="272"/>
      <c r="AF143" s="272"/>
      <c r="AG143" s="172"/>
      <c r="AH143" s="272"/>
      <c r="AI143" s="172"/>
      <c r="AJ143" s="273"/>
      <c r="AK143" s="272"/>
      <c r="AL143" s="272"/>
    </row>
    <row r="144" spans="1:38" ht="4.05" customHeight="1" x14ac:dyDescent="0.25">
      <c r="B144" s="274"/>
      <c r="C144" s="37"/>
      <c r="D144" s="274"/>
      <c r="E144" s="274"/>
      <c r="F144" s="274"/>
      <c r="G144" s="274"/>
      <c r="H144" s="274"/>
      <c r="I144" s="37"/>
      <c r="J144" s="274"/>
      <c r="K144" s="274"/>
      <c r="L144" s="274"/>
      <c r="M144" s="274"/>
      <c r="N144" s="274"/>
      <c r="O144" s="37"/>
      <c r="P144" s="274"/>
      <c r="Q144" s="274"/>
      <c r="R144" s="274"/>
      <c r="S144" s="274"/>
      <c r="T144" s="274"/>
      <c r="U144" s="37"/>
      <c r="V144" s="274"/>
      <c r="W144" s="274"/>
      <c r="X144" s="274"/>
      <c r="Y144" s="274"/>
      <c r="Z144" s="274"/>
      <c r="AA144" s="37"/>
      <c r="AB144" s="274"/>
      <c r="AC144" s="274"/>
      <c r="AD144" s="274"/>
      <c r="AE144" s="274"/>
      <c r="AF144" s="274"/>
      <c r="AG144" s="37"/>
      <c r="AH144" s="274"/>
      <c r="AI144" s="37"/>
      <c r="AJ144" s="275"/>
      <c r="AK144" s="274"/>
      <c r="AL144" s="274"/>
    </row>
    <row r="146" spans="2:38" ht="14.25" customHeight="1" x14ac:dyDescent="0.25">
      <c r="B146" s="96" t="s">
        <v>516</v>
      </c>
      <c r="V146" s="283"/>
      <c r="W146" s="283"/>
      <c r="X146" s="735">
        <v>4.4444444444444446E-2</v>
      </c>
      <c r="Y146" s="735">
        <v>0.20833333333333334</v>
      </c>
      <c r="Z146" s="283"/>
      <c r="AB146" s="283">
        <v>0.3888888888888889</v>
      </c>
      <c r="AC146" s="283">
        <v>0.63888888888888884</v>
      </c>
      <c r="AD146" s="283">
        <v>0.88888888888888884</v>
      </c>
      <c r="AE146" s="283">
        <v>1.1111111111111112</v>
      </c>
      <c r="AF146" s="283"/>
      <c r="AG146" s="283"/>
      <c r="AH146" s="283">
        <v>2.1388888888888888</v>
      </c>
      <c r="AJ146" s="283">
        <v>3.1388888888888888</v>
      </c>
      <c r="AL146" s="283">
        <v>4.1388888888888893</v>
      </c>
    </row>
    <row r="147" spans="2:38" ht="14.25" customHeight="1" x14ac:dyDescent="0.25">
      <c r="B147" s="96" t="s">
        <v>517</v>
      </c>
      <c r="X147" s="283">
        <v>2.2222222222222223E-2</v>
      </c>
      <c r="Y147" s="283">
        <v>0.12638888888888888</v>
      </c>
      <c r="Z147" s="283"/>
      <c r="AB147" s="283">
        <v>0.2986111111111111</v>
      </c>
      <c r="AC147" s="283">
        <v>0.51388888888888884</v>
      </c>
      <c r="AD147" s="283">
        <v>0.76388888888888884</v>
      </c>
      <c r="AE147" s="283">
        <v>1</v>
      </c>
      <c r="AF147" s="283"/>
      <c r="AH147" s="283">
        <v>1.625</v>
      </c>
      <c r="AJ147" s="283">
        <v>2.6388888888888888</v>
      </c>
      <c r="AL147" s="283">
        <v>3.6388888888888893</v>
      </c>
    </row>
    <row r="149" spans="2:38" ht="14.25" customHeight="1" x14ac:dyDescent="0.25">
      <c r="B149" s="96" t="s">
        <v>518</v>
      </c>
      <c r="V149" s="281"/>
      <c r="W149" s="281"/>
      <c r="X149" s="282">
        <f>WACC!$D$39+Sensitivity!U41</f>
        <v>8.9035072477228472E-2</v>
      </c>
      <c r="Y149" s="282">
        <f>WACC!$D$39+Sensitivity!U41</f>
        <v>8.9035072477228472E-2</v>
      </c>
      <c r="AB149" s="280">
        <f>WACC!$E$39+Sensitivity!U41</f>
        <v>8.9276308958484207E-2</v>
      </c>
      <c r="AC149" s="280">
        <f>WACC!$E$39+Sensitivity!U41</f>
        <v>8.9276308958484207E-2</v>
      </c>
      <c r="AD149" s="280">
        <f>WACC!$E$39+Sensitivity!U41</f>
        <v>8.9276308958484207E-2</v>
      </c>
      <c r="AE149" s="280">
        <f>WACC!$E$39+Sensitivity!U41</f>
        <v>8.9276308958484207E-2</v>
      </c>
      <c r="AF149" s="280"/>
      <c r="AH149" s="280">
        <f>WACC!$F$39+Sensitivity!U41</f>
        <v>8.6275175308482055E-2</v>
      </c>
      <c r="AJ149" s="280">
        <f>WACC!$G$39+Sensitivity!U41</f>
        <v>7.6718966011578335E-2</v>
      </c>
      <c r="AL149" s="280">
        <f>WACC!$H$39+Sensitivity!U41</f>
        <v>7.7817253363357874E-2</v>
      </c>
    </row>
    <row r="150" spans="2:38" ht="14.25" customHeight="1" x14ac:dyDescent="0.25">
      <c r="B150" s="96" t="s">
        <v>519</v>
      </c>
      <c r="V150" s="281"/>
      <c r="W150" s="281"/>
      <c r="X150" s="283">
        <f>(1+X149)^X147</f>
        <v>1.0018971762451259</v>
      </c>
      <c r="Y150" s="283">
        <f>((1+X149)^X147)*((1+Y149)^Y147)</f>
        <v>1.012756018947047</v>
      </c>
      <c r="Z150" s="284"/>
      <c r="AB150" s="284">
        <f>((1+X149)^X147)*((1+Y149)^Y147)*((1+AB149)^AB147)</f>
        <v>1.0389500533888625</v>
      </c>
      <c r="AC150" s="284">
        <f>((1+X149)^X147)*((1+Y149)^Y147)*((1+AB149)^AB147)*((1+AC149)^AC147)</f>
        <v>1.0856241734929399</v>
      </c>
      <c r="AD150" s="284">
        <f>((1+X149)^X147)*((1+Y149)^Y147)*((1+AB149)^AB147)*((1+AC149)^AC147)*((1+AD149)^AD147)</f>
        <v>1.1589077178696392</v>
      </c>
      <c r="AE150" s="284">
        <f>((1+X149)^X147)*((1+Y149)^Y147)*((1+AB149)^AB147)*((1+AC149)^AC147)*((1+AD149)^AD147)*((1+AE149)^AE147)</f>
        <v>1.262370721344541</v>
      </c>
      <c r="AF150" s="102"/>
      <c r="AH150" s="284">
        <f>((1+X149)^X147)*((1+Y149)^Y147)*((1+AB149)^AB147)*((1+AC149)^AC147)*((1+AD149)^AD147)*((1+AE149)^AE147)*((1+AH149)^AH147)</f>
        <v>1.4440730967607573</v>
      </c>
      <c r="AI150" s="284"/>
      <c r="AJ150" s="284">
        <f>((1+X149)^X147)*((1+Y149)^Y147)*((1+AB149)^AB147)*((1+AC149)^AC147)*((1+AD149)^AD147)*((1+AE149)^AE147)*((1+AH149)^AH147)*((1+AJ149)^AJ147)</f>
        <v>1.7551075978882353</v>
      </c>
      <c r="AK150" s="284"/>
      <c r="AL150" s="284">
        <f>((1+X149)^X147)*((1+Y149)^Y147)*((1+AB149)^AB147)*((1+AC149)^AC147)*((1+AD149)^AD147)*((1+AE149)^AE147)*((1+AH149)^AH147)*((1+AJ149)^AJ147)*((1+AL149)^AL147)</f>
        <v>2.3053234246380794</v>
      </c>
    </row>
    <row r="151" spans="2:38" s="102" customFormat="1" ht="14.25" customHeight="1" x14ac:dyDescent="0.25">
      <c r="C151" s="34"/>
      <c r="I151" s="34"/>
      <c r="O151" s="34"/>
      <c r="U151" s="34"/>
      <c r="AA151" s="34"/>
      <c r="AG151" s="34"/>
      <c r="AI151" s="34"/>
    </row>
    <row r="152" spans="2:38" ht="14.25" customHeight="1" x14ac:dyDescent="0.25">
      <c r="B152" s="285" t="s">
        <v>520</v>
      </c>
      <c r="C152" s="279"/>
      <c r="D152" s="277"/>
      <c r="E152" s="277"/>
      <c r="F152" s="277"/>
      <c r="G152" s="277"/>
      <c r="H152" s="277"/>
      <c r="I152" s="279"/>
      <c r="J152" s="277"/>
      <c r="K152" s="277"/>
      <c r="L152" s="277"/>
      <c r="M152" s="277"/>
      <c r="N152" s="277"/>
      <c r="O152" s="279"/>
      <c r="P152" s="277"/>
      <c r="Q152" s="277"/>
      <c r="R152" s="277"/>
      <c r="S152" s="277"/>
      <c r="T152" s="277"/>
      <c r="U152" s="279"/>
      <c r="V152" s="277"/>
      <c r="W152" s="277"/>
      <c r="X152" s="301">
        <f ca="1">X136/X150*(Inputs!$D$17-92-TODAY())/92</f>
        <v>26.957634021676995</v>
      </c>
      <c r="Y152" s="734">
        <f>Y136/Y150</f>
        <v>-25.983734584958775</v>
      </c>
      <c r="Z152" s="301"/>
      <c r="AA152" s="301"/>
      <c r="AB152" s="301">
        <f>AB136/AB150</f>
        <v>113.07705097628221</v>
      </c>
      <c r="AC152" s="301">
        <f>AC136/AC150</f>
        <v>-10.603944074193176</v>
      </c>
      <c r="AD152" s="301">
        <f>AD136/AD150</f>
        <v>-0.92449934360110519</v>
      </c>
      <c r="AE152" s="301">
        <f>AE136/AE150</f>
        <v>-4.2810644762888339</v>
      </c>
      <c r="AF152" s="301"/>
      <c r="AG152" s="301"/>
      <c r="AH152" s="301">
        <f>AH136/AH150</f>
        <v>98.830744989717005</v>
      </c>
      <c r="AI152" s="301"/>
      <c r="AJ152" s="301">
        <f>AJ136/AJ150</f>
        <v>89.722050891981738</v>
      </c>
      <c r="AK152" s="301"/>
      <c r="AL152" s="301">
        <f>AL136/AL150</f>
        <v>84.406751766474144</v>
      </c>
    </row>
    <row r="154" spans="2:38" ht="14.25" customHeight="1" x14ac:dyDescent="0.3">
      <c r="B154" s="147" t="s">
        <v>521</v>
      </c>
      <c r="C154" s="172"/>
      <c r="D154" s="272"/>
      <c r="E154" s="272"/>
      <c r="F154" s="272"/>
      <c r="G154" s="272"/>
      <c r="H154" s="272"/>
      <c r="I154" s="172"/>
      <c r="J154" s="272"/>
      <c r="K154" s="272"/>
      <c r="L154" s="272"/>
      <c r="M154" s="272"/>
      <c r="N154" s="272"/>
      <c r="O154" s="172"/>
      <c r="P154" s="272"/>
      <c r="Q154" s="272"/>
      <c r="R154" s="272"/>
      <c r="S154" s="272"/>
      <c r="T154" s="272"/>
      <c r="U154" s="172"/>
      <c r="V154" s="272"/>
      <c r="W154" s="272"/>
      <c r="X154" s="272"/>
      <c r="Y154" s="272"/>
      <c r="Z154" s="272"/>
      <c r="AA154" s="172"/>
      <c r="AB154" s="272"/>
      <c r="AC154" s="272"/>
      <c r="AD154" s="272"/>
      <c r="AE154" s="272"/>
      <c r="AF154" s="272"/>
      <c r="AG154" s="172"/>
      <c r="AH154" s="272"/>
      <c r="AI154" s="172"/>
      <c r="AJ154" s="273"/>
      <c r="AK154" s="272"/>
      <c r="AL154" s="272"/>
    </row>
    <row r="155" spans="2:38" ht="4.05" customHeight="1" x14ac:dyDescent="0.25">
      <c r="B155" s="274"/>
      <c r="C155" s="37"/>
      <c r="D155" s="274"/>
      <c r="E155" s="274"/>
      <c r="F155" s="274"/>
      <c r="G155" s="274"/>
      <c r="H155" s="274"/>
      <c r="I155" s="37"/>
      <c r="J155" s="274"/>
      <c r="K155" s="274"/>
      <c r="L155" s="274"/>
      <c r="M155" s="274"/>
      <c r="N155" s="274"/>
      <c r="O155" s="37"/>
      <c r="P155" s="274"/>
      <c r="Q155" s="274"/>
      <c r="R155" s="274"/>
      <c r="S155" s="274"/>
      <c r="T155" s="274"/>
      <c r="U155" s="37"/>
      <c r="V155" s="274"/>
      <c r="W155" s="274"/>
      <c r="X155" s="274"/>
      <c r="Y155" s="274"/>
      <c r="Z155" s="274"/>
      <c r="AA155" s="37"/>
      <c r="AB155" s="274"/>
      <c r="AC155" s="274"/>
      <c r="AD155" s="274"/>
      <c r="AE155" s="274"/>
      <c r="AF155" s="274"/>
      <c r="AG155" s="37"/>
      <c r="AH155" s="274"/>
      <c r="AI155" s="37"/>
      <c r="AJ155" s="275"/>
      <c r="AK155" s="274"/>
      <c r="AL155" s="274"/>
    </row>
    <row r="156" spans="2:38" ht="14.25" customHeight="1" x14ac:dyDescent="0.25">
      <c r="B156" s="281"/>
      <c r="C156" s="26"/>
      <c r="D156" s="281"/>
      <c r="E156" s="281"/>
      <c r="F156" s="281"/>
      <c r="G156" s="281"/>
      <c r="H156" s="281"/>
      <c r="I156" s="26"/>
      <c r="J156" s="281"/>
      <c r="K156" s="281"/>
      <c r="L156" s="281"/>
      <c r="M156" s="281"/>
      <c r="N156" s="281"/>
      <c r="O156" s="26"/>
      <c r="P156" s="281"/>
      <c r="Q156" s="281"/>
      <c r="R156" s="281"/>
      <c r="S156" s="281"/>
      <c r="T156" s="281"/>
    </row>
    <row r="157" spans="2:38" s="324" customFormat="1" ht="14.25" customHeight="1" x14ac:dyDescent="0.25">
      <c r="B157" s="327"/>
      <c r="C157" s="328"/>
      <c r="D157" s="327"/>
      <c r="E157" s="327"/>
      <c r="F157" s="327"/>
      <c r="G157" s="327"/>
      <c r="H157" s="329"/>
      <c r="I157" s="328"/>
      <c r="J157" s="327"/>
      <c r="K157" s="327"/>
      <c r="L157" s="327"/>
      <c r="M157" s="327"/>
      <c r="N157" s="327"/>
      <c r="O157" s="328"/>
      <c r="P157" s="327"/>
      <c r="Q157" s="595" t="s">
        <v>522</v>
      </c>
      <c r="R157" s="596" t="s">
        <v>523</v>
      </c>
      <c r="S157" s="327"/>
      <c r="T157" s="327"/>
      <c r="U157" s="325"/>
      <c r="V157" s="326" t="s">
        <v>524</v>
      </c>
      <c r="W157" s="326"/>
      <c r="X157" s="326"/>
      <c r="Y157" s="326"/>
      <c r="Z157" s="326"/>
      <c r="AB157" s="326" t="s">
        <v>525</v>
      </c>
      <c r="AC157" s="326"/>
      <c r="AD157" s="326"/>
      <c r="AE157" s="326"/>
      <c r="AF157" s="326"/>
      <c r="AG157" s="325"/>
      <c r="AH157" s="326" t="s">
        <v>526</v>
      </c>
      <c r="AI157" s="326"/>
      <c r="AJ157" s="326"/>
      <c r="AK157" s="326"/>
      <c r="AL157" s="326"/>
    </row>
    <row r="158" spans="2:38" ht="4.05" customHeight="1" x14ac:dyDescent="0.25">
      <c r="B158" s="281"/>
      <c r="C158" s="26"/>
      <c r="D158" s="281"/>
      <c r="E158" s="281"/>
      <c r="F158" s="281"/>
      <c r="G158" s="281"/>
      <c r="H158" s="281"/>
      <c r="I158" s="26"/>
      <c r="J158" s="281"/>
      <c r="K158" s="281"/>
      <c r="L158" s="281"/>
      <c r="M158" s="281"/>
      <c r="N158" s="281"/>
      <c r="O158" s="26"/>
      <c r="P158" s="281"/>
      <c r="Q158" s="281"/>
      <c r="R158" s="281"/>
      <c r="S158" s="281"/>
      <c r="T158" s="281"/>
      <c r="V158" s="274"/>
      <c r="W158" s="274"/>
      <c r="X158" s="274"/>
      <c r="Y158" s="274"/>
      <c r="Z158" s="274"/>
      <c r="AA158" s="96"/>
      <c r="AB158" s="274"/>
      <c r="AC158" s="274"/>
      <c r="AD158" s="274"/>
      <c r="AE158" s="274"/>
      <c r="AF158" s="274"/>
      <c r="AH158" s="274"/>
      <c r="AI158" s="274"/>
      <c r="AJ158" s="274"/>
      <c r="AK158" s="274"/>
      <c r="AL158" s="274"/>
    </row>
    <row r="159" spans="2:38" ht="14.25" customHeight="1" x14ac:dyDescent="0.25">
      <c r="B159" s="281"/>
      <c r="C159" s="26"/>
      <c r="D159" s="281"/>
      <c r="E159" s="281"/>
      <c r="F159" s="281"/>
      <c r="G159" s="281"/>
      <c r="H159" s="281"/>
      <c r="I159" s="26"/>
      <c r="M159" s="281"/>
      <c r="N159" s="281"/>
      <c r="O159" s="26"/>
      <c r="P159" s="281"/>
      <c r="Q159" s="281"/>
      <c r="R159" s="281"/>
      <c r="S159" s="281"/>
      <c r="T159" s="281"/>
      <c r="V159" s="96" t="s">
        <v>527</v>
      </c>
      <c r="Z159" s="341">
        <f>Inputs!M14</f>
        <v>14.15</v>
      </c>
      <c r="AB159" s="96" t="s">
        <v>528</v>
      </c>
      <c r="AF159" s="341">
        <f>Inputs!M13</f>
        <v>3.16</v>
      </c>
      <c r="AH159" s="96" t="s">
        <v>529</v>
      </c>
      <c r="AL159" s="313">
        <f>AL136/AJ136-1</f>
        <v>0.23568026963336153</v>
      </c>
    </row>
    <row r="160" spans="2:38" ht="14.25" customHeight="1" x14ac:dyDescent="0.25">
      <c r="B160" s="281"/>
      <c r="C160" s="26"/>
      <c r="D160" s="281"/>
      <c r="E160" s="281"/>
      <c r="F160" s="281"/>
      <c r="G160" s="281"/>
      <c r="H160" s="281"/>
      <c r="I160" s="26"/>
      <c r="M160" s="281"/>
      <c r="N160" s="281"/>
      <c r="O160" s="26"/>
      <c r="P160" s="281"/>
      <c r="Q160" s="281"/>
      <c r="R160" s="281"/>
      <c r="S160" s="281"/>
      <c r="T160" s="281"/>
      <c r="V160" s="96" t="s">
        <v>530</v>
      </c>
      <c r="Z160" s="330">
        <f>14.15*(1.25)</f>
        <v>17.6875</v>
      </c>
      <c r="AB160" s="96" t="s">
        <v>531</v>
      </c>
      <c r="AF160" s="330">
        <f>3.5</f>
        <v>3.5</v>
      </c>
      <c r="AH160" s="96" t="s">
        <v>532</v>
      </c>
      <c r="AL160" s="302">
        <v>0.04</v>
      </c>
    </row>
    <row r="161" spans="2:38" ht="14.25" customHeight="1" x14ac:dyDescent="0.25">
      <c r="B161" s="281"/>
      <c r="C161" s="26"/>
      <c r="D161" s="281"/>
      <c r="E161" s="281"/>
      <c r="F161" s="281"/>
      <c r="G161" s="281"/>
      <c r="H161" s="281"/>
      <c r="I161" s="26"/>
      <c r="M161" s="281"/>
      <c r="N161" s="281"/>
      <c r="O161" s="26"/>
      <c r="P161" s="281"/>
      <c r="Q161" s="281"/>
      <c r="R161" s="281" t="str">
        <f>R157</f>
        <v>Revenue Exit</v>
      </c>
      <c r="S161" s="281"/>
      <c r="T161" s="281"/>
      <c r="V161" s="96" t="s">
        <v>521</v>
      </c>
      <c r="Z161" s="298">
        <f>(Z160+Sensitivity!U43)*(AL122+AL128)</f>
        <v>5657.3572686856423</v>
      </c>
      <c r="AB161" s="96" t="s">
        <v>521</v>
      </c>
      <c r="AF161" s="298">
        <f>(AF160+Sensitivity!U44)*(AL31)</f>
        <v>6312.093566622133</v>
      </c>
      <c r="AH161" s="96" t="s">
        <v>521</v>
      </c>
      <c r="AL161" s="298">
        <f>AL136*(1+AL160+Sensitivity!U42)/(AL149-AL160-Sensitivity!U42)</f>
        <v>5351.2150811761203</v>
      </c>
    </row>
    <row r="162" spans="2:38" ht="14.25" customHeight="1" x14ac:dyDescent="0.25">
      <c r="B162" s="281"/>
      <c r="C162" s="26"/>
      <c r="D162" s="281"/>
      <c r="E162" s="281"/>
      <c r="F162" s="281"/>
      <c r="G162" s="281"/>
      <c r="H162" s="281"/>
      <c r="I162" s="26"/>
      <c r="M162" s="281"/>
      <c r="N162" s="281"/>
      <c r="O162" s="26"/>
      <c r="P162" s="281"/>
      <c r="Q162" s="281"/>
      <c r="R162" s="597">
        <f ca="1">IF($R$161="Revenue Exit",$AF$171,IF($R$161="EBITDA Exit",$Z$171,$AL$171))</f>
        <v>0.26175425759435278</v>
      </c>
      <c r="S162" s="281"/>
      <c r="T162" s="281"/>
      <c r="V162" s="331" t="s">
        <v>533</v>
      </c>
      <c r="W162" s="331"/>
      <c r="X162" s="331"/>
      <c r="Y162" s="331"/>
      <c r="Z162" s="332">
        <f>Z161/AL150</f>
        <v>2454.0405950084032</v>
      </c>
      <c r="AB162" s="331" t="s">
        <v>533</v>
      </c>
      <c r="AC162" s="331"/>
      <c r="AD162" s="331"/>
      <c r="AE162" s="331"/>
      <c r="AF162" s="332">
        <f>AF161/AL150</f>
        <v>2738.0511988737935</v>
      </c>
      <c r="AH162" s="331" t="s">
        <v>533</v>
      </c>
      <c r="AI162" s="339"/>
      <c r="AJ162" s="340"/>
      <c r="AK162" s="331"/>
      <c r="AL162" s="332">
        <f>AL161/AL150</f>
        <v>2321.2426612184472</v>
      </c>
    </row>
    <row r="163" spans="2:38" ht="14.25" customHeight="1" x14ac:dyDescent="0.25">
      <c r="B163" s="281"/>
      <c r="C163" s="26"/>
      <c r="D163" s="281"/>
      <c r="E163" s="281"/>
      <c r="F163" s="281"/>
      <c r="G163" s="281"/>
      <c r="H163" s="281"/>
      <c r="I163" s="26"/>
      <c r="M163" s="281"/>
      <c r="N163" s="281"/>
      <c r="O163" s="26"/>
      <c r="P163" s="281"/>
      <c r="Q163" s="281"/>
      <c r="R163" s="597">
        <f ca="1">1-R162</f>
        <v>0.73824574240564722</v>
      </c>
      <c r="S163" s="281"/>
      <c r="T163" s="281"/>
      <c r="V163" s="102" t="s">
        <v>534</v>
      </c>
      <c r="W163" s="102"/>
      <c r="X163" s="102"/>
      <c r="Y163" s="102"/>
      <c r="Z163" s="307">
        <f ca="1">Z162+SUM(V152:AL152)</f>
        <v>2825.2415851754936</v>
      </c>
      <c r="AB163" s="102" t="s">
        <v>534</v>
      </c>
      <c r="AC163" s="102"/>
      <c r="AD163" s="102"/>
      <c r="AE163" s="102"/>
      <c r="AF163" s="307">
        <f ca="1">AF162+SUM(V152:AL152)</f>
        <v>3109.2521890408839</v>
      </c>
      <c r="AH163" s="102" t="s">
        <v>534</v>
      </c>
      <c r="AI163" s="102"/>
      <c r="AK163" s="102"/>
      <c r="AL163" s="307">
        <f ca="1">AL162+SUM(V152:AL152)</f>
        <v>2692.4436513855376</v>
      </c>
    </row>
    <row r="164" spans="2:38" ht="14.25" customHeight="1" x14ac:dyDescent="0.25">
      <c r="B164" s="281"/>
      <c r="C164" s="26"/>
      <c r="D164" s="281"/>
      <c r="E164" s="281"/>
      <c r="F164" s="281"/>
      <c r="G164" s="281"/>
      <c r="H164" s="281"/>
      <c r="I164" s="26"/>
      <c r="M164" s="281"/>
      <c r="N164" s="281"/>
      <c r="O164" s="26"/>
      <c r="P164" s="281"/>
      <c r="Q164" s="281"/>
      <c r="R164" s="96" t="str">
        <f ca="1">IF(R162&gt;0,"Upside","Downside")</f>
        <v>Upside</v>
      </c>
      <c r="S164" s="281"/>
      <c r="T164" s="281"/>
      <c r="V164" s="96" t="s">
        <v>535</v>
      </c>
      <c r="Z164" s="68">
        <f>BS!AI45+BS!AI44+BS!AI39+BS!AI38-BS!AI15</f>
        <v>-206.84899999999993</v>
      </c>
      <c r="AB164" s="96" t="s">
        <v>535</v>
      </c>
      <c r="AF164" s="68">
        <f>BS!AI45+BS!AI44+BS!AI39+BS!AI38-BS!AI15</f>
        <v>-206.84899999999993</v>
      </c>
      <c r="AH164" s="96" t="s">
        <v>535</v>
      </c>
      <c r="AI164" s="96"/>
      <c r="AJ164" s="96"/>
      <c r="AL164" s="68">
        <f>BS!AI45+BS!AI44+BS!AI39+BS!AI38-BS!AI15</f>
        <v>-206.84899999999993</v>
      </c>
    </row>
    <row r="165" spans="2:38" ht="14.25" customHeight="1" x14ac:dyDescent="0.25">
      <c r="B165" s="281"/>
      <c r="C165" s="26"/>
      <c r="D165" s="281"/>
      <c r="E165" s="281"/>
      <c r="F165" s="281"/>
      <c r="G165" s="281"/>
      <c r="H165" s="281"/>
      <c r="I165" s="26"/>
      <c r="M165" s="281"/>
      <c r="N165" s="281"/>
      <c r="O165" s="26"/>
      <c r="P165" s="281"/>
      <c r="Q165" s="281"/>
      <c r="R165" s="281"/>
      <c r="S165" s="281"/>
      <c r="T165" s="281"/>
      <c r="V165" s="96" t="s">
        <v>536</v>
      </c>
      <c r="Z165" s="68">
        <f>Inputs!U63</f>
        <v>0</v>
      </c>
      <c r="AB165" s="96" t="s">
        <v>536</v>
      </c>
      <c r="AF165" s="68">
        <f>Inputs!U63</f>
        <v>0</v>
      </c>
      <c r="AH165" s="96" t="s">
        <v>536</v>
      </c>
      <c r="AI165" s="96"/>
      <c r="AJ165" s="96"/>
      <c r="AL165" s="68">
        <f>Inputs!U63</f>
        <v>0</v>
      </c>
    </row>
    <row r="166" spans="2:38" ht="14.25" customHeight="1" x14ac:dyDescent="0.25">
      <c r="V166" s="331" t="s">
        <v>537</v>
      </c>
      <c r="W166" s="331"/>
      <c r="X166" s="331"/>
      <c r="Y166" s="331"/>
      <c r="Z166" s="75">
        <f>BS!AI53</f>
        <v>205.239</v>
      </c>
      <c r="AB166" s="331" t="s">
        <v>537</v>
      </c>
      <c r="AC166" s="331"/>
      <c r="AD166" s="331"/>
      <c r="AE166" s="331"/>
      <c r="AF166" s="75">
        <f>BS!AI53</f>
        <v>205.239</v>
      </c>
      <c r="AH166" s="331" t="s">
        <v>537</v>
      </c>
      <c r="AI166" s="331"/>
      <c r="AJ166" s="331"/>
      <c r="AK166" s="331"/>
      <c r="AL166" s="75">
        <f>BS!AI53</f>
        <v>205.239</v>
      </c>
    </row>
    <row r="167" spans="2:38" ht="14.25" customHeight="1" x14ac:dyDescent="0.25">
      <c r="V167" s="102" t="s">
        <v>538</v>
      </c>
      <c r="W167" s="102"/>
      <c r="X167" s="102"/>
      <c r="Y167" s="102"/>
      <c r="Z167" s="307">
        <f ca="1">Z163-Z164-Z165-Z166</f>
        <v>2826.8515851754933</v>
      </c>
      <c r="AB167" s="102" t="s">
        <v>538</v>
      </c>
      <c r="AC167" s="102"/>
      <c r="AD167" s="102"/>
      <c r="AE167" s="102"/>
      <c r="AF167" s="307">
        <f ca="1">AF163-AF164-AF165-AF166</f>
        <v>3110.8621890408835</v>
      </c>
      <c r="AH167" s="102" t="s">
        <v>538</v>
      </c>
      <c r="AI167" s="102"/>
      <c r="AK167" s="102"/>
      <c r="AL167" s="307">
        <f ca="1">AL163-AL164-AL165-AL166</f>
        <v>2694.0536513855373</v>
      </c>
    </row>
    <row r="168" spans="2:38" ht="14.25" customHeight="1" x14ac:dyDescent="0.25">
      <c r="V168" s="331" t="s">
        <v>539</v>
      </c>
      <c r="W168" s="331"/>
      <c r="X168" s="331"/>
      <c r="Y168" s="331"/>
      <c r="Z168" s="333">
        <f>AL64</f>
        <v>67.381951377048324</v>
      </c>
      <c r="AB168" s="331" t="s">
        <v>539</v>
      </c>
      <c r="AC168" s="331"/>
      <c r="AD168" s="331"/>
      <c r="AE168" s="331"/>
      <c r="AF168" s="333">
        <f>AL64</f>
        <v>67.381951377048324</v>
      </c>
      <c r="AH168" s="331" t="s">
        <v>539</v>
      </c>
      <c r="AI168" s="331"/>
      <c r="AJ168" s="331"/>
      <c r="AK168" s="331"/>
      <c r="AL168" s="333">
        <f>AL64</f>
        <v>67.381951377048324</v>
      </c>
    </row>
    <row r="169" spans="2:38" ht="14.25" customHeight="1" x14ac:dyDescent="0.25">
      <c r="V169" s="102" t="s">
        <v>540</v>
      </c>
      <c r="W169" s="102"/>
      <c r="X169" s="102"/>
      <c r="Y169" s="102"/>
      <c r="Z169" s="306">
        <f ca="1">Z167/Z168</f>
        <v>41.952652415144762</v>
      </c>
      <c r="AB169" s="102" t="s">
        <v>540</v>
      </c>
      <c r="AC169" s="102"/>
      <c r="AD169" s="102"/>
      <c r="AE169" s="102"/>
      <c r="AF169" s="306">
        <f ca="1">AF167/AF168</f>
        <v>46.16758828537737</v>
      </c>
      <c r="AH169" s="102" t="s">
        <v>540</v>
      </c>
      <c r="AI169" s="102"/>
      <c r="AK169" s="102"/>
      <c r="AL169" s="306">
        <f ca="1">AL167/AL168</f>
        <v>39.9818289071276</v>
      </c>
    </row>
    <row r="170" spans="2:38" ht="14.25" customHeight="1" x14ac:dyDescent="0.25">
      <c r="V170" s="96" t="s">
        <v>541</v>
      </c>
      <c r="Z170" s="338">
        <v>36.590000000000003</v>
      </c>
      <c r="AB170" s="96" t="s">
        <v>541</v>
      </c>
      <c r="AF170" s="338">
        <v>36.590000000000003</v>
      </c>
      <c r="AH170" s="96" t="s">
        <v>541</v>
      </c>
      <c r="AI170" s="96"/>
      <c r="AJ170" s="96"/>
      <c r="AL170" s="338">
        <v>36.590000000000003</v>
      </c>
    </row>
    <row r="171" spans="2:38" ht="14.25" customHeight="1" x14ac:dyDescent="0.25">
      <c r="V171" s="96" t="s">
        <v>542</v>
      </c>
      <c r="Z171" s="313">
        <f ca="1">Z169/Z170-1</f>
        <v>0.14656060167107832</v>
      </c>
      <c r="AB171" s="96" t="s">
        <v>542</v>
      </c>
      <c r="AF171" s="313">
        <f ca="1">AF169/AF170-1</f>
        <v>0.26175425759435278</v>
      </c>
      <c r="AH171" s="96" t="s">
        <v>542</v>
      </c>
      <c r="AI171" s="96"/>
      <c r="AJ171" s="96"/>
      <c r="AL171" s="313">
        <f ca="1">AL169/AL170-1</f>
        <v>9.2698248350030044E-2</v>
      </c>
    </row>
    <row r="176" spans="2:38" ht="14.25" customHeight="1" x14ac:dyDescent="0.25">
      <c r="AB176" s="303"/>
    </row>
    <row r="177" spans="28:32" ht="14.25" customHeight="1" x14ac:dyDescent="0.25">
      <c r="AB177" s="585"/>
      <c r="AC177" s="303"/>
    </row>
    <row r="178" spans="28:32" ht="14.25" customHeight="1" x14ac:dyDescent="0.25">
      <c r="AB178" s="585"/>
      <c r="AC178" s="303"/>
    </row>
    <row r="181" spans="28:32" ht="14.25" customHeight="1" x14ac:dyDescent="0.25">
      <c r="AF181" s="303"/>
    </row>
    <row r="182" spans="28:32" ht="14.25" customHeight="1" x14ac:dyDescent="0.25">
      <c r="AE182" s="585"/>
      <c r="AF182" s="303"/>
    </row>
    <row r="183" spans="28:32" ht="14.25" customHeight="1" x14ac:dyDescent="0.25">
      <c r="AE183" s="585"/>
      <c r="AF183" s="313"/>
    </row>
  </sheetData>
  <mergeCells count="17">
    <mergeCell ref="D8:H8"/>
    <mergeCell ref="J8:N8"/>
    <mergeCell ref="P8:T8"/>
    <mergeCell ref="V8:Z8"/>
    <mergeCell ref="AB8:AF8"/>
    <mergeCell ref="V139:Z139"/>
    <mergeCell ref="AB139:AF139"/>
    <mergeCell ref="D24:H24"/>
    <mergeCell ref="J24:N24"/>
    <mergeCell ref="P24:T24"/>
    <mergeCell ref="V24:Z24"/>
    <mergeCell ref="AB24:AF24"/>
    <mergeCell ref="D118:H118"/>
    <mergeCell ref="J118:N118"/>
    <mergeCell ref="P118:T118"/>
    <mergeCell ref="V118:Z118"/>
    <mergeCell ref="AB118:AF118"/>
  </mergeCells>
  <dataValidations disablePrompts="1"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34" zoomScaleNormal="100" workbookViewId="0">
      <selection activeCell="T72" sqref="T72"/>
    </sheetView>
  </sheetViews>
  <sheetFormatPr defaultColWidth="9" defaultRowHeight="15" customHeight="1" x14ac:dyDescent="0.25"/>
  <cols>
    <col min="1" max="1" width="3.5" style="366" customWidth="1"/>
    <col min="2" max="2" width="39" style="24" customWidth="1"/>
    <col min="3" max="3" width="13.5" style="24" customWidth="1"/>
    <col min="4" max="13" width="12.5" style="24" customWidth="1"/>
    <col min="14" max="17" width="12.5" style="26" customWidth="1"/>
    <col min="18" max="16384" width="9" style="26"/>
  </cols>
  <sheetData>
    <row r="1" spans="1:13" s="569" customFormat="1" ht="15" customHeight="1" x14ac:dyDescent="0.25"/>
    <row r="2" spans="1:13" s="569" customFormat="1" ht="15" customHeight="1" x14ac:dyDescent="0.25"/>
    <row r="3" spans="1:13" s="569" customFormat="1" ht="15" customHeight="1" x14ac:dyDescent="0.25"/>
    <row r="4" spans="1:13" s="569" customFormat="1" ht="15" customHeight="1" x14ac:dyDescent="0.25"/>
    <row r="5" spans="1:13" s="405" customFormat="1" ht="4.05" customHeight="1" x14ac:dyDescent="0.25">
      <c r="A5" s="564"/>
      <c r="B5" s="37"/>
      <c r="C5" s="37"/>
      <c r="D5" s="37"/>
      <c r="E5" s="37"/>
      <c r="F5" s="37"/>
      <c r="G5" s="37"/>
      <c r="H5" s="37"/>
      <c r="I5" s="37"/>
      <c r="J5" s="37"/>
      <c r="K5" s="37"/>
      <c r="L5" s="37"/>
      <c r="M5" s="37"/>
    </row>
    <row r="7" spans="1:13" ht="15" customHeight="1" x14ac:dyDescent="0.25">
      <c r="A7" s="366" t="s">
        <v>38</v>
      </c>
      <c r="B7" s="358" t="s">
        <v>543</v>
      </c>
      <c r="C7" s="33"/>
      <c r="D7" s="33"/>
      <c r="E7" s="33"/>
      <c r="F7" s="33"/>
      <c r="G7" s="33"/>
      <c r="H7" s="33"/>
      <c r="I7" s="33"/>
      <c r="J7" s="33"/>
      <c r="K7" s="33"/>
      <c r="L7" s="33"/>
    </row>
    <row r="8" spans="1:13" ht="4.05" customHeight="1" x14ac:dyDescent="0.25">
      <c r="B8" s="407"/>
      <c r="C8" s="373"/>
      <c r="D8" s="373"/>
      <c r="E8" s="373"/>
      <c r="F8" s="373"/>
      <c r="G8" s="373"/>
      <c r="H8" s="373"/>
      <c r="I8" s="373"/>
      <c r="J8" s="373"/>
      <c r="K8" s="373"/>
      <c r="L8" s="373"/>
    </row>
    <row r="9" spans="1:13" ht="15" customHeight="1" x14ac:dyDescent="0.25">
      <c r="B9" s="408"/>
      <c r="C9" s="26"/>
      <c r="D9" s="26"/>
      <c r="E9" s="408"/>
      <c r="F9" s="26"/>
      <c r="G9" s="26"/>
      <c r="H9" s="408"/>
      <c r="J9" s="26"/>
      <c r="K9" s="408"/>
      <c r="L9" s="26"/>
    </row>
    <row r="10" spans="1:13" ht="15" customHeight="1" x14ac:dyDescent="0.25">
      <c r="B10" s="358" t="s">
        <v>544</v>
      </c>
      <c r="C10" s="33"/>
      <c r="D10" s="33"/>
      <c r="E10" s="33"/>
      <c r="G10" s="358" t="s">
        <v>545</v>
      </c>
      <c r="H10" s="358"/>
      <c r="I10" s="358"/>
      <c r="J10" s="358" t="s">
        <v>546</v>
      </c>
      <c r="K10" s="358" t="s">
        <v>547</v>
      </c>
      <c r="L10" s="358" t="s">
        <v>548</v>
      </c>
    </row>
    <row r="11" spans="1:13" ht="15" customHeight="1" x14ac:dyDescent="0.25">
      <c r="B11" s="24" t="s">
        <v>549</v>
      </c>
      <c r="E11" s="409">
        <f>(G86+G77)</f>
        <v>160.02000000000001</v>
      </c>
      <c r="G11" s="24" t="s">
        <v>550</v>
      </c>
      <c r="J11" s="410"/>
      <c r="K11" s="411"/>
      <c r="L11" s="49">
        <f>K11*$E$13</f>
        <v>0</v>
      </c>
    </row>
    <row r="12" spans="1:13" ht="15" customHeight="1" x14ac:dyDescent="0.25">
      <c r="B12" s="339" t="s">
        <v>551</v>
      </c>
      <c r="C12" s="339"/>
      <c r="D12" s="339"/>
      <c r="E12" s="412"/>
      <c r="G12" s="24" t="s">
        <v>552</v>
      </c>
      <c r="J12" s="410"/>
      <c r="K12" s="411"/>
      <c r="L12" s="49">
        <f>K12*$E$13</f>
        <v>0</v>
      </c>
    </row>
    <row r="13" spans="1:13" ht="15" customHeight="1" x14ac:dyDescent="0.25">
      <c r="B13" s="34" t="s">
        <v>553</v>
      </c>
      <c r="E13" s="413">
        <f>E11*E12</f>
        <v>0</v>
      </c>
      <c r="G13" s="24" t="s">
        <v>554</v>
      </c>
      <c r="J13" s="410"/>
      <c r="K13" s="411"/>
      <c r="L13" s="49">
        <f>K13*$E$13</f>
        <v>0</v>
      </c>
    </row>
    <row r="14" spans="1:13" ht="15" customHeight="1" x14ac:dyDescent="0.25">
      <c r="B14" s="339" t="s">
        <v>555</v>
      </c>
      <c r="C14" s="339"/>
      <c r="D14" s="339"/>
      <c r="E14" s="414" t="e">
        <f ca="1">BS!AJ38+BS!AJ39+BS!AJ44+BS!AJ45-BS!AJ15</f>
        <v>#NAME?</v>
      </c>
      <c r="J14" s="415"/>
      <c r="L14" s="49"/>
    </row>
    <row r="15" spans="1:13" ht="15" customHeight="1" x14ac:dyDescent="0.25">
      <c r="B15" s="34" t="s">
        <v>556</v>
      </c>
      <c r="E15" s="413" t="e">
        <f ca="1">E13-E14</f>
        <v>#NAME?</v>
      </c>
      <c r="G15" s="358" t="s">
        <v>557</v>
      </c>
      <c r="H15" s="358"/>
      <c r="I15" s="358"/>
      <c r="J15" s="358"/>
      <c r="K15" s="358"/>
      <c r="L15" s="358"/>
    </row>
    <row r="16" spans="1:13" ht="15" customHeight="1" x14ac:dyDescent="0.25">
      <c r="G16" s="24" t="s">
        <v>558</v>
      </c>
      <c r="L16" s="416" t="e">
        <f ca="1">L180</f>
        <v>#NAME?</v>
      </c>
    </row>
    <row r="17" spans="1:12" ht="15" customHeight="1" x14ac:dyDescent="0.25">
      <c r="B17" s="24" t="s">
        <v>559</v>
      </c>
      <c r="E17" s="49">
        <f>0.03*E13</f>
        <v>0</v>
      </c>
      <c r="G17" s="24" t="s">
        <v>560</v>
      </c>
      <c r="L17" s="416" t="e">
        <f ca="1">L181</f>
        <v>#NAME?</v>
      </c>
    </row>
    <row r="19" spans="1:12" ht="15" customHeight="1" x14ac:dyDescent="0.25">
      <c r="B19" s="358" t="s">
        <v>561</v>
      </c>
      <c r="C19" s="33"/>
      <c r="D19" s="33"/>
      <c r="E19" s="33"/>
      <c r="I19" s="406"/>
    </row>
    <row r="20" spans="1:12" ht="15" customHeight="1" x14ac:dyDescent="0.25">
      <c r="B20" s="24" t="s">
        <v>562</v>
      </c>
      <c r="E20" s="417"/>
      <c r="H20" s="418"/>
    </row>
    <row r="21" spans="1:12" ht="15" customHeight="1" x14ac:dyDescent="0.25">
      <c r="C21" s="419"/>
    </row>
    <row r="22" spans="1:12" ht="15" customHeight="1" x14ac:dyDescent="0.25">
      <c r="A22" s="366" t="s">
        <v>38</v>
      </c>
      <c r="B22" s="358" t="s">
        <v>563</v>
      </c>
      <c r="C22" s="33"/>
      <c r="D22" s="33"/>
      <c r="E22" s="33"/>
      <c r="F22" s="33"/>
      <c r="G22" s="33"/>
      <c r="H22" s="33"/>
      <c r="I22" s="33"/>
      <c r="J22" s="33"/>
      <c r="K22" s="33"/>
      <c r="L22" s="33"/>
    </row>
    <row r="23" spans="1:12" ht="4.05" customHeight="1" x14ac:dyDescent="0.25">
      <c r="B23" s="407"/>
      <c r="C23" s="373"/>
      <c r="D23" s="373"/>
      <c r="E23" s="373"/>
      <c r="F23" s="373"/>
      <c r="G23" s="373"/>
      <c r="H23" s="373"/>
      <c r="I23" s="373"/>
      <c r="J23" s="373"/>
      <c r="K23" s="373"/>
      <c r="L23" s="373"/>
    </row>
    <row r="24" spans="1:12" ht="15" customHeight="1" x14ac:dyDescent="0.25">
      <c r="C24" s="420"/>
    </row>
    <row r="25" spans="1:12" ht="15" customHeight="1" x14ac:dyDescent="0.25">
      <c r="B25" s="358" t="s">
        <v>564</v>
      </c>
      <c r="C25" s="33"/>
      <c r="D25" s="33"/>
      <c r="E25" s="33"/>
      <c r="G25" s="358" t="s">
        <v>565</v>
      </c>
      <c r="H25" s="33"/>
      <c r="I25" s="33"/>
      <c r="J25" s="33"/>
      <c r="K25" s="33"/>
      <c r="L25" s="33"/>
    </row>
    <row r="26" spans="1:12" ht="15" customHeight="1" x14ac:dyDescent="0.25">
      <c r="B26" s="328"/>
      <c r="C26" s="408" t="s">
        <v>548</v>
      </c>
      <c r="D26" s="408" t="s">
        <v>566</v>
      </c>
      <c r="E26" s="408" t="s">
        <v>567</v>
      </c>
      <c r="J26" s="408" t="s">
        <v>548</v>
      </c>
      <c r="K26" s="408" t="s">
        <v>566</v>
      </c>
      <c r="L26" s="408" t="s">
        <v>567</v>
      </c>
    </row>
    <row r="27" spans="1:12" ht="15" customHeight="1" x14ac:dyDescent="0.25">
      <c r="B27" s="26" t="s">
        <v>550</v>
      </c>
      <c r="C27" s="409">
        <f>L11</f>
        <v>0</v>
      </c>
      <c r="D27" s="421">
        <f>C27/$E$11</f>
        <v>0</v>
      </c>
      <c r="E27" s="422" t="e">
        <f ca="1">C27/$C$34</f>
        <v>#NAME?</v>
      </c>
      <c r="G27" s="26" t="s">
        <v>568</v>
      </c>
      <c r="H27" s="26"/>
      <c r="I27" s="26"/>
      <c r="J27" s="409" t="e">
        <f ca="1">E14</f>
        <v>#NAME?</v>
      </c>
      <c r="K27" s="421" t="e">
        <f ca="1">J27/$E$11</f>
        <v>#NAME?</v>
      </c>
      <c r="L27" s="422" t="e">
        <f ca="1">J27/$J$34</f>
        <v>#NAME?</v>
      </c>
    </row>
    <row r="28" spans="1:12" ht="15" customHeight="1" x14ac:dyDescent="0.25">
      <c r="B28" s="26" t="s">
        <v>552</v>
      </c>
      <c r="C28" s="409">
        <f>L12</f>
        <v>0</v>
      </c>
      <c r="D28" s="421">
        <f>C28/$E$11</f>
        <v>0</v>
      </c>
      <c r="E28" s="422" t="e">
        <f ca="1">C28/$C$34</f>
        <v>#NAME?</v>
      </c>
      <c r="G28" s="26" t="s">
        <v>569</v>
      </c>
      <c r="H28" s="26"/>
      <c r="I28" s="26"/>
      <c r="J28" s="409" t="e">
        <f ca="1">E15</f>
        <v>#NAME?</v>
      </c>
      <c r="K28" s="421" t="e">
        <f ca="1">J28/$E$11</f>
        <v>#NAME?</v>
      </c>
      <c r="L28" s="422" t="e">
        <f ca="1">J28/$J$34</f>
        <v>#NAME?</v>
      </c>
    </row>
    <row r="29" spans="1:12" ht="15" customHeight="1" x14ac:dyDescent="0.25">
      <c r="B29" s="423" t="s">
        <v>554</v>
      </c>
      <c r="C29" s="424">
        <f>L13</f>
        <v>0</v>
      </c>
      <c r="D29" s="425">
        <f>C29/$E$11</f>
        <v>0</v>
      </c>
      <c r="E29" s="426" t="e">
        <f ca="1">C29/$C$34</f>
        <v>#NAME?</v>
      </c>
      <c r="G29" s="26"/>
      <c r="H29" s="26"/>
      <c r="I29" s="26"/>
      <c r="J29" s="427"/>
      <c r="K29" s="26"/>
      <c r="L29" s="406"/>
    </row>
    <row r="30" spans="1:12" ht="15" customHeight="1" x14ac:dyDescent="0.25">
      <c r="B30" s="328" t="s">
        <v>417</v>
      </c>
      <c r="C30" s="428">
        <f>SUM(C27:C29)</f>
        <v>0</v>
      </c>
      <c r="D30" s="429">
        <f>C30/$E$11</f>
        <v>0</v>
      </c>
      <c r="E30" s="430" t="e">
        <f ca="1">C30/$C$34</f>
        <v>#NAME?</v>
      </c>
      <c r="G30" s="26" t="s">
        <v>559</v>
      </c>
      <c r="H30" s="26"/>
      <c r="I30" s="26"/>
      <c r="J30" s="409">
        <f>E17</f>
        <v>0</v>
      </c>
      <c r="K30" s="421">
        <f>J30/$E$11</f>
        <v>0</v>
      </c>
      <c r="L30" s="422" t="e">
        <f ca="1">J30/$J$34</f>
        <v>#NAME?</v>
      </c>
    </row>
    <row r="31" spans="1:12" ht="15" customHeight="1" x14ac:dyDescent="0.25">
      <c r="B31" s="328"/>
      <c r="C31" s="26"/>
      <c r="D31" s="26"/>
      <c r="E31" s="422"/>
      <c r="G31" s="26"/>
      <c r="H31" s="26"/>
      <c r="I31" s="26"/>
      <c r="J31" s="406"/>
      <c r="K31" s="406"/>
      <c r="L31" s="406"/>
    </row>
    <row r="32" spans="1:12" ht="15" customHeight="1" x14ac:dyDescent="0.25">
      <c r="B32" s="26" t="s">
        <v>570</v>
      </c>
      <c r="C32" s="49" t="e">
        <f ca="1">C34-C30</f>
        <v>#NAME?</v>
      </c>
      <c r="D32" s="421" t="e">
        <f ca="1">C32/$E$11</f>
        <v>#NAME?</v>
      </c>
      <c r="E32" s="422" t="e">
        <f ca="1">C32/$C$34</f>
        <v>#NAME?</v>
      </c>
      <c r="G32" s="26"/>
      <c r="H32" s="26"/>
      <c r="I32" s="26"/>
    </row>
    <row r="34" spans="1:12" ht="15" customHeight="1" x14ac:dyDescent="0.25">
      <c r="B34" s="431" t="s">
        <v>571</v>
      </c>
      <c r="C34" s="432" t="e">
        <f ca="1">J34</f>
        <v>#NAME?</v>
      </c>
      <c r="D34" s="433" t="e">
        <f ca="1">C34/$E$11</f>
        <v>#NAME?</v>
      </c>
      <c r="E34" s="434" t="e">
        <f ca="1">C34/$C$34</f>
        <v>#NAME?</v>
      </c>
      <c r="G34" s="435" t="s">
        <v>572</v>
      </c>
      <c r="H34" s="436"/>
      <c r="I34" s="436"/>
      <c r="J34" s="437" t="e">
        <f ca="1">J27+J28+J30</f>
        <v>#NAME?</v>
      </c>
      <c r="K34" s="438" t="e">
        <f ca="1">J34/$E$11</f>
        <v>#NAME?</v>
      </c>
      <c r="L34" s="439" t="e">
        <f ca="1">J34/$J$34</f>
        <v>#NAME?</v>
      </c>
    </row>
    <row r="35" spans="1:12" ht="15" customHeight="1" x14ac:dyDescent="0.25">
      <c r="C35" s="419"/>
    </row>
    <row r="36" spans="1:12" ht="15" customHeight="1" x14ac:dyDescent="0.25">
      <c r="B36" s="358" t="s">
        <v>425</v>
      </c>
      <c r="C36" s="33"/>
      <c r="D36" s="33"/>
      <c r="E36" s="33"/>
      <c r="F36" s="33"/>
      <c r="G36" s="33"/>
      <c r="H36" s="33"/>
      <c r="I36" s="33"/>
      <c r="J36" s="33"/>
      <c r="K36" s="33"/>
      <c r="L36" s="33"/>
    </row>
    <row r="37" spans="1:12" ht="15" customHeight="1" x14ac:dyDescent="0.25">
      <c r="B37" s="33"/>
      <c r="C37" s="33"/>
      <c r="D37" s="33"/>
      <c r="E37" s="33"/>
      <c r="F37" s="33"/>
      <c r="G37" s="33"/>
      <c r="H37" s="33"/>
      <c r="I37" s="33"/>
      <c r="J37" s="33"/>
      <c r="K37" s="33"/>
      <c r="L37" s="33"/>
    </row>
    <row r="38" spans="1:12" ht="15" customHeight="1" x14ac:dyDescent="0.25">
      <c r="A38" s="366" t="s">
        <v>38</v>
      </c>
      <c r="B38" s="33"/>
      <c r="C38" s="33"/>
      <c r="D38" s="33"/>
      <c r="E38" s="440">
        <v>2022</v>
      </c>
      <c r="F38" s="440">
        <f t="shared" ref="F38:L38" si="0">+E38+1</f>
        <v>2023</v>
      </c>
      <c r="G38" s="440">
        <f t="shared" si="0"/>
        <v>2024</v>
      </c>
      <c r="H38" s="441">
        <f t="shared" si="0"/>
        <v>2025</v>
      </c>
      <c r="I38" s="441">
        <f t="shared" si="0"/>
        <v>2026</v>
      </c>
      <c r="J38" s="441">
        <f t="shared" si="0"/>
        <v>2027</v>
      </c>
      <c r="K38" s="441">
        <f t="shared" si="0"/>
        <v>2028</v>
      </c>
      <c r="L38" s="441">
        <f t="shared" si="0"/>
        <v>2029</v>
      </c>
    </row>
    <row r="50" spans="1:12" ht="15" customHeight="1" x14ac:dyDescent="0.25">
      <c r="B50" s="278" t="s">
        <v>351</v>
      </c>
      <c r="C50" s="446"/>
      <c r="D50" s="447"/>
      <c r="E50" s="448"/>
      <c r="F50" s="448"/>
      <c r="G50" s="449"/>
      <c r="H50" s="301">
        <v>350000</v>
      </c>
      <c r="I50" s="301">
        <v>352000</v>
      </c>
      <c r="J50" s="301">
        <v>350000</v>
      </c>
      <c r="K50" s="301">
        <v>352000</v>
      </c>
      <c r="L50" s="512">
        <v>350000</v>
      </c>
    </row>
    <row r="51" spans="1:12" ht="15" customHeight="1" x14ac:dyDescent="0.25">
      <c r="B51" s="442"/>
      <c r="C51" s="450"/>
      <c r="D51" s="26"/>
      <c r="E51" s="451"/>
      <c r="F51" s="451"/>
      <c r="G51" s="452"/>
      <c r="H51" s="453"/>
      <c r="I51" s="453"/>
      <c r="J51" s="453"/>
      <c r="K51" s="453"/>
      <c r="L51" s="453"/>
    </row>
    <row r="52" spans="1:12" ht="15" customHeight="1" x14ac:dyDescent="0.25">
      <c r="B52" s="358" t="s">
        <v>573</v>
      </c>
      <c r="C52" s="33"/>
      <c r="D52" s="33"/>
      <c r="E52" s="33"/>
      <c r="F52" s="33"/>
      <c r="G52" s="33"/>
      <c r="H52" s="33"/>
      <c r="I52" s="33"/>
      <c r="J52" s="33"/>
      <c r="K52" s="33"/>
      <c r="L52" s="33"/>
    </row>
    <row r="53" spans="1:12" ht="15" customHeight="1" x14ac:dyDescent="0.25">
      <c r="B53" s="33"/>
      <c r="C53" s="33"/>
      <c r="D53" s="33"/>
      <c r="E53" s="33"/>
      <c r="F53" s="33"/>
      <c r="G53" s="33"/>
      <c r="H53" s="33"/>
      <c r="I53" s="33"/>
      <c r="J53" s="33"/>
      <c r="K53" s="33"/>
      <c r="L53" s="33"/>
    </row>
    <row r="54" spans="1:12" ht="15" customHeight="1" x14ac:dyDescent="0.25">
      <c r="B54" s="33"/>
      <c r="C54" s="33"/>
      <c r="D54" s="33"/>
      <c r="E54" s="33"/>
      <c r="F54" s="33"/>
      <c r="G54" s="33"/>
      <c r="H54" s="33"/>
      <c r="I54" s="33"/>
      <c r="J54" s="33"/>
      <c r="K54" s="33"/>
      <c r="L54" s="33"/>
    </row>
    <row r="55" spans="1:12" ht="4.05" customHeight="1" x14ac:dyDescent="0.25">
      <c r="B55" s="455"/>
      <c r="C55" s="456"/>
      <c r="D55" s="405"/>
      <c r="E55" s="457"/>
      <c r="F55" s="457"/>
      <c r="G55" s="457"/>
      <c r="H55" s="458"/>
      <c r="I55" s="458"/>
      <c r="J55" s="458"/>
      <c r="K55" s="458"/>
      <c r="L55" s="458"/>
    </row>
    <row r="56" spans="1:12" ht="4.05" customHeight="1" x14ac:dyDescent="0.25">
      <c r="B56" s="442"/>
      <c r="C56" s="443"/>
      <c r="D56" s="26"/>
      <c r="E56" s="451"/>
      <c r="F56" s="451"/>
      <c r="G56" s="451"/>
      <c r="H56" s="454"/>
      <c r="I56" s="454"/>
      <c r="J56" s="454"/>
      <c r="K56" s="454"/>
      <c r="L56" s="454"/>
    </row>
    <row r="57" spans="1:12" ht="15" customHeight="1" x14ac:dyDescent="0.25">
      <c r="A57" s="366" t="s">
        <v>38</v>
      </c>
      <c r="B57" s="358" t="s">
        <v>432</v>
      </c>
      <c r="C57" s="33"/>
      <c r="D57" s="33"/>
      <c r="E57" s="440">
        <v>2022</v>
      </c>
      <c r="F57" s="440">
        <f t="shared" ref="F57:L57" si="1">+E57+1</f>
        <v>2023</v>
      </c>
      <c r="G57" s="440">
        <f t="shared" si="1"/>
        <v>2024</v>
      </c>
      <c r="H57" s="441">
        <f t="shared" si="1"/>
        <v>2025</v>
      </c>
      <c r="I57" s="441">
        <f t="shared" si="1"/>
        <v>2026</v>
      </c>
      <c r="J57" s="441">
        <f t="shared" si="1"/>
        <v>2027</v>
      </c>
      <c r="K57" s="441">
        <f t="shared" si="1"/>
        <v>2028</v>
      </c>
      <c r="L57" s="441">
        <f t="shared" si="1"/>
        <v>2029</v>
      </c>
    </row>
    <row r="58" spans="1:12" ht="4.05" customHeight="1" x14ac:dyDescent="0.25">
      <c r="B58" s="37"/>
      <c r="C58" s="37"/>
      <c r="D58" s="37"/>
      <c r="E58" s="37"/>
      <c r="F58" s="37"/>
      <c r="G58" s="37"/>
      <c r="H58" s="37"/>
      <c r="I58" s="37"/>
      <c r="J58" s="37"/>
      <c r="K58" s="37"/>
      <c r="L58" s="37"/>
    </row>
    <row r="59" spans="1:12" ht="15" customHeight="1" x14ac:dyDescent="0.25">
      <c r="B59" s="361" t="s">
        <v>433</v>
      </c>
      <c r="D59" s="459" t="e">
        <f>+_xlfn.XLOOKUP($B59,#REF!,#REF!)</f>
        <v>#REF!</v>
      </c>
      <c r="E59" s="59">
        <f>FCFF!H31</f>
        <v>388.83199999999999</v>
      </c>
      <c r="F59" s="59">
        <f>FCFF!N31</f>
        <v>557.72299999999996</v>
      </c>
      <c r="G59" s="396">
        <f>FCFF!T31</f>
        <v>782.11800000000005</v>
      </c>
      <c r="H59" s="460">
        <f>+H50</f>
        <v>350000</v>
      </c>
      <c r="I59" s="460">
        <f t="shared" ref="I59:L59" si="2">+I50</f>
        <v>352000</v>
      </c>
      <c r="J59" s="460">
        <f t="shared" si="2"/>
        <v>350000</v>
      </c>
      <c r="K59" s="460">
        <f t="shared" si="2"/>
        <v>352000</v>
      </c>
      <c r="L59" s="460">
        <f t="shared" si="2"/>
        <v>350000</v>
      </c>
    </row>
    <row r="60" spans="1:12" s="445" customFormat="1" ht="15" customHeight="1" x14ac:dyDescent="0.25">
      <c r="A60" s="366"/>
      <c r="B60" s="32" t="s">
        <v>434</v>
      </c>
      <c r="C60" s="27"/>
      <c r="D60" s="27"/>
      <c r="E60" s="292">
        <f>E59/IS!N18-1</f>
        <v>0.49694130147718396</v>
      </c>
      <c r="F60" s="292">
        <f>F59/E59-1</f>
        <v>0.43435468274216116</v>
      </c>
      <c r="G60" s="397">
        <f>G59/F59-1</f>
        <v>0.40234130563021453</v>
      </c>
      <c r="H60" s="292">
        <f t="shared" ref="H60:L60" si="3">H59/G59-1</f>
        <v>446.50280648188635</v>
      </c>
      <c r="I60" s="292">
        <f t="shared" si="3"/>
        <v>5.7142857142857828E-3</v>
      </c>
      <c r="J60" s="292">
        <f t="shared" si="3"/>
        <v>-5.6818181818182323E-3</v>
      </c>
      <c r="K60" s="292">
        <f t="shared" si="3"/>
        <v>5.7142857142857828E-3</v>
      </c>
      <c r="L60" s="292">
        <f t="shared" si="3"/>
        <v>-5.6818181818182323E-3</v>
      </c>
    </row>
    <row r="61" spans="1:12" ht="15" customHeight="1" x14ac:dyDescent="0.25">
      <c r="B61" s="385"/>
      <c r="E61" s="58"/>
      <c r="F61" s="58"/>
      <c r="G61" s="398"/>
      <c r="H61" s="422"/>
      <c r="I61" s="422"/>
      <c r="J61" s="422"/>
      <c r="K61" s="422"/>
      <c r="L61" s="422"/>
    </row>
    <row r="62" spans="1:12" ht="15" customHeight="1" x14ac:dyDescent="0.25">
      <c r="B62" s="361" t="s">
        <v>435</v>
      </c>
      <c r="E62" s="59">
        <f>FCFF!H34</f>
        <v>205.21700000000001</v>
      </c>
      <c r="F62" s="59">
        <f>FCFF!N34</f>
        <v>281.50799999999998</v>
      </c>
      <c r="G62" s="396">
        <f>FCFF!T34</f>
        <v>390.56400000000002</v>
      </c>
      <c r="H62" s="460">
        <f>H63*H$59</f>
        <v>0</v>
      </c>
      <c r="I62" s="460">
        <f>I63*I$59</f>
        <v>0</v>
      </c>
      <c r="J62" s="460">
        <f>J63*J$59</f>
        <v>0</v>
      </c>
      <c r="K62" s="460">
        <f>K63*K$59</f>
        <v>0</v>
      </c>
      <c r="L62" s="460">
        <f>L63*L$59</f>
        <v>0</v>
      </c>
    </row>
    <row r="63" spans="1:12" s="445" customFormat="1" ht="15" customHeight="1" x14ac:dyDescent="0.25">
      <c r="A63" s="366"/>
      <c r="B63" s="32" t="s">
        <v>436</v>
      </c>
      <c r="C63" s="27"/>
      <c r="D63" s="27"/>
      <c r="E63" s="292">
        <f>E62/E59</f>
        <v>0.52777806353386558</v>
      </c>
      <c r="F63" s="292">
        <f t="shared" ref="F63:G63" si="4">F62/F59</f>
        <v>0.50474518712694294</v>
      </c>
      <c r="G63" s="397">
        <f t="shared" si="4"/>
        <v>0.49936710317368987</v>
      </c>
      <c r="H63" s="461"/>
      <c r="I63" s="461"/>
      <c r="J63" s="461"/>
      <c r="K63" s="461"/>
      <c r="L63" s="462"/>
    </row>
    <row r="65" spans="2:12" ht="15" customHeight="1" x14ac:dyDescent="0.25">
      <c r="B65" s="361" t="s">
        <v>437</v>
      </c>
      <c r="E65" s="59">
        <f>FCFF!H37</f>
        <v>0</v>
      </c>
      <c r="F65" s="59">
        <f>FCFF!N37</f>
        <v>0</v>
      </c>
      <c r="G65" s="396">
        <f>FCFF!T37</f>
        <v>0</v>
      </c>
      <c r="H65" s="460">
        <f>+H66*H62</f>
        <v>0</v>
      </c>
      <c r="I65" s="460">
        <f t="shared" ref="I65:L65" si="5">+I66*I62</f>
        <v>0</v>
      </c>
      <c r="J65" s="460">
        <f t="shared" si="5"/>
        <v>0</v>
      </c>
      <c r="K65" s="460">
        <f t="shared" si="5"/>
        <v>0</v>
      </c>
      <c r="L65" s="460">
        <f t="shared" si="5"/>
        <v>0</v>
      </c>
    </row>
    <row r="66" spans="2:12" s="445" customFormat="1" ht="15" customHeight="1" x14ac:dyDescent="0.25">
      <c r="B66" s="32" t="s">
        <v>438</v>
      </c>
      <c r="C66" s="27"/>
      <c r="D66" s="27"/>
      <c r="E66" s="292">
        <f>E65/E62</f>
        <v>0</v>
      </c>
      <c r="F66" s="292">
        <f t="shared" ref="F66:G66" si="6">F65/F62</f>
        <v>0</v>
      </c>
      <c r="G66" s="397">
        <f t="shared" si="6"/>
        <v>0</v>
      </c>
      <c r="H66" s="461"/>
      <c r="I66" s="461"/>
      <c r="J66" s="461"/>
      <c r="K66" s="461"/>
      <c r="L66" s="461"/>
    </row>
    <row r="67" spans="2:12" ht="15" customHeight="1" x14ac:dyDescent="0.25">
      <c r="B67" s="32"/>
      <c r="E67" s="167"/>
      <c r="F67" s="167"/>
      <c r="G67" s="399"/>
      <c r="H67" s="26"/>
      <c r="I67" s="26"/>
      <c r="J67" s="26"/>
      <c r="K67" s="26"/>
      <c r="L67" s="26"/>
    </row>
    <row r="68" spans="2:12" ht="15" customHeight="1" x14ac:dyDescent="0.25">
      <c r="B68" s="361" t="s">
        <v>439</v>
      </c>
      <c r="E68" s="59">
        <f>FCFF!H40</f>
        <v>183.61500000000001</v>
      </c>
      <c r="F68" s="59">
        <f>FCFF!N40</f>
        <v>276.21499999999997</v>
      </c>
      <c r="G68" s="396">
        <f>FCFF!T40</f>
        <v>391.55399999999997</v>
      </c>
      <c r="H68" s="460">
        <f>+H59-H62-H65</f>
        <v>350000</v>
      </c>
      <c r="I68" s="460">
        <f t="shared" ref="I68:L68" si="7">+I59-I62-I65</f>
        <v>352000</v>
      </c>
      <c r="J68" s="460">
        <f t="shared" si="7"/>
        <v>350000</v>
      </c>
      <c r="K68" s="460">
        <f t="shared" si="7"/>
        <v>352000</v>
      </c>
      <c r="L68" s="460">
        <f t="shared" si="7"/>
        <v>350000</v>
      </c>
    </row>
    <row r="69" spans="2:12" s="445" customFormat="1" ht="15" customHeight="1" x14ac:dyDescent="0.25">
      <c r="B69" s="32" t="s">
        <v>436</v>
      </c>
      <c r="C69" s="27"/>
      <c r="D69" s="27"/>
      <c r="E69" s="294">
        <f>E68/E59</f>
        <v>0.47222193646613453</v>
      </c>
      <c r="F69" s="294">
        <f t="shared" ref="F69:G69" si="8">F68/F59</f>
        <v>0.49525481287305706</v>
      </c>
      <c r="G69" s="400">
        <f t="shared" si="8"/>
        <v>0.50063289682631007</v>
      </c>
      <c r="H69" s="463">
        <f t="shared" ref="H69:L69" si="9">IFERROR(H68/H$59,"")</f>
        <v>1</v>
      </c>
      <c r="I69" s="463">
        <f t="shared" si="9"/>
        <v>1</v>
      </c>
      <c r="J69" s="463">
        <f t="shared" si="9"/>
        <v>1</v>
      </c>
      <c r="K69" s="463">
        <f t="shared" si="9"/>
        <v>1</v>
      </c>
      <c r="L69" s="463">
        <f t="shared" si="9"/>
        <v>1</v>
      </c>
    </row>
    <row r="70" spans="2:12" ht="15" customHeight="1" x14ac:dyDescent="0.25">
      <c r="B70" s="361"/>
      <c r="E70" s="66"/>
      <c r="F70" s="66"/>
      <c r="G70" s="401"/>
      <c r="H70" s="422"/>
      <c r="I70" s="422"/>
      <c r="J70" s="422"/>
      <c r="K70" s="422"/>
      <c r="L70" s="422"/>
    </row>
    <row r="71" spans="2:12" ht="15" customHeight="1" x14ac:dyDescent="0.25">
      <c r="B71" s="361" t="s">
        <v>441</v>
      </c>
      <c r="E71" s="68">
        <f>FCFF!H43</f>
        <v>62.353999999999999</v>
      </c>
      <c r="F71" s="68">
        <f>FCFF!N43</f>
        <v>87.667000000000002</v>
      </c>
      <c r="G71" s="402">
        <f>FCFF!T43</f>
        <v>135.083</v>
      </c>
      <c r="H71" s="460">
        <f>+H72*H59</f>
        <v>0</v>
      </c>
      <c r="I71" s="460">
        <f t="shared" ref="I71:L71" si="10">+I72*I59</f>
        <v>0</v>
      </c>
      <c r="J71" s="460">
        <f t="shared" si="10"/>
        <v>0</v>
      </c>
      <c r="K71" s="460">
        <f t="shared" si="10"/>
        <v>0</v>
      </c>
      <c r="L71" s="460">
        <f t="shared" si="10"/>
        <v>0</v>
      </c>
    </row>
    <row r="72" spans="2:12" s="445" customFormat="1" ht="15" customHeight="1" x14ac:dyDescent="0.25">
      <c r="B72" s="32" t="s">
        <v>436</v>
      </c>
      <c r="C72" s="27"/>
      <c r="D72" s="27"/>
      <c r="E72" s="294">
        <f>E71/E59</f>
        <v>0.16036231585877705</v>
      </c>
      <c r="F72" s="294">
        <f t="shared" ref="F72:G72" si="11">F71/F59</f>
        <v>0.15718734927553643</v>
      </c>
      <c r="G72" s="400">
        <f t="shared" si="11"/>
        <v>0.17271434745140757</v>
      </c>
      <c r="H72" s="461"/>
      <c r="I72" s="461"/>
      <c r="J72" s="461"/>
      <c r="K72" s="461"/>
      <c r="L72" s="462"/>
    </row>
    <row r="73" spans="2:12" s="466" customFormat="1" ht="15" customHeight="1" x14ac:dyDescent="0.25">
      <c r="B73" s="385"/>
      <c r="C73" s="464"/>
      <c r="D73" s="464"/>
      <c r="E73" s="66"/>
      <c r="F73" s="66"/>
      <c r="G73" s="401"/>
      <c r="H73" s="465"/>
      <c r="I73" s="465"/>
      <c r="J73" s="465"/>
      <c r="K73" s="465"/>
      <c r="L73" s="465"/>
    </row>
    <row r="74" spans="2:12" ht="15" customHeight="1" x14ac:dyDescent="0.25">
      <c r="B74" s="361" t="s">
        <v>442</v>
      </c>
      <c r="E74" s="68">
        <f>FCFF!H46</f>
        <v>62.225999999999999</v>
      </c>
      <c r="F74" s="68">
        <f>FCFF!N46</f>
        <v>92.709000000000003</v>
      </c>
      <c r="G74" s="402">
        <f>FCFF!T46</f>
        <v>105.473</v>
      </c>
      <c r="H74" s="460">
        <f>+H75*H68</f>
        <v>0</v>
      </c>
      <c r="I74" s="460">
        <f t="shared" ref="I74:L74" si="12">+I75*I68</f>
        <v>0</v>
      </c>
      <c r="J74" s="460">
        <f t="shared" si="12"/>
        <v>0</v>
      </c>
      <c r="K74" s="460">
        <f t="shared" si="12"/>
        <v>0</v>
      </c>
      <c r="L74" s="460">
        <f t="shared" si="12"/>
        <v>0</v>
      </c>
    </row>
    <row r="75" spans="2:12" ht="15" customHeight="1" x14ac:dyDescent="0.25">
      <c r="B75" s="32" t="s">
        <v>443</v>
      </c>
      <c r="E75" s="294">
        <f>E74/E68</f>
        <v>0.33889388121885466</v>
      </c>
      <c r="F75" s="294">
        <f t="shared" ref="F75:G75" si="13">F74/F68</f>
        <v>0.33564071466068102</v>
      </c>
      <c r="G75" s="400">
        <f t="shared" si="13"/>
        <v>0.26937025288976746</v>
      </c>
      <c r="H75" s="461"/>
      <c r="I75" s="461"/>
      <c r="J75" s="461"/>
      <c r="K75" s="461"/>
      <c r="L75" s="461"/>
    </row>
    <row r="76" spans="2:12" ht="15" customHeight="1" x14ac:dyDescent="0.25">
      <c r="B76" s="32"/>
      <c r="E76" s="66"/>
      <c r="F76" s="66"/>
      <c r="G76" s="401"/>
      <c r="H76" s="420"/>
      <c r="I76" s="420"/>
      <c r="J76" s="420"/>
      <c r="K76" s="420"/>
      <c r="L76" s="420"/>
    </row>
    <row r="77" spans="2:12" ht="15" customHeight="1" x14ac:dyDescent="0.25">
      <c r="B77" s="361" t="s">
        <v>444</v>
      </c>
      <c r="E77" s="68">
        <f>FCFF!H49</f>
        <v>5.3659999999999997</v>
      </c>
      <c r="F77" s="68">
        <f>FCFF!N49</f>
        <v>8.0920000000000005</v>
      </c>
      <c r="G77" s="402">
        <f>FCFF!T49</f>
        <v>9.9670000000000005</v>
      </c>
      <c r="H77" s="460">
        <f>+H80+H83</f>
        <v>0</v>
      </c>
      <c r="I77" s="460">
        <f t="shared" ref="I77:L77" si="14">+I80+I83</f>
        <v>0</v>
      </c>
      <c r="J77" s="460">
        <f t="shared" si="14"/>
        <v>0</v>
      </c>
      <c r="K77" s="460">
        <f t="shared" si="14"/>
        <v>0</v>
      </c>
      <c r="L77" s="460">
        <f t="shared" si="14"/>
        <v>0</v>
      </c>
    </row>
    <row r="78" spans="2:12" s="445" customFormat="1" ht="15" customHeight="1" x14ac:dyDescent="0.25">
      <c r="B78" s="32" t="s">
        <v>445</v>
      </c>
      <c r="C78" s="27"/>
      <c r="D78" s="27"/>
      <c r="E78" s="294">
        <f>E77/(E111+E114)</f>
        <v>5.6273333612987121E-2</v>
      </c>
      <c r="F78" s="294">
        <f>F77/(F111+F114)</f>
        <v>3.6741569462543304E-2</v>
      </c>
      <c r="G78" s="400">
        <f>G77/(G111+G114)</f>
        <v>3.4751229036644467E-2</v>
      </c>
      <c r="H78" s="294">
        <f t="shared" ref="H78:L78" si="15">H77/(H111+H114)</f>
        <v>0</v>
      </c>
      <c r="I78" s="294">
        <f t="shared" si="15"/>
        <v>0</v>
      </c>
      <c r="J78" s="294">
        <f t="shared" si="15"/>
        <v>0</v>
      </c>
      <c r="K78" s="294">
        <f t="shared" si="15"/>
        <v>0</v>
      </c>
      <c r="L78" s="294">
        <f t="shared" si="15"/>
        <v>0</v>
      </c>
    </row>
    <row r="79" spans="2:12" ht="15" customHeight="1" x14ac:dyDescent="0.25">
      <c r="B79" s="32"/>
      <c r="E79" s="294"/>
      <c r="F79" s="294"/>
      <c r="G79" s="400"/>
      <c r="H79" s="467"/>
      <c r="I79" s="467"/>
      <c r="J79" s="467"/>
      <c r="K79" s="467"/>
      <c r="L79" s="467"/>
    </row>
    <row r="80" spans="2:12" ht="15" customHeight="1" x14ac:dyDescent="0.25">
      <c r="B80" s="468" t="s">
        <v>446</v>
      </c>
      <c r="E80" s="68">
        <f>FCFF!H52</f>
        <v>0</v>
      </c>
      <c r="F80" s="68">
        <f>FCFF!N52</f>
        <v>0</v>
      </c>
      <c r="G80" s="402">
        <f>FCFF!T52</f>
        <v>0</v>
      </c>
      <c r="H80" s="469">
        <f>H81*G111</f>
        <v>0</v>
      </c>
      <c r="I80" s="469">
        <f t="shared" ref="I80:L80" si="16">I81*H111</f>
        <v>0</v>
      </c>
      <c r="J80" s="469">
        <f t="shared" si="16"/>
        <v>0</v>
      </c>
      <c r="K80" s="469">
        <f t="shared" si="16"/>
        <v>0</v>
      </c>
      <c r="L80" s="469">
        <f t="shared" si="16"/>
        <v>0</v>
      </c>
    </row>
    <row r="81" spans="2:12" ht="15" customHeight="1" x14ac:dyDescent="0.25">
      <c r="B81" s="288" t="s">
        <v>447</v>
      </c>
      <c r="E81" s="294">
        <f>E80/E111</f>
        <v>0</v>
      </c>
      <c r="F81" s="294">
        <f>FCFF!N53</f>
        <v>0</v>
      </c>
      <c r="G81" s="400">
        <f>FCFF!T53</f>
        <v>0</v>
      </c>
      <c r="H81" s="461"/>
      <c r="I81" s="461"/>
      <c r="J81" s="461"/>
      <c r="K81" s="461"/>
      <c r="L81" s="461"/>
    </row>
    <row r="82" spans="2:12" ht="15" customHeight="1" x14ac:dyDescent="0.25">
      <c r="B82" s="32"/>
      <c r="E82" s="294"/>
      <c r="F82" s="294"/>
      <c r="G82" s="400"/>
    </row>
    <row r="83" spans="2:12" ht="15" customHeight="1" x14ac:dyDescent="0.25">
      <c r="B83" s="468" t="s">
        <v>448</v>
      </c>
      <c r="E83" s="68">
        <f>FCFF!H55</f>
        <v>0</v>
      </c>
      <c r="F83" s="68">
        <f>FCFF!N55</f>
        <v>0</v>
      </c>
      <c r="G83" s="402">
        <f>FCFF!T55</f>
        <v>0</v>
      </c>
      <c r="H83" s="460">
        <f>H84*G114</f>
        <v>0</v>
      </c>
      <c r="I83" s="460">
        <f t="shared" ref="I83:L83" si="17">I84*H114</f>
        <v>0</v>
      </c>
      <c r="J83" s="460">
        <f t="shared" si="17"/>
        <v>0</v>
      </c>
      <c r="K83" s="460">
        <f t="shared" si="17"/>
        <v>0</v>
      </c>
      <c r="L83" s="460">
        <f t="shared" si="17"/>
        <v>0</v>
      </c>
    </row>
    <row r="84" spans="2:12" ht="15" customHeight="1" x14ac:dyDescent="0.25">
      <c r="B84" s="288" t="s">
        <v>449</v>
      </c>
      <c r="C84" s="470"/>
      <c r="D84" s="470"/>
      <c r="E84" s="294">
        <f>E83/E114</f>
        <v>0</v>
      </c>
      <c r="F84" s="294">
        <f>F83/F114</f>
        <v>0</v>
      </c>
      <c r="G84" s="400">
        <f>G83/G114</f>
        <v>0</v>
      </c>
      <c r="H84" s="461"/>
      <c r="I84" s="461"/>
      <c r="J84" s="461"/>
      <c r="K84" s="461"/>
      <c r="L84" s="462"/>
    </row>
    <row r="85" spans="2:12" ht="15" customHeight="1" x14ac:dyDescent="0.25">
      <c r="B85" s="471"/>
      <c r="C85" s="470"/>
      <c r="D85" s="470"/>
      <c r="E85" s="66"/>
      <c r="F85" s="66"/>
      <c r="G85" s="401"/>
      <c r="H85" s="463"/>
      <c r="I85" s="463"/>
      <c r="J85" s="463"/>
      <c r="K85" s="463"/>
      <c r="L85" s="463"/>
    </row>
    <row r="86" spans="2:12" ht="15" customHeight="1" x14ac:dyDescent="0.25">
      <c r="B86" s="361" t="s">
        <v>451</v>
      </c>
      <c r="C86" s="470"/>
      <c r="D86" s="470"/>
      <c r="E86" s="68">
        <f>FCFF!H61</f>
        <v>59.023000000000003</v>
      </c>
      <c r="F86" s="68">
        <f>FCFF!N61</f>
        <v>95.837000000000003</v>
      </c>
      <c r="G86" s="402">
        <f>FCFF!T61</f>
        <v>150.053</v>
      </c>
      <c r="H86" s="460">
        <f>H68-H71-H74-H77</f>
        <v>350000</v>
      </c>
      <c r="I86" s="460">
        <f t="shared" ref="I86:L86" si="18">I68-I71-I74-I77</f>
        <v>352000</v>
      </c>
      <c r="J86" s="460">
        <f t="shared" si="18"/>
        <v>350000</v>
      </c>
      <c r="K86" s="460">
        <f t="shared" si="18"/>
        <v>352000</v>
      </c>
      <c r="L86" s="460">
        <f t="shared" si="18"/>
        <v>350000</v>
      </c>
    </row>
    <row r="87" spans="2:12" ht="15" customHeight="1" x14ac:dyDescent="0.25">
      <c r="B87" s="32" t="s">
        <v>436</v>
      </c>
      <c r="C87" s="470"/>
      <c r="D87" s="470"/>
      <c r="E87" s="294">
        <f t="shared" ref="E87:L87" si="19">E86/E59</f>
        <v>0.15179563410418898</v>
      </c>
      <c r="F87" s="294">
        <f t="shared" si="19"/>
        <v>0.17183619825612359</v>
      </c>
      <c r="G87" s="400">
        <f t="shared" si="19"/>
        <v>0.19185468177436141</v>
      </c>
      <c r="H87" s="294">
        <f t="shared" si="19"/>
        <v>1</v>
      </c>
      <c r="I87" s="294">
        <f t="shared" si="19"/>
        <v>1</v>
      </c>
      <c r="J87" s="294">
        <f t="shared" si="19"/>
        <v>1</v>
      </c>
      <c r="K87" s="294">
        <f t="shared" si="19"/>
        <v>1</v>
      </c>
      <c r="L87" s="294">
        <f t="shared" si="19"/>
        <v>1</v>
      </c>
    </row>
    <row r="88" spans="2:12" ht="15" customHeight="1" x14ac:dyDescent="0.25">
      <c r="B88" s="32"/>
      <c r="C88" s="470"/>
      <c r="D88" s="470"/>
      <c r="E88" s="463"/>
      <c r="F88" s="463"/>
      <c r="G88" s="472"/>
      <c r="H88" s="463"/>
      <c r="I88" s="463"/>
      <c r="J88" s="463"/>
      <c r="K88" s="463"/>
      <c r="L88" s="463"/>
    </row>
    <row r="89" spans="2:12" ht="15" customHeight="1" x14ac:dyDescent="0.25">
      <c r="B89" s="361" t="s">
        <v>574</v>
      </c>
      <c r="C89" s="470"/>
      <c r="D89" s="470"/>
      <c r="E89" s="68">
        <f>IS!T38</f>
        <v>-7.085</v>
      </c>
      <c r="F89" s="68">
        <f>IS!Z38</f>
        <v>-5.673</v>
      </c>
      <c r="G89" s="402">
        <f>IS!AF38</f>
        <v>-5.7839999999999998</v>
      </c>
      <c r="H89" s="66">
        <f>+H164</f>
        <v>0</v>
      </c>
      <c r="I89" s="66">
        <f t="shared" ref="I89:L89" si="20">+I164</f>
        <v>0</v>
      </c>
      <c r="J89" s="66">
        <f t="shared" si="20"/>
        <v>0</v>
      </c>
      <c r="K89" s="66">
        <f t="shared" si="20"/>
        <v>0</v>
      </c>
      <c r="L89" s="66">
        <f t="shared" si="20"/>
        <v>0</v>
      </c>
    </row>
    <row r="90" spans="2:12" ht="15" customHeight="1" x14ac:dyDescent="0.25">
      <c r="B90" s="361"/>
      <c r="C90" s="470"/>
      <c r="D90" s="470"/>
      <c r="E90" s="463"/>
      <c r="F90" s="463"/>
      <c r="G90" s="472"/>
      <c r="H90" s="463"/>
      <c r="I90" s="463"/>
      <c r="J90" s="463"/>
      <c r="K90" s="463"/>
      <c r="L90" s="463"/>
    </row>
    <row r="91" spans="2:12" ht="15" customHeight="1" x14ac:dyDescent="0.25">
      <c r="B91" s="361" t="s">
        <v>575</v>
      </c>
      <c r="C91" s="470"/>
      <c r="D91" s="470"/>
      <c r="E91" s="68">
        <f>IS!T42</f>
        <v>75.204999999999998</v>
      </c>
      <c r="F91" s="68">
        <f>IS!Z42</f>
        <v>118.95099999999999</v>
      </c>
      <c r="G91" s="402">
        <f>IS!AF42</f>
        <v>164.38200000000001</v>
      </c>
      <c r="H91" s="66">
        <f>+H86-H89</f>
        <v>350000</v>
      </c>
      <c r="I91" s="66">
        <f t="shared" ref="I91:L91" si="21">+I86-I89</f>
        <v>352000</v>
      </c>
      <c r="J91" s="66">
        <f t="shared" si="21"/>
        <v>350000</v>
      </c>
      <c r="K91" s="66">
        <f t="shared" si="21"/>
        <v>352000</v>
      </c>
      <c r="L91" s="66">
        <f t="shared" si="21"/>
        <v>350000</v>
      </c>
    </row>
    <row r="92" spans="2:12" ht="15" customHeight="1" x14ac:dyDescent="0.25">
      <c r="B92" s="32" t="s">
        <v>436</v>
      </c>
      <c r="C92" s="470"/>
      <c r="D92" s="470"/>
      <c r="E92" s="463">
        <f t="shared" ref="E92:L92" si="22">E91/E59</f>
        <v>0.19341257921158753</v>
      </c>
      <c r="F92" s="463">
        <f t="shared" si="22"/>
        <v>0.21327971053730974</v>
      </c>
      <c r="G92" s="473">
        <f t="shared" si="22"/>
        <v>0.21017544667172983</v>
      </c>
      <c r="H92" s="463">
        <f t="shared" si="22"/>
        <v>1</v>
      </c>
      <c r="I92" s="463">
        <f t="shared" si="22"/>
        <v>1</v>
      </c>
      <c r="J92" s="463">
        <f t="shared" si="22"/>
        <v>1</v>
      </c>
      <c r="K92" s="463">
        <f t="shared" si="22"/>
        <v>1</v>
      </c>
      <c r="L92" s="463">
        <f t="shared" si="22"/>
        <v>1</v>
      </c>
    </row>
    <row r="93" spans="2:12" ht="15" customHeight="1" x14ac:dyDescent="0.25">
      <c r="B93" s="76"/>
      <c r="C93" s="470"/>
      <c r="D93" s="470"/>
      <c r="E93" s="463"/>
      <c r="F93" s="463"/>
      <c r="G93" s="473"/>
      <c r="H93" s="463"/>
      <c r="I93" s="463"/>
      <c r="J93" s="463"/>
      <c r="K93" s="463"/>
      <c r="L93" s="463"/>
    </row>
    <row r="94" spans="2:12" ht="15" customHeight="1" x14ac:dyDescent="0.25">
      <c r="B94" s="361" t="s">
        <v>576</v>
      </c>
      <c r="C94" s="470"/>
      <c r="D94" s="470"/>
      <c r="E94" s="68">
        <f>IS!T45</f>
        <v>16.795500000000001</v>
      </c>
      <c r="F94" s="68">
        <f>IS!Z45</f>
        <v>19.938400000000001</v>
      </c>
      <c r="G94" s="402">
        <f>IS!AF45</f>
        <v>34.6282</v>
      </c>
      <c r="H94" s="66">
        <f>H95*H91</f>
        <v>0</v>
      </c>
      <c r="I94" s="66">
        <f t="shared" ref="I94:L94" si="23">I95*I91</f>
        <v>0</v>
      </c>
      <c r="J94" s="66">
        <f t="shared" si="23"/>
        <v>0</v>
      </c>
      <c r="K94" s="66">
        <f t="shared" si="23"/>
        <v>0</v>
      </c>
      <c r="L94" s="66">
        <f t="shared" si="23"/>
        <v>0</v>
      </c>
    </row>
    <row r="95" spans="2:12" ht="15" customHeight="1" x14ac:dyDescent="0.25">
      <c r="B95" s="32" t="s">
        <v>577</v>
      </c>
      <c r="C95" s="470"/>
      <c r="D95" s="470"/>
      <c r="E95" s="463">
        <f>E94/E91</f>
        <v>0.22332956585333424</v>
      </c>
      <c r="F95" s="463">
        <f t="shared" ref="F95:G95" si="24">F94/F91</f>
        <v>0.16761859925515551</v>
      </c>
      <c r="G95" s="474">
        <f t="shared" si="24"/>
        <v>0.21065688457373677</v>
      </c>
      <c r="H95" s="461"/>
      <c r="I95" s="461"/>
      <c r="J95" s="461"/>
      <c r="K95" s="461"/>
      <c r="L95" s="462"/>
    </row>
    <row r="97" spans="1:12" ht="15" customHeight="1" x14ac:dyDescent="0.25">
      <c r="B97" s="361" t="s">
        <v>578</v>
      </c>
      <c r="C97" s="470"/>
      <c r="D97" s="470"/>
      <c r="E97" s="68">
        <f>IS!T47</f>
        <v>58.409500000000001</v>
      </c>
      <c r="F97" s="68">
        <f>IS!Z47</f>
        <v>99.012600000000006</v>
      </c>
      <c r="G97" s="402">
        <f>IS!AF47</f>
        <v>129.75380000000001</v>
      </c>
      <c r="H97" s="66">
        <f>H91-H94</f>
        <v>350000</v>
      </c>
      <c r="I97" s="66">
        <f t="shared" ref="I97:L97" si="25">I91-I94</f>
        <v>352000</v>
      </c>
      <c r="J97" s="66">
        <f t="shared" si="25"/>
        <v>350000</v>
      </c>
      <c r="K97" s="66">
        <f t="shared" si="25"/>
        <v>352000</v>
      </c>
      <c r="L97" s="66">
        <f t="shared" si="25"/>
        <v>350000</v>
      </c>
    </row>
    <row r="98" spans="1:12" ht="15" customHeight="1" x14ac:dyDescent="0.25">
      <c r="B98" s="32" t="s">
        <v>436</v>
      </c>
      <c r="C98" s="470"/>
      <c r="D98" s="470"/>
      <c r="E98" s="463">
        <f t="shared" ref="E98:L98" si="26">E97/E59</f>
        <v>0.15021783186569007</v>
      </c>
      <c r="F98" s="463">
        <f t="shared" si="26"/>
        <v>0.17753006420750089</v>
      </c>
      <c r="G98" s="473">
        <f t="shared" si="26"/>
        <v>0.16590054186196967</v>
      </c>
      <c r="H98" s="463">
        <f t="shared" si="26"/>
        <v>1</v>
      </c>
      <c r="I98" s="463">
        <f t="shared" si="26"/>
        <v>1</v>
      </c>
      <c r="J98" s="463">
        <f t="shared" si="26"/>
        <v>1</v>
      </c>
      <c r="K98" s="463">
        <f t="shared" si="26"/>
        <v>1</v>
      </c>
      <c r="L98" s="463">
        <f t="shared" si="26"/>
        <v>1</v>
      </c>
    </row>
    <row r="99" spans="1:12" ht="15" customHeight="1" x14ac:dyDescent="0.25">
      <c r="B99" s="32"/>
      <c r="C99" s="470"/>
      <c r="D99" s="470"/>
      <c r="E99" s="475"/>
      <c r="F99" s="475"/>
      <c r="G99" s="476"/>
      <c r="H99" s="463"/>
      <c r="I99" s="463"/>
      <c r="J99" s="463"/>
      <c r="K99" s="463"/>
      <c r="L99" s="463"/>
    </row>
    <row r="100" spans="1:12" ht="15" customHeight="1" x14ac:dyDescent="0.25">
      <c r="A100" s="366" t="s">
        <v>38</v>
      </c>
      <c r="B100" s="358" t="s">
        <v>454</v>
      </c>
      <c r="C100" s="33"/>
      <c r="D100" s="33"/>
      <c r="E100" s="440">
        <f t="shared" ref="E100:L100" si="27">E57</f>
        <v>2022</v>
      </c>
      <c r="F100" s="440">
        <f t="shared" si="27"/>
        <v>2023</v>
      </c>
      <c r="G100" s="440">
        <f t="shared" si="27"/>
        <v>2024</v>
      </c>
      <c r="H100" s="441">
        <f t="shared" si="27"/>
        <v>2025</v>
      </c>
      <c r="I100" s="441">
        <f t="shared" si="27"/>
        <v>2026</v>
      </c>
      <c r="J100" s="441">
        <f t="shared" si="27"/>
        <v>2027</v>
      </c>
      <c r="K100" s="441">
        <f t="shared" si="27"/>
        <v>2028</v>
      </c>
      <c r="L100" s="441">
        <f t="shared" si="27"/>
        <v>2029</v>
      </c>
    </row>
    <row r="101" spans="1:12" ht="4.05" customHeight="1" x14ac:dyDescent="0.25">
      <c r="B101" s="477"/>
      <c r="C101" s="37"/>
      <c r="D101" s="37"/>
      <c r="E101" s="37"/>
      <c r="F101" s="37"/>
      <c r="G101" s="37"/>
      <c r="H101" s="37"/>
      <c r="I101" s="37"/>
      <c r="J101" s="37"/>
      <c r="K101" s="37"/>
      <c r="L101" s="37"/>
    </row>
    <row r="102" spans="1:12" ht="15" customHeight="1" x14ac:dyDescent="0.25">
      <c r="B102" s="361" t="s">
        <v>483</v>
      </c>
      <c r="E102" s="68">
        <f>FCFF!H70</f>
        <v>182.93600000000001</v>
      </c>
      <c r="F102" s="68">
        <f>FCFF!N70</f>
        <v>283.18599999999998</v>
      </c>
      <c r="G102" s="402">
        <f>FCFF!T70</f>
        <v>387.04500000000002</v>
      </c>
      <c r="H102" s="478">
        <f>+H103*H59/365</f>
        <v>0</v>
      </c>
      <c r="I102" s="478">
        <f t="shared" ref="I102:L102" si="28">+I103*I59/365</f>
        <v>0</v>
      </c>
      <c r="J102" s="478">
        <f t="shared" si="28"/>
        <v>0</v>
      </c>
      <c r="K102" s="478">
        <f>+K103*K59/366</f>
        <v>0</v>
      </c>
      <c r="L102" s="478">
        <f t="shared" si="28"/>
        <v>0</v>
      </c>
    </row>
    <row r="103" spans="1:12" ht="15" customHeight="1" x14ac:dyDescent="0.25">
      <c r="B103" s="32" t="s">
        <v>484</v>
      </c>
      <c r="E103" s="309">
        <f>FCFF!H71</f>
        <v>171.72362357007654</v>
      </c>
      <c r="F103" s="309">
        <f>FCFF!N71</f>
        <v>185.3301549335423</v>
      </c>
      <c r="G103" s="403">
        <f>FCFF!T71</f>
        <v>180.62674046627237</v>
      </c>
      <c r="H103" s="479"/>
      <c r="I103" s="479"/>
      <c r="J103" s="479"/>
      <c r="K103" s="479"/>
      <c r="L103" s="479"/>
    </row>
    <row r="104" spans="1:12" ht="15" customHeight="1" x14ac:dyDescent="0.25">
      <c r="B104" s="361"/>
      <c r="E104" s="96"/>
      <c r="F104" s="96"/>
      <c r="G104" s="404"/>
      <c r="H104" s="478"/>
      <c r="I104" s="478"/>
      <c r="J104" s="478"/>
      <c r="K104" s="478"/>
      <c r="L104" s="478"/>
    </row>
    <row r="105" spans="1:12" ht="15" customHeight="1" x14ac:dyDescent="0.25">
      <c r="B105" s="361" t="s">
        <v>485</v>
      </c>
      <c r="E105" s="68">
        <f>FCFF!H73</f>
        <v>393.17200000000003</v>
      </c>
      <c r="F105" s="68">
        <f>FCFF!N73</f>
        <v>545.39499999999998</v>
      </c>
      <c r="G105" s="402">
        <f>FCFF!T73</f>
        <v>597.98400000000004</v>
      </c>
      <c r="H105" s="478">
        <f>+H106*H62/365</f>
        <v>0</v>
      </c>
      <c r="I105" s="478">
        <f t="shared" ref="I105:L105" si="29">+I106*I62/365</f>
        <v>0</v>
      </c>
      <c r="J105" s="478">
        <f t="shared" si="29"/>
        <v>0</v>
      </c>
      <c r="K105" s="478">
        <f>+K106*K62/366</f>
        <v>0</v>
      </c>
      <c r="L105" s="478">
        <f t="shared" si="29"/>
        <v>0</v>
      </c>
    </row>
    <row r="106" spans="1:12" ht="15" customHeight="1" x14ac:dyDescent="0.25">
      <c r="B106" s="32" t="s">
        <v>486</v>
      </c>
      <c r="E106" s="309">
        <f>FCFF!H74</f>
        <v>699.29771899988793</v>
      </c>
      <c r="F106" s="309">
        <f>FCFF!N74</f>
        <v>707.15281626099443</v>
      </c>
      <c r="G106" s="403">
        <f>FCFF!T74</f>
        <v>558.84351860386516</v>
      </c>
      <c r="H106" s="479"/>
      <c r="I106" s="479"/>
      <c r="J106" s="479"/>
      <c r="K106" s="479"/>
      <c r="L106" s="479"/>
    </row>
    <row r="107" spans="1:12" ht="15" customHeight="1" x14ac:dyDescent="0.25">
      <c r="B107" s="361"/>
      <c r="E107" s="96"/>
      <c r="F107" s="96"/>
      <c r="G107" s="404"/>
    </row>
    <row r="108" spans="1:12" ht="15" customHeight="1" x14ac:dyDescent="0.25">
      <c r="B108" s="361" t="s">
        <v>487</v>
      </c>
      <c r="E108" s="68">
        <f>FCFF!H76</f>
        <v>15.606999999999999</v>
      </c>
      <c r="F108" s="68">
        <f>FCFF!N76</f>
        <v>20.023</v>
      </c>
      <c r="G108" s="402">
        <f>FCFF!T76</f>
        <v>7.5069999999999997</v>
      </c>
      <c r="H108" s="478">
        <f>+H109*H59</f>
        <v>0</v>
      </c>
      <c r="I108" s="478">
        <f t="shared" ref="I108:L108" si="30">+I109*I59</f>
        <v>0</v>
      </c>
      <c r="J108" s="478">
        <f t="shared" si="30"/>
        <v>0</v>
      </c>
      <c r="K108" s="478">
        <f t="shared" si="30"/>
        <v>0</v>
      </c>
      <c r="L108" s="478">
        <f t="shared" si="30"/>
        <v>0</v>
      </c>
    </row>
    <row r="109" spans="1:12" s="445" customFormat="1" ht="15" customHeight="1" x14ac:dyDescent="0.25">
      <c r="A109" s="366"/>
      <c r="B109" s="32" t="s">
        <v>436</v>
      </c>
      <c r="C109" s="27"/>
      <c r="D109" s="27"/>
      <c r="E109" s="294">
        <f>FCFF!H77</f>
        <v>4.0138157353304255E-2</v>
      </c>
      <c r="F109" s="294">
        <f>FCFF!N77</f>
        <v>3.5901334533451193E-2</v>
      </c>
      <c r="G109" s="400">
        <f>FCFF!T77</f>
        <v>9.5982959093129164E-3</v>
      </c>
      <c r="H109" s="461"/>
      <c r="I109" s="461"/>
      <c r="J109" s="461"/>
      <c r="K109" s="461"/>
      <c r="L109" s="461"/>
    </row>
    <row r="110" spans="1:12" ht="15" customHeight="1" x14ac:dyDescent="0.25">
      <c r="B110" s="361"/>
      <c r="E110" s="96"/>
      <c r="F110" s="96"/>
      <c r="G110" s="404"/>
      <c r="H110" s="478"/>
      <c r="I110" s="478"/>
      <c r="J110" s="478"/>
      <c r="K110" s="478"/>
      <c r="L110" s="478"/>
    </row>
    <row r="111" spans="1:12" ht="15" customHeight="1" x14ac:dyDescent="0.25">
      <c r="B111" s="361" t="s">
        <v>488</v>
      </c>
      <c r="E111" s="68">
        <f>FCFF!H79</f>
        <v>94.055999999999997</v>
      </c>
      <c r="F111" s="68">
        <f>FCFF!N79</f>
        <v>217.24100000000001</v>
      </c>
      <c r="G111" s="402">
        <f>FCFF!T79</f>
        <v>283.31</v>
      </c>
      <c r="H111" s="66">
        <f>+G111-H112*H131-H80-H65</f>
        <v>283.31</v>
      </c>
      <c r="I111" s="66">
        <f t="shared" ref="I111:L111" si="31">+H111-I112*I131-I80-I65</f>
        <v>283.31</v>
      </c>
      <c r="J111" s="66">
        <f t="shared" si="31"/>
        <v>283.31</v>
      </c>
      <c r="K111" s="66">
        <f t="shared" si="31"/>
        <v>283.31</v>
      </c>
      <c r="L111" s="66">
        <f t="shared" si="31"/>
        <v>283.31</v>
      </c>
    </row>
    <row r="112" spans="1:12" ht="15" customHeight="1" x14ac:dyDescent="0.25">
      <c r="B112" s="32" t="s">
        <v>489</v>
      </c>
      <c r="E112" s="294">
        <f>FCFF!H80</f>
        <v>0</v>
      </c>
      <c r="F112" s="294">
        <f>FCFF!N80</f>
        <v>0</v>
      </c>
      <c r="G112" s="400">
        <f>FCFF!T80</f>
        <v>0</v>
      </c>
      <c r="H112" s="461"/>
      <c r="I112" s="461"/>
      <c r="J112" s="461"/>
      <c r="K112" s="461"/>
      <c r="L112" s="461"/>
    </row>
    <row r="114" spans="1:12" ht="15" customHeight="1" x14ac:dyDescent="0.25">
      <c r="B114" s="361" t="s">
        <v>579</v>
      </c>
      <c r="E114" s="68">
        <f>FCFF!H82</f>
        <v>1.3</v>
      </c>
      <c r="F114" s="68">
        <f>FCFF!N82</f>
        <v>3</v>
      </c>
      <c r="G114" s="402">
        <f>FCFF!T82</f>
        <v>3.5</v>
      </c>
      <c r="H114" s="66">
        <f>+G114+H115*H74-(1-H112)*H131-H83</f>
        <v>3.5</v>
      </c>
      <c r="I114" s="66">
        <f>+H114+I115*I74-(1-I112)*I131-I83</f>
        <v>3.5</v>
      </c>
      <c r="J114" s="66">
        <f>+I114+J115*J74-(1-J112)*J131-J83</f>
        <v>3.5</v>
      </c>
      <c r="K114" s="66">
        <f>+J114+K115*K74-(1-K112)*K131-K83</f>
        <v>3.5</v>
      </c>
      <c r="L114" s="66">
        <f>+K114+L115*L74-(1-L112)*L131-L83</f>
        <v>3.5</v>
      </c>
    </row>
    <row r="115" spans="1:12" ht="15" customHeight="1" x14ac:dyDescent="0.25">
      <c r="B115" s="32" t="s">
        <v>580</v>
      </c>
      <c r="E115" s="294">
        <f>FCFF!H83</f>
        <v>2.089158872497027E-2</v>
      </c>
      <c r="F115" s="294">
        <f>FCFF!N83</f>
        <v>3.2359317865579391E-2</v>
      </c>
      <c r="G115" s="400">
        <f>FCFF!T83</f>
        <v>3.3183847999013964E-2</v>
      </c>
      <c r="H115" s="461"/>
      <c r="I115" s="461"/>
      <c r="J115" s="461"/>
      <c r="K115" s="461"/>
      <c r="L115" s="461"/>
    </row>
    <row r="116" spans="1:12" s="445" customFormat="1" ht="15" customHeight="1" x14ac:dyDescent="0.25">
      <c r="A116" s="366"/>
      <c r="B116" s="96"/>
      <c r="C116" s="23"/>
      <c r="D116" s="23"/>
      <c r="E116" s="96"/>
      <c r="F116" s="96"/>
      <c r="G116" s="404"/>
      <c r="H116" s="478"/>
      <c r="I116" s="478"/>
      <c r="J116" s="478"/>
      <c r="K116" s="478"/>
      <c r="L116" s="478"/>
    </row>
    <row r="117" spans="1:12" ht="15" customHeight="1" x14ac:dyDescent="0.25">
      <c r="B117" s="361" t="s">
        <v>492</v>
      </c>
      <c r="E117" s="68">
        <f>FCFF!H85</f>
        <v>171.87299999999999</v>
      </c>
      <c r="F117" s="68">
        <f>FCFF!N85</f>
        <v>262.57299999999998</v>
      </c>
      <c r="G117" s="402">
        <f>FCFF!T85</f>
        <v>289.863</v>
      </c>
      <c r="H117" s="66">
        <f>+H118*H62/365</f>
        <v>0</v>
      </c>
      <c r="I117" s="66">
        <f t="shared" ref="I117:L117" si="32">+I118*I62/365</f>
        <v>0</v>
      </c>
      <c r="J117" s="66">
        <f t="shared" si="32"/>
        <v>0</v>
      </c>
      <c r="K117" s="66">
        <f>+K118*K62/366</f>
        <v>0</v>
      </c>
      <c r="L117" s="66">
        <f t="shared" si="32"/>
        <v>0</v>
      </c>
    </row>
    <row r="118" spans="1:12" ht="15" customHeight="1" x14ac:dyDescent="0.25">
      <c r="B118" s="32" t="s">
        <v>493</v>
      </c>
      <c r="E118" s="309">
        <f>FCFF!H86</f>
        <v>305.69419200163725</v>
      </c>
      <c r="F118" s="309">
        <f>FCFF!N86</f>
        <v>340.44909913750229</v>
      </c>
      <c r="G118" s="403">
        <f>FCFF!T86</f>
        <v>270.890289427597</v>
      </c>
      <c r="H118" s="479"/>
      <c r="I118" s="479"/>
      <c r="J118" s="479"/>
      <c r="K118" s="479"/>
      <c r="L118" s="479"/>
    </row>
    <row r="119" spans="1:12" ht="15" customHeight="1" x14ac:dyDescent="0.25">
      <c r="B119" s="361"/>
      <c r="E119" s="96"/>
      <c r="F119" s="96"/>
      <c r="G119" s="404"/>
      <c r="H119" s="480"/>
      <c r="I119" s="480"/>
      <c r="J119" s="480"/>
      <c r="K119" s="480"/>
      <c r="L119" s="480"/>
    </row>
    <row r="120" spans="1:12" ht="15" customHeight="1" x14ac:dyDescent="0.25">
      <c r="B120" s="361" t="s">
        <v>494</v>
      </c>
      <c r="E120" s="68">
        <f>FCFF!H88</f>
        <v>164.63300000000001</v>
      </c>
      <c r="F120" s="68">
        <f>FCFF!N88</f>
        <v>197.20400000000001</v>
      </c>
      <c r="G120" s="402">
        <f>FCFF!T88</f>
        <v>271.95199999999994</v>
      </c>
      <c r="H120" s="66">
        <f>+H121*H71</f>
        <v>0</v>
      </c>
      <c r="I120" s="66">
        <f t="shared" ref="I120:L120" si="33">+I121*I71</f>
        <v>0</v>
      </c>
      <c r="J120" s="66">
        <f t="shared" si="33"/>
        <v>0</v>
      </c>
      <c r="K120" s="66">
        <f t="shared" si="33"/>
        <v>0</v>
      </c>
      <c r="L120" s="66">
        <f t="shared" si="33"/>
        <v>0</v>
      </c>
    </row>
    <row r="121" spans="1:12" ht="15" customHeight="1" x14ac:dyDescent="0.25">
      <c r="B121" s="32" t="s">
        <v>495</v>
      </c>
      <c r="E121" s="294">
        <f>FCFF!H89</f>
        <v>2.6402957308272126</v>
      </c>
      <c r="F121" s="294">
        <f>FCFF!N89</f>
        <v>2.2494667320656574</v>
      </c>
      <c r="G121" s="400">
        <f>FCFF!T89</f>
        <v>2.0132215008550296</v>
      </c>
      <c r="H121" s="461"/>
      <c r="I121" s="461"/>
      <c r="J121" s="461"/>
      <c r="K121" s="461"/>
      <c r="L121" s="461"/>
    </row>
    <row r="122" spans="1:12" ht="15" customHeight="1" x14ac:dyDescent="0.25">
      <c r="B122" s="361"/>
      <c r="C122" s="470"/>
      <c r="D122" s="470"/>
      <c r="E122" s="463"/>
      <c r="F122" s="463"/>
      <c r="G122" s="473"/>
      <c r="H122" s="481"/>
      <c r="I122" s="481"/>
      <c r="J122" s="481"/>
      <c r="K122" s="481"/>
      <c r="L122" s="481"/>
    </row>
    <row r="123" spans="1:12" ht="15" customHeight="1" x14ac:dyDescent="0.25">
      <c r="A123" s="366" t="s">
        <v>38</v>
      </c>
      <c r="B123" s="358" t="s">
        <v>581</v>
      </c>
      <c r="C123" s="358"/>
      <c r="D123" s="358"/>
      <c r="E123" s="440">
        <f t="shared" ref="E123:L123" si="34">E57</f>
        <v>2022</v>
      </c>
      <c r="F123" s="440">
        <f t="shared" si="34"/>
        <v>2023</v>
      </c>
      <c r="G123" s="440">
        <f t="shared" si="34"/>
        <v>2024</v>
      </c>
      <c r="H123" s="441">
        <f t="shared" si="34"/>
        <v>2025</v>
      </c>
      <c r="I123" s="441">
        <f t="shared" si="34"/>
        <v>2026</v>
      </c>
      <c r="J123" s="441">
        <f t="shared" si="34"/>
        <v>2027</v>
      </c>
      <c r="K123" s="441">
        <f t="shared" si="34"/>
        <v>2028</v>
      </c>
      <c r="L123" s="441">
        <f t="shared" si="34"/>
        <v>2029</v>
      </c>
    </row>
    <row r="124" spans="1:12" ht="4.05" customHeight="1" x14ac:dyDescent="0.25">
      <c r="B124" s="37"/>
      <c r="C124" s="37"/>
      <c r="D124" s="37"/>
      <c r="E124" s="482"/>
      <c r="F124" s="482"/>
      <c r="G124" s="482"/>
      <c r="H124" s="37"/>
      <c r="I124" s="37"/>
      <c r="J124" s="37"/>
      <c r="K124" s="37"/>
      <c r="L124" s="37"/>
    </row>
    <row r="125" spans="1:12" ht="15" customHeight="1" x14ac:dyDescent="0.25">
      <c r="B125" s="361" t="s">
        <v>444</v>
      </c>
      <c r="E125" s="68">
        <f>FCFF!H94</f>
        <v>5.3659999999999997</v>
      </c>
      <c r="F125" s="68">
        <f>FCFF!N94</f>
        <v>8.0920000000000005</v>
      </c>
      <c r="G125" s="402">
        <f>FCFF!T94</f>
        <v>9.9670000000000005</v>
      </c>
      <c r="H125" s="483">
        <f>+H77+H65</f>
        <v>0</v>
      </c>
      <c r="I125" s="483">
        <f t="shared" ref="I125:L125" si="35">+I77+I65</f>
        <v>0</v>
      </c>
      <c r="J125" s="483">
        <f t="shared" si="35"/>
        <v>0</v>
      </c>
      <c r="K125" s="483">
        <f t="shared" si="35"/>
        <v>0</v>
      </c>
      <c r="L125" s="483">
        <f t="shared" si="35"/>
        <v>0</v>
      </c>
    </row>
    <row r="126" spans="1:12" ht="15" customHeight="1" x14ac:dyDescent="0.25">
      <c r="B126" s="32" t="s">
        <v>445</v>
      </c>
      <c r="E126" s="294">
        <f>FCFF!H95</f>
        <v>5.6273333612987121E-2</v>
      </c>
      <c r="F126" s="294">
        <f>FCFF!N95</f>
        <v>3.6741569462543304E-2</v>
      </c>
      <c r="G126" s="400">
        <f>FCFF!T95</f>
        <v>3.4751229036644467E-2</v>
      </c>
      <c r="H126" s="484">
        <f>+H125/(H111+H114)</f>
        <v>0</v>
      </c>
      <c r="I126" s="484">
        <f>+I125/(I111+I114)</f>
        <v>0</v>
      </c>
      <c r="J126" s="484">
        <f>+J125/(J111+J114)</f>
        <v>0</v>
      </c>
      <c r="K126" s="484">
        <f>+K125/(K111+K114)</f>
        <v>0</v>
      </c>
      <c r="L126" s="484">
        <f>+L125/(L111+L114)</f>
        <v>0</v>
      </c>
    </row>
    <row r="127" spans="1:12" s="328" customFormat="1" ht="15" customHeight="1" x14ac:dyDescent="0.25">
      <c r="A127" s="485"/>
      <c r="B127" s="96"/>
      <c r="C127" s="34"/>
      <c r="D127" s="34"/>
      <c r="E127" s="96"/>
      <c r="F127" s="96"/>
      <c r="G127" s="404"/>
      <c r="H127" s="34"/>
      <c r="I127" s="34"/>
      <c r="J127" s="34"/>
      <c r="K127" s="34"/>
      <c r="L127" s="34"/>
    </row>
    <row r="128" spans="1:12" ht="15" customHeight="1" x14ac:dyDescent="0.25">
      <c r="B128" s="361" t="s">
        <v>501</v>
      </c>
      <c r="E128" s="68">
        <f>FCFF!H103</f>
        <v>-138.02500000000003</v>
      </c>
      <c r="F128" s="68">
        <f>FCFF!N103</f>
        <v>-188.42399999999998</v>
      </c>
      <c r="G128" s="402">
        <f>FCFF!T103</f>
        <v>-76.47</v>
      </c>
      <c r="H128" s="486">
        <f>-((H102+H105+H108-H117-H120)-(G102+G105+G108-G117-G120))</f>
        <v>430.72100000000006</v>
      </c>
      <c r="I128" s="486">
        <f>-((I102+I105+I108-I117-I120)-(H102+H105+H108-H117-H120))</f>
        <v>0</v>
      </c>
      <c r="J128" s="486">
        <f>-((J102+J105+J108-J117-J120)-(I102+I105+I108-I117-I120))</f>
        <v>0</v>
      </c>
      <c r="K128" s="486">
        <f>-((K102+K105+K108-K117-K120)-(J102+J105+J108-J117-J120))</f>
        <v>0</v>
      </c>
      <c r="L128" s="486">
        <f>-((L102+L105+L108-L117-L120)-(K102+K105+K108-K117-K120))</f>
        <v>0</v>
      </c>
    </row>
    <row r="129" spans="1:12" ht="15" customHeight="1" x14ac:dyDescent="0.25">
      <c r="B129" s="32" t="s">
        <v>502</v>
      </c>
      <c r="E129" s="294">
        <f>FCFF!H104</f>
        <v>-0.53137427767361833</v>
      </c>
      <c r="F129" s="294">
        <f>FCFF!N104</f>
        <v>-0.48458974569994234</v>
      </c>
      <c r="G129" s="400">
        <f>FCFF!T104</f>
        <v>-0.13711107485257018</v>
      </c>
      <c r="H129" s="444">
        <f>H128/(H59-G59)</f>
        <v>1.2333875846598258E-3</v>
      </c>
      <c r="I129" s="444">
        <f>I128/(I59-H59)</f>
        <v>0</v>
      </c>
      <c r="J129" s="444">
        <f>J128/(J59-I59)</f>
        <v>0</v>
      </c>
      <c r="K129" s="444">
        <f>K128/(K59-J59)</f>
        <v>0</v>
      </c>
      <c r="L129" s="444">
        <f>L128/(L59-K59)</f>
        <v>0</v>
      </c>
    </row>
    <row r="130" spans="1:12" ht="15" customHeight="1" x14ac:dyDescent="0.25">
      <c r="B130" s="96"/>
      <c r="E130" s="96"/>
      <c r="F130" s="96"/>
      <c r="G130" s="404"/>
      <c r="H130" s="487"/>
      <c r="I130" s="487"/>
      <c r="J130" s="487"/>
      <c r="K130" s="487"/>
      <c r="L130" s="487"/>
    </row>
    <row r="131" spans="1:12" ht="15" customHeight="1" x14ac:dyDescent="0.25">
      <c r="B131" s="361" t="s">
        <v>512</v>
      </c>
      <c r="E131" s="68">
        <f>FCFF!H106+FCFF!H109</f>
        <v>-92.64</v>
      </c>
      <c r="F131" s="68">
        <f>FCFF!N106+FCFF!N109</f>
        <v>-64.275999999999996</v>
      </c>
      <c r="G131" s="402">
        <f>FCFF!T106+FCFF!T109</f>
        <v>-85.003</v>
      </c>
      <c r="H131" s="478">
        <f>-H132*H59</f>
        <v>0</v>
      </c>
      <c r="I131" s="478">
        <f t="shared" ref="I131:L131" si="36">-I132*I59</f>
        <v>0</v>
      </c>
      <c r="J131" s="478">
        <f t="shared" si="36"/>
        <v>0</v>
      </c>
      <c r="K131" s="478">
        <f t="shared" si="36"/>
        <v>0</v>
      </c>
      <c r="L131" s="478">
        <f t="shared" si="36"/>
        <v>0</v>
      </c>
    </row>
    <row r="132" spans="1:12" ht="15" customHeight="1" x14ac:dyDescent="0.25">
      <c r="B132" s="32" t="s">
        <v>436</v>
      </c>
      <c r="E132" s="294">
        <f>FCFF!H107</f>
        <v>0.23794337914574931</v>
      </c>
      <c r="F132" s="294">
        <f>FCFF!N107</f>
        <v>0.11535834096854532</v>
      </c>
      <c r="G132" s="400">
        <f>FCFF!T107</f>
        <v>0.10989134631858619</v>
      </c>
      <c r="H132" s="461"/>
      <c r="I132" s="461"/>
      <c r="J132" s="461"/>
      <c r="K132" s="461"/>
      <c r="L132" s="461"/>
    </row>
    <row r="133" spans="1:12" ht="15" customHeight="1" x14ac:dyDescent="0.25">
      <c r="B133" s="361"/>
      <c r="G133" s="488"/>
      <c r="H133" s="26"/>
      <c r="I133" s="26"/>
      <c r="J133" s="26"/>
      <c r="K133" s="26"/>
      <c r="L133" s="26"/>
    </row>
    <row r="134" spans="1:12" ht="15" customHeight="1" x14ac:dyDescent="0.25">
      <c r="A134" s="366" t="s">
        <v>38</v>
      </c>
      <c r="B134" s="358" t="s">
        <v>582</v>
      </c>
      <c r="C134" s="358"/>
      <c r="D134" s="358"/>
      <c r="E134" s="440"/>
      <c r="F134" s="440"/>
      <c r="G134" s="489"/>
      <c r="H134" s="441">
        <f>H57</f>
        <v>2025</v>
      </c>
      <c r="I134" s="441">
        <f>I57</f>
        <v>2026</v>
      </c>
      <c r="J134" s="441">
        <f>J57</f>
        <v>2027</v>
      </c>
      <c r="K134" s="441">
        <f>K57</f>
        <v>2028</v>
      </c>
      <c r="L134" s="441">
        <f>L57</f>
        <v>2029</v>
      </c>
    </row>
    <row r="135" spans="1:12" ht="4.05" customHeight="1" x14ac:dyDescent="0.25">
      <c r="B135" s="37"/>
      <c r="C135" s="37"/>
      <c r="D135" s="37"/>
      <c r="E135" s="37"/>
      <c r="F135" s="37"/>
      <c r="G135" s="490"/>
      <c r="H135" s="37"/>
      <c r="I135" s="37"/>
      <c r="J135" s="37"/>
      <c r="K135" s="37"/>
      <c r="L135" s="37"/>
    </row>
    <row r="136" spans="1:12" ht="15" customHeight="1" x14ac:dyDescent="0.25">
      <c r="B136" s="361" t="s">
        <v>583</v>
      </c>
      <c r="G136" s="191"/>
      <c r="H136" s="483">
        <f>H97</f>
        <v>350000</v>
      </c>
      <c r="I136" s="483">
        <f t="shared" ref="I136:L136" si="37">I97</f>
        <v>352000</v>
      </c>
      <c r="J136" s="483">
        <f t="shared" si="37"/>
        <v>350000</v>
      </c>
      <c r="K136" s="483">
        <f t="shared" si="37"/>
        <v>352000</v>
      </c>
      <c r="L136" s="483">
        <f t="shared" si="37"/>
        <v>350000</v>
      </c>
    </row>
    <row r="137" spans="1:12" ht="15" customHeight="1" x14ac:dyDescent="0.25">
      <c r="B137" s="361" t="s">
        <v>584</v>
      </c>
      <c r="E137" s="483"/>
      <c r="F137" s="483"/>
      <c r="G137" s="491"/>
      <c r="H137" s="483">
        <f>+H125</f>
        <v>0</v>
      </c>
      <c r="I137" s="483">
        <f>+I125</f>
        <v>0</v>
      </c>
      <c r="J137" s="483">
        <f>+J125</f>
        <v>0</v>
      </c>
      <c r="K137" s="483">
        <f>+K125</f>
        <v>0</v>
      </c>
      <c r="L137" s="483">
        <f>+L125</f>
        <v>0</v>
      </c>
    </row>
    <row r="138" spans="1:12" ht="15" customHeight="1" x14ac:dyDescent="0.25">
      <c r="B138" s="361" t="s">
        <v>444</v>
      </c>
      <c r="E138" s="483"/>
      <c r="F138" s="483"/>
      <c r="G138" s="492"/>
      <c r="H138" s="483">
        <f>+H128</f>
        <v>430.72100000000006</v>
      </c>
      <c r="I138" s="483">
        <f>+I128</f>
        <v>0</v>
      </c>
      <c r="J138" s="483">
        <f>+J128</f>
        <v>0</v>
      </c>
      <c r="K138" s="483">
        <f>+K128</f>
        <v>0</v>
      </c>
      <c r="L138" s="483">
        <f>+L128</f>
        <v>0</v>
      </c>
    </row>
    <row r="139" spans="1:12" ht="15" customHeight="1" x14ac:dyDescent="0.25">
      <c r="B139" s="361" t="s">
        <v>512</v>
      </c>
      <c r="E139" s="460"/>
      <c r="F139" s="460"/>
      <c r="G139" s="493"/>
      <c r="H139" s="483">
        <f>+H131</f>
        <v>0</v>
      </c>
      <c r="I139" s="483">
        <f>+I131</f>
        <v>0</v>
      </c>
      <c r="J139" s="483">
        <f>+J131</f>
        <v>0</v>
      </c>
      <c r="K139" s="483">
        <f>+K131</f>
        <v>0</v>
      </c>
      <c r="L139" s="483">
        <f>+L131</f>
        <v>0</v>
      </c>
    </row>
    <row r="140" spans="1:12" ht="15" customHeight="1" x14ac:dyDescent="0.25">
      <c r="B140" s="494" t="s">
        <v>585</v>
      </c>
      <c r="C140" s="495"/>
      <c r="D140" s="495"/>
      <c r="E140" s="496"/>
      <c r="F140" s="496"/>
      <c r="G140" s="497"/>
      <c r="H140" s="496">
        <f>H136+H137+H138+H139</f>
        <v>350430.72100000002</v>
      </c>
      <c r="I140" s="496">
        <f>I136+I137+I138+I139</f>
        <v>352000</v>
      </c>
      <c r="J140" s="496">
        <f>J136+J137+J138+J139</f>
        <v>350000</v>
      </c>
      <c r="K140" s="496">
        <f>K136+K137+K138+K139</f>
        <v>352000</v>
      </c>
      <c r="L140" s="498">
        <f>L136+L137+L138+L139</f>
        <v>350000</v>
      </c>
    </row>
    <row r="141" spans="1:12" ht="15" customHeight="1" x14ac:dyDescent="0.25">
      <c r="G141" s="488"/>
    </row>
    <row r="142" spans="1:12" ht="15" customHeight="1" x14ac:dyDescent="0.25">
      <c r="A142" s="366" t="s">
        <v>38</v>
      </c>
      <c r="B142" s="358" t="s">
        <v>586</v>
      </c>
      <c r="C142" s="358"/>
      <c r="D142" s="358"/>
      <c r="E142" s="440"/>
      <c r="F142" s="440"/>
      <c r="G142" s="489"/>
      <c r="H142" s="441">
        <f>H134</f>
        <v>2025</v>
      </c>
      <c r="I142" s="441">
        <f>I134</f>
        <v>2026</v>
      </c>
      <c r="J142" s="441">
        <f>J134</f>
        <v>2027</v>
      </c>
      <c r="K142" s="441">
        <f>K134</f>
        <v>2028</v>
      </c>
      <c r="L142" s="441">
        <f>L134</f>
        <v>2029</v>
      </c>
    </row>
    <row r="143" spans="1:12" ht="4.05" customHeight="1" x14ac:dyDescent="0.25">
      <c r="B143" s="37"/>
      <c r="C143" s="37"/>
      <c r="D143" s="37"/>
      <c r="E143" s="37"/>
      <c r="F143" s="37"/>
      <c r="G143" s="490"/>
      <c r="H143" s="37"/>
      <c r="I143" s="37"/>
      <c r="J143" s="37"/>
      <c r="K143" s="37"/>
      <c r="L143" s="37"/>
    </row>
    <row r="144" spans="1:12" ht="15" customHeight="1" x14ac:dyDescent="0.25">
      <c r="B144" s="359" t="s">
        <v>550</v>
      </c>
      <c r="C144" s="406"/>
      <c r="D144" s="406"/>
      <c r="E144" s="406"/>
      <c r="F144" s="406"/>
      <c r="G144" s="499"/>
    </row>
    <row r="145" spans="2:12" ht="15" customHeight="1" x14ac:dyDescent="0.25">
      <c r="B145" s="500" t="s">
        <v>587</v>
      </c>
      <c r="C145" s="406"/>
      <c r="D145" s="406"/>
      <c r="E145" s="406"/>
      <c r="F145" s="406"/>
      <c r="G145" s="499"/>
      <c r="H145" s="478">
        <f>G148</f>
        <v>0</v>
      </c>
      <c r="I145" s="478">
        <f t="shared" ref="I145:L145" si="38">H148</f>
        <v>0</v>
      </c>
      <c r="J145" s="478">
        <f t="shared" si="38"/>
        <v>0</v>
      </c>
      <c r="K145" s="478">
        <f t="shared" si="38"/>
        <v>0</v>
      </c>
      <c r="L145" s="478">
        <f t="shared" si="38"/>
        <v>0</v>
      </c>
    </row>
    <row r="146" spans="2:12" ht="15" customHeight="1" x14ac:dyDescent="0.25">
      <c r="B146" s="500" t="s">
        <v>546</v>
      </c>
      <c r="C146" s="406"/>
      <c r="D146" s="406"/>
      <c r="E146" s="406"/>
      <c r="F146" s="406"/>
      <c r="G146" s="499"/>
      <c r="H146" s="478">
        <f>H145*$J$11</f>
        <v>0</v>
      </c>
      <c r="I146" s="478">
        <f t="shared" ref="I146:L146" si="39">I145*$J$11</f>
        <v>0</v>
      </c>
      <c r="J146" s="478">
        <f t="shared" si="39"/>
        <v>0</v>
      </c>
      <c r="K146" s="478">
        <f t="shared" si="39"/>
        <v>0</v>
      </c>
      <c r="L146" s="478">
        <f t="shared" si="39"/>
        <v>0</v>
      </c>
    </row>
    <row r="147" spans="2:12" ht="15" customHeight="1" x14ac:dyDescent="0.25">
      <c r="B147" s="500" t="s">
        <v>588</v>
      </c>
      <c r="C147" s="406"/>
      <c r="D147" s="406"/>
      <c r="E147" s="406"/>
      <c r="F147" s="406"/>
      <c r="G147" s="499"/>
      <c r="H147" s="478">
        <f>MIN(H140,H145)</f>
        <v>0</v>
      </c>
      <c r="I147" s="478">
        <f t="shared" ref="I147:L147" si="40">MIN(I140,I145)</f>
        <v>0</v>
      </c>
      <c r="J147" s="478">
        <f t="shared" si="40"/>
        <v>0</v>
      </c>
      <c r="K147" s="478">
        <f t="shared" si="40"/>
        <v>0</v>
      </c>
      <c r="L147" s="478">
        <f t="shared" si="40"/>
        <v>0</v>
      </c>
    </row>
    <row r="148" spans="2:12" ht="15" customHeight="1" x14ac:dyDescent="0.25">
      <c r="B148" s="501" t="s">
        <v>589</v>
      </c>
      <c r="C148" s="495"/>
      <c r="D148" s="495"/>
      <c r="E148" s="496"/>
      <c r="F148" s="496"/>
      <c r="G148" s="497">
        <f>L11</f>
        <v>0</v>
      </c>
      <c r="H148" s="496">
        <f>H145-H147</f>
        <v>0</v>
      </c>
      <c r="I148" s="496">
        <f t="shared" ref="I148:L148" si="41">I145-I147</f>
        <v>0</v>
      </c>
      <c r="J148" s="496">
        <f t="shared" si="41"/>
        <v>0</v>
      </c>
      <c r="K148" s="496">
        <f t="shared" si="41"/>
        <v>0</v>
      </c>
      <c r="L148" s="498">
        <f t="shared" si="41"/>
        <v>0</v>
      </c>
    </row>
    <row r="149" spans="2:12" ht="15" customHeight="1" x14ac:dyDescent="0.25">
      <c r="B149" s="502"/>
      <c r="E149" s="478"/>
      <c r="F149" s="478"/>
      <c r="G149" s="503"/>
      <c r="H149" s="478"/>
      <c r="I149" s="478"/>
      <c r="J149" s="478"/>
      <c r="K149" s="478"/>
      <c r="L149" s="478"/>
    </row>
    <row r="150" spans="2:12" ht="15" customHeight="1" x14ac:dyDescent="0.25">
      <c r="B150" s="359" t="s">
        <v>552</v>
      </c>
      <c r="C150" s="406"/>
      <c r="D150" s="406"/>
      <c r="E150" s="406"/>
      <c r="F150" s="406"/>
      <c r="G150" s="499"/>
      <c r="H150" s="478"/>
    </row>
    <row r="151" spans="2:12" ht="15" customHeight="1" x14ac:dyDescent="0.25">
      <c r="B151" s="500" t="s">
        <v>587</v>
      </c>
      <c r="C151" s="406"/>
      <c r="D151" s="406"/>
      <c r="E151" s="406"/>
      <c r="F151" s="406"/>
      <c r="G151" s="499"/>
      <c r="H151" s="478">
        <f>G154</f>
        <v>0</v>
      </c>
      <c r="I151" s="478">
        <f t="shared" ref="I151:L151" si="42">H154</f>
        <v>0</v>
      </c>
      <c r="J151" s="478">
        <f t="shared" si="42"/>
        <v>0</v>
      </c>
      <c r="K151" s="478">
        <f t="shared" si="42"/>
        <v>0</v>
      </c>
      <c r="L151" s="478">
        <f t="shared" si="42"/>
        <v>0</v>
      </c>
    </row>
    <row r="152" spans="2:12" ht="15" customHeight="1" x14ac:dyDescent="0.25">
      <c r="B152" s="500" t="s">
        <v>546</v>
      </c>
      <c r="C152" s="406"/>
      <c r="D152" s="406"/>
      <c r="E152" s="406"/>
      <c r="F152" s="406"/>
      <c r="G152" s="499"/>
      <c r="H152" s="478">
        <f>H151*$J$12</f>
        <v>0</v>
      </c>
      <c r="I152" s="478">
        <f t="shared" ref="I152:L152" si="43">I151*$J$12</f>
        <v>0</v>
      </c>
      <c r="J152" s="478">
        <f t="shared" si="43"/>
        <v>0</v>
      </c>
      <c r="K152" s="478">
        <f t="shared" si="43"/>
        <v>0</v>
      </c>
      <c r="L152" s="478">
        <f t="shared" si="43"/>
        <v>0</v>
      </c>
    </row>
    <row r="153" spans="2:12" ht="15" customHeight="1" x14ac:dyDescent="0.25">
      <c r="B153" s="500" t="s">
        <v>588</v>
      </c>
      <c r="C153" s="406"/>
      <c r="D153" s="406"/>
      <c r="E153" s="406"/>
      <c r="F153" s="406"/>
      <c r="G153" s="499"/>
      <c r="H153" s="478">
        <f>MIN(H151,H140-H147)</f>
        <v>0</v>
      </c>
      <c r="I153" s="478">
        <f>MIN(I151,I140-I147)</f>
        <v>0</v>
      </c>
      <c r="J153" s="478">
        <f t="shared" ref="J153:K153" si="44">MIN(J151,J140-J147)</f>
        <v>0</v>
      </c>
      <c r="K153" s="478">
        <f t="shared" si="44"/>
        <v>0</v>
      </c>
      <c r="L153" s="478">
        <f>MIN(L151,L140-L147)</f>
        <v>0</v>
      </c>
    </row>
    <row r="154" spans="2:12" ht="15" customHeight="1" x14ac:dyDescent="0.25">
      <c r="B154" s="501" t="s">
        <v>589</v>
      </c>
      <c r="C154" s="495"/>
      <c r="D154" s="495"/>
      <c r="E154" s="496"/>
      <c r="F154" s="496"/>
      <c r="G154" s="497">
        <f>L12</f>
        <v>0</v>
      </c>
      <c r="H154" s="496">
        <f>H151-H153</f>
        <v>0</v>
      </c>
      <c r="I154" s="496">
        <f t="shared" ref="I154:L154" si="45">I151-I153</f>
        <v>0</v>
      </c>
      <c r="J154" s="496">
        <f t="shared" si="45"/>
        <v>0</v>
      </c>
      <c r="K154" s="496">
        <f t="shared" si="45"/>
        <v>0</v>
      </c>
      <c r="L154" s="498">
        <f t="shared" si="45"/>
        <v>0</v>
      </c>
    </row>
    <row r="155" spans="2:12" ht="15" customHeight="1" x14ac:dyDescent="0.25">
      <c r="B155" s="502"/>
      <c r="E155" s="478"/>
      <c r="F155" s="478"/>
      <c r="G155" s="503"/>
      <c r="H155" s="478"/>
      <c r="I155" s="478"/>
      <c r="J155" s="478"/>
      <c r="K155" s="478"/>
      <c r="L155" s="478"/>
    </row>
    <row r="156" spans="2:12" ht="15" customHeight="1" x14ac:dyDescent="0.25">
      <c r="B156" s="359" t="s">
        <v>590</v>
      </c>
      <c r="G156" s="488"/>
    </row>
    <row r="157" spans="2:12" ht="15" customHeight="1" x14ac:dyDescent="0.25">
      <c r="B157" s="500" t="s">
        <v>587</v>
      </c>
      <c r="G157" s="488"/>
      <c r="H157" s="478">
        <f>G160</f>
        <v>0</v>
      </c>
      <c r="I157" s="478">
        <f t="shared" ref="I157:L157" si="46">H160</f>
        <v>0</v>
      </c>
      <c r="J157" s="478">
        <f t="shared" si="46"/>
        <v>0</v>
      </c>
      <c r="K157" s="478">
        <f t="shared" si="46"/>
        <v>0</v>
      </c>
      <c r="L157" s="478">
        <f t="shared" si="46"/>
        <v>0</v>
      </c>
    </row>
    <row r="158" spans="2:12" ht="15" customHeight="1" x14ac:dyDescent="0.25">
      <c r="B158" s="500" t="s">
        <v>546</v>
      </c>
      <c r="G158" s="488"/>
      <c r="H158" s="478">
        <f>H157*$J$13</f>
        <v>0</v>
      </c>
      <c r="I158" s="478">
        <f t="shared" ref="I158:L158" si="47">I157*$J$13</f>
        <v>0</v>
      </c>
      <c r="J158" s="478">
        <f t="shared" si="47"/>
        <v>0</v>
      </c>
      <c r="K158" s="478">
        <f t="shared" si="47"/>
        <v>0</v>
      </c>
      <c r="L158" s="478">
        <f t="shared" si="47"/>
        <v>0</v>
      </c>
    </row>
    <row r="159" spans="2:12" ht="15" customHeight="1" x14ac:dyDescent="0.25">
      <c r="B159" s="500" t="s">
        <v>588</v>
      </c>
      <c r="G159" s="488"/>
      <c r="H159" s="478">
        <f>MIN(H157,H140-H147-H153)</f>
        <v>0</v>
      </c>
      <c r="I159" s="478">
        <f t="shared" ref="I159:L159" si="48">MIN(I157,I140-I147-I153)</f>
        <v>0</v>
      </c>
      <c r="J159" s="478">
        <f t="shared" si="48"/>
        <v>0</v>
      </c>
      <c r="K159" s="478">
        <f t="shared" si="48"/>
        <v>0</v>
      </c>
      <c r="L159" s="478">
        <f t="shared" si="48"/>
        <v>0</v>
      </c>
    </row>
    <row r="160" spans="2:12" ht="15" customHeight="1" x14ac:dyDescent="0.25">
      <c r="B160" s="501" t="s">
        <v>589</v>
      </c>
      <c r="C160" s="495"/>
      <c r="D160" s="495"/>
      <c r="E160" s="496"/>
      <c r="F160" s="496"/>
      <c r="G160" s="497">
        <f>L13</f>
        <v>0</v>
      </c>
      <c r="H160" s="496">
        <f>H157-H159</f>
        <v>0</v>
      </c>
      <c r="I160" s="496">
        <f t="shared" ref="I160:L160" si="49">I157-I159</f>
        <v>0</v>
      </c>
      <c r="J160" s="496">
        <f t="shared" si="49"/>
        <v>0</v>
      </c>
      <c r="K160" s="496">
        <f t="shared" si="49"/>
        <v>0</v>
      </c>
      <c r="L160" s="498">
        <f t="shared" si="49"/>
        <v>0</v>
      </c>
    </row>
    <row r="162" spans="1:12" ht="15" customHeight="1" x14ac:dyDescent="0.25">
      <c r="B162" s="359" t="s">
        <v>591</v>
      </c>
      <c r="G162" s="488"/>
    </row>
    <row r="163" spans="1:12" ht="15" customHeight="1" x14ac:dyDescent="0.25">
      <c r="B163" s="500" t="s">
        <v>587</v>
      </c>
      <c r="G163" s="488"/>
      <c r="H163" s="478">
        <f>H145+H151+H157</f>
        <v>0</v>
      </c>
      <c r="I163" s="478">
        <f t="shared" ref="I163:L163" si="50">I145+I151+I157</f>
        <v>0</v>
      </c>
      <c r="J163" s="478">
        <f t="shared" si="50"/>
        <v>0</v>
      </c>
      <c r="K163" s="478">
        <f t="shared" si="50"/>
        <v>0</v>
      </c>
      <c r="L163" s="478">
        <f t="shared" si="50"/>
        <v>0</v>
      </c>
    </row>
    <row r="164" spans="1:12" ht="15" customHeight="1" x14ac:dyDescent="0.25">
      <c r="B164" s="500" t="s">
        <v>546</v>
      </c>
      <c r="G164" s="488"/>
      <c r="H164" s="478">
        <f>H146+H152+H158</f>
        <v>0</v>
      </c>
      <c r="I164" s="478">
        <f t="shared" ref="I164:L164" si="51">I146+I152+I158</f>
        <v>0</v>
      </c>
      <c r="J164" s="478">
        <f t="shared" si="51"/>
        <v>0</v>
      </c>
      <c r="K164" s="478">
        <f t="shared" si="51"/>
        <v>0</v>
      </c>
      <c r="L164" s="478">
        <f t="shared" si="51"/>
        <v>0</v>
      </c>
    </row>
    <row r="165" spans="1:12" ht="15" customHeight="1" x14ac:dyDescent="0.25">
      <c r="B165" s="500" t="s">
        <v>588</v>
      </c>
      <c r="G165" s="488"/>
      <c r="H165" s="478">
        <f>H147+H153+H159</f>
        <v>0</v>
      </c>
      <c r="I165" s="478">
        <f t="shared" ref="I165:L165" si="52">I147+I153+I159</f>
        <v>0</v>
      </c>
      <c r="J165" s="478">
        <f t="shared" si="52"/>
        <v>0</v>
      </c>
      <c r="K165" s="478">
        <f t="shared" si="52"/>
        <v>0</v>
      </c>
      <c r="L165" s="478">
        <f t="shared" si="52"/>
        <v>0</v>
      </c>
    </row>
    <row r="166" spans="1:12" ht="15" customHeight="1" x14ac:dyDescent="0.25">
      <c r="B166" s="501" t="s">
        <v>589</v>
      </c>
      <c r="C166" s="495"/>
      <c r="D166" s="495"/>
      <c r="E166" s="496"/>
      <c r="F166" s="496"/>
      <c r="G166" s="497">
        <f>G148+G154+G160</f>
        <v>0</v>
      </c>
      <c r="H166" s="496">
        <f>H148+H154+H160</f>
        <v>0</v>
      </c>
      <c r="I166" s="496">
        <f t="shared" ref="I166:K166" si="53">I148+I154+I160</f>
        <v>0</v>
      </c>
      <c r="J166" s="496">
        <f t="shared" si="53"/>
        <v>0</v>
      </c>
      <c r="K166" s="496">
        <f t="shared" si="53"/>
        <v>0</v>
      </c>
      <c r="L166" s="498">
        <f>L148+L154+L160</f>
        <v>0</v>
      </c>
    </row>
    <row r="167" spans="1:12" s="328" customFormat="1" ht="15" customHeight="1" x14ac:dyDescent="0.25">
      <c r="A167" s="485"/>
      <c r="B167" s="34"/>
      <c r="C167" s="34"/>
      <c r="D167" s="34"/>
      <c r="E167" s="34"/>
      <c r="F167" s="34"/>
      <c r="G167" s="34"/>
      <c r="H167" s="34"/>
      <c r="I167" s="34"/>
      <c r="J167" s="34"/>
      <c r="K167" s="34"/>
      <c r="L167" s="34"/>
    </row>
    <row r="168" spans="1:12" s="328" customFormat="1" ht="15" customHeight="1" x14ac:dyDescent="0.25">
      <c r="A168" s="485"/>
      <c r="B168" s="358" t="s">
        <v>560</v>
      </c>
      <c r="C168" s="358"/>
      <c r="D168" s="358"/>
      <c r="E168" s="358"/>
      <c r="F168" s="358"/>
      <c r="G168" s="358"/>
      <c r="H168" s="358"/>
      <c r="I168" s="358"/>
      <c r="J168" s="358"/>
      <c r="K168" s="358"/>
      <c r="L168" s="358"/>
    </row>
    <row r="169" spans="1:12" s="328" customFormat="1" ht="15" customHeight="1" x14ac:dyDescent="0.25">
      <c r="A169" s="485"/>
      <c r="B169" s="358"/>
      <c r="C169" s="358"/>
      <c r="D169" s="358"/>
      <c r="E169" s="358"/>
      <c r="F169" s="358"/>
      <c r="G169" s="358"/>
      <c r="H169" s="358"/>
      <c r="I169" s="358"/>
      <c r="J169" s="358"/>
      <c r="K169" s="358"/>
      <c r="L169" s="358"/>
    </row>
    <row r="170" spans="1:12" ht="15" customHeight="1" x14ac:dyDescent="0.25">
      <c r="A170" s="366" t="s">
        <v>38</v>
      </c>
      <c r="B170" s="358"/>
      <c r="C170" s="358"/>
      <c r="D170" s="358"/>
      <c r="E170" s="440"/>
      <c r="F170" s="440"/>
      <c r="G170" s="440"/>
      <c r="H170" s="441"/>
      <c r="I170" s="441"/>
      <c r="J170" s="441"/>
      <c r="K170" s="441"/>
      <c r="L170" s="441"/>
    </row>
    <row r="171" spans="1:12" ht="4.05" customHeight="1" x14ac:dyDescent="0.25">
      <c r="B171" s="37"/>
      <c r="C171" s="37"/>
      <c r="D171" s="37"/>
      <c r="E171" s="37"/>
      <c r="F171" s="37"/>
      <c r="G171" s="37"/>
      <c r="H171" s="37"/>
      <c r="I171" s="37"/>
      <c r="J171" s="37"/>
      <c r="K171" s="37"/>
      <c r="L171" s="37"/>
    </row>
    <row r="172" spans="1:12" ht="15" customHeight="1" x14ac:dyDescent="0.25">
      <c r="B172" s="361" t="s">
        <v>592</v>
      </c>
      <c r="L172" s="409">
        <f>(L77+L86)</f>
        <v>350000</v>
      </c>
    </row>
    <row r="173" spans="1:12" ht="15" customHeight="1" x14ac:dyDescent="0.25">
      <c r="B173" s="504" t="s">
        <v>562</v>
      </c>
      <c r="C173" s="339"/>
      <c r="D173" s="339"/>
      <c r="E173" s="339"/>
      <c r="F173" s="339"/>
      <c r="G173" s="339"/>
      <c r="H173" s="339"/>
      <c r="I173" s="339"/>
      <c r="J173" s="339"/>
      <c r="K173" s="339"/>
      <c r="L173" s="505">
        <f>E20</f>
        <v>0</v>
      </c>
    </row>
    <row r="174" spans="1:12" ht="15" customHeight="1" x14ac:dyDescent="0.25">
      <c r="B174" s="361" t="s">
        <v>553</v>
      </c>
      <c r="L174" s="49">
        <f>L172*L173</f>
        <v>0</v>
      </c>
    </row>
    <row r="175" spans="1:12" ht="15" customHeight="1" x14ac:dyDescent="0.25">
      <c r="B175" s="361" t="s">
        <v>593</v>
      </c>
      <c r="L175" s="409">
        <f>L166</f>
        <v>0</v>
      </c>
    </row>
    <row r="176" spans="1:12" ht="15" customHeight="1" x14ac:dyDescent="0.25">
      <c r="B176" s="361" t="s">
        <v>594</v>
      </c>
      <c r="L176" s="25">
        <f>L174-L175</f>
        <v>0</v>
      </c>
    </row>
    <row r="178" spans="2:12" ht="15" customHeight="1" x14ac:dyDescent="0.25">
      <c r="B178" s="361" t="s">
        <v>595</v>
      </c>
      <c r="L178" s="409" t="e">
        <f ca="1">C32</f>
        <v>#NAME?</v>
      </c>
    </row>
    <row r="179" spans="2:12" ht="15" customHeight="1" x14ac:dyDescent="0.25">
      <c r="B179" s="361"/>
    </row>
    <row r="180" spans="2:12" ht="15" customHeight="1" x14ac:dyDescent="0.25">
      <c r="B180" s="506" t="s">
        <v>558</v>
      </c>
      <c r="C180" s="507"/>
      <c r="D180" s="507"/>
      <c r="E180" s="507"/>
      <c r="F180" s="507"/>
      <c r="G180" s="507"/>
      <c r="H180" s="507"/>
      <c r="I180" s="507"/>
      <c r="J180" s="507"/>
      <c r="K180" s="507"/>
      <c r="L180" s="508" t="e">
        <f ca="1">L176/L178</f>
        <v>#NAME?</v>
      </c>
    </row>
    <row r="181" spans="2:12" ht="15" customHeight="1" x14ac:dyDescent="0.25">
      <c r="B181" s="509" t="s">
        <v>560</v>
      </c>
      <c r="C181" s="510"/>
      <c r="D181" s="510"/>
      <c r="E181" s="510"/>
      <c r="F181" s="510"/>
      <c r="G181" s="510"/>
      <c r="H181" s="510"/>
      <c r="I181" s="510"/>
      <c r="J181" s="510"/>
      <c r="K181" s="510"/>
      <c r="L181" s="511" t="e">
        <f ca="1">L180^(1/5)-1</f>
        <v>#NAME?</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topLeftCell="A3" zoomScale="62" zoomScaleNormal="98" workbookViewId="0">
      <selection activeCell="Z33" sqref="Z33"/>
    </sheetView>
  </sheetViews>
  <sheetFormatPr defaultColWidth="9" defaultRowHeight="15" customHeight="1" x14ac:dyDescent="0.25"/>
  <cols>
    <col min="1" max="1" width="2" style="24" customWidth="1"/>
    <col min="2" max="10" width="9" style="24"/>
    <col min="11" max="11" width="15.5" style="24" customWidth="1"/>
    <col min="12" max="19" width="9" style="24"/>
    <col min="20" max="24" width="9" style="24" customWidth="1"/>
    <col min="25" max="25" width="11" style="24" bestFit="1" customWidth="1"/>
    <col min="26" max="26" width="10.5" style="24" bestFit="1" customWidth="1"/>
    <col min="27" max="16384" width="9" style="24"/>
  </cols>
  <sheetData>
    <row r="1" spans="2:43" s="569" customFormat="1" ht="15" customHeight="1" x14ac:dyDescent="0.25"/>
    <row r="2" spans="2:43" s="569" customFormat="1" ht="15" customHeight="1" x14ac:dyDescent="0.25"/>
    <row r="3" spans="2:43" s="569" customFormat="1" ht="15" customHeight="1" x14ac:dyDescent="0.25"/>
    <row r="4" spans="2:43" s="569" customFormat="1" ht="15" customHeight="1" x14ac:dyDescent="0.25"/>
    <row r="5" spans="2:43" s="37" customFormat="1" ht="4.05" customHeight="1" x14ac:dyDescent="0.25"/>
    <row r="7" spans="2:43" ht="15" customHeight="1" x14ac:dyDescent="0.25">
      <c r="B7" s="358" t="s">
        <v>596</v>
      </c>
      <c r="C7" s="172"/>
      <c r="D7" s="172"/>
      <c r="E7" s="172"/>
      <c r="F7" s="172"/>
      <c r="G7" s="172"/>
      <c r="H7" s="172"/>
      <c r="I7" s="172"/>
      <c r="J7" s="172"/>
      <c r="K7" s="172"/>
      <c r="L7" s="172"/>
      <c r="M7" s="172"/>
      <c r="N7" s="172"/>
      <c r="O7" s="172"/>
      <c r="P7" s="172"/>
      <c r="R7" s="358" t="s">
        <v>597</v>
      </c>
      <c r="S7" s="172"/>
      <c r="T7" s="172"/>
      <c r="U7" s="172"/>
      <c r="V7" s="172"/>
      <c r="W7" s="172"/>
      <c r="X7" s="172"/>
      <c r="Y7" s="172"/>
      <c r="Z7" s="172"/>
    </row>
    <row r="8" spans="2:43" ht="15" customHeight="1" x14ac:dyDescent="0.25">
      <c r="B8" s="172"/>
      <c r="C8" s="172"/>
      <c r="D8" s="172"/>
      <c r="E8" s="172"/>
      <c r="F8" s="172"/>
      <c r="G8" s="172"/>
      <c r="H8" s="172"/>
      <c r="I8" s="172"/>
      <c r="J8" s="172"/>
      <c r="K8" s="172"/>
      <c r="L8" s="172"/>
      <c r="M8" s="172"/>
      <c r="N8" s="172"/>
      <c r="O8" s="172"/>
      <c r="P8" s="172"/>
      <c r="R8" s="172"/>
      <c r="S8" s="172"/>
      <c r="T8" s="172"/>
      <c r="U8" s="172"/>
      <c r="V8" s="172"/>
      <c r="W8" s="172"/>
      <c r="X8" s="172"/>
      <c r="Y8" s="172"/>
      <c r="Z8" s="172"/>
    </row>
    <row r="9" spans="2:43" ht="15" customHeight="1" x14ac:dyDescent="0.25">
      <c r="B9" s="172"/>
      <c r="C9" s="172"/>
      <c r="D9" s="172"/>
      <c r="E9" s="172"/>
      <c r="F9" s="172"/>
      <c r="G9" s="172"/>
      <c r="H9" s="172"/>
      <c r="I9" s="172"/>
      <c r="J9" s="172"/>
      <c r="K9" s="172"/>
      <c r="L9" s="172"/>
      <c r="M9" s="172"/>
      <c r="N9" s="172"/>
      <c r="O9" s="172"/>
      <c r="P9" s="172"/>
      <c r="R9" s="172"/>
      <c r="S9" s="172"/>
      <c r="T9" s="172"/>
      <c r="U9" s="172"/>
      <c r="V9" s="172"/>
      <c r="W9" s="172"/>
      <c r="X9" s="172"/>
      <c r="Y9" s="172"/>
      <c r="Z9" s="172"/>
    </row>
    <row r="10" spans="2:43" ht="4.05" customHeight="1" x14ac:dyDescent="0.25">
      <c r="B10" s="37"/>
      <c r="C10" s="37"/>
      <c r="D10" s="37"/>
      <c r="E10" s="37"/>
      <c r="F10" s="37"/>
      <c r="G10" s="37"/>
      <c r="H10" s="37"/>
      <c r="I10" s="37"/>
      <c r="J10" s="37"/>
      <c r="K10" s="37"/>
      <c r="L10" s="37"/>
      <c r="M10" s="37"/>
      <c r="N10" s="37"/>
      <c r="O10" s="37"/>
      <c r="P10" s="37"/>
      <c r="R10" s="37"/>
      <c r="S10" s="37"/>
      <c r="T10" s="37"/>
      <c r="U10" s="37"/>
      <c r="V10" s="37"/>
      <c r="W10" s="37"/>
      <c r="X10" s="37"/>
      <c r="Y10" s="37"/>
      <c r="Z10" s="37"/>
    </row>
    <row r="14" spans="2:43" ht="15" customHeight="1" x14ac:dyDescent="0.25">
      <c r="AA14" s="26"/>
      <c r="AB14" s="26"/>
      <c r="AC14" s="26"/>
      <c r="AD14" s="26"/>
      <c r="AE14" s="26"/>
      <c r="AF14" s="26"/>
      <c r="AG14" s="26"/>
      <c r="AH14" s="26"/>
      <c r="AI14" s="26"/>
      <c r="AJ14" s="26"/>
      <c r="AK14" s="26"/>
      <c r="AL14" s="26"/>
      <c r="AM14" s="26"/>
      <c r="AN14" s="26"/>
      <c r="AO14" s="26"/>
      <c r="AP14" s="26"/>
      <c r="AQ14" s="26"/>
    </row>
    <row r="15" spans="2:43" ht="15" customHeight="1" x14ac:dyDescent="0.25">
      <c r="AA15" s="26"/>
      <c r="AB15" s="26"/>
      <c r="AC15" s="26"/>
      <c r="AD15" s="26"/>
      <c r="AE15" s="26"/>
      <c r="AF15" s="26"/>
      <c r="AG15" s="26"/>
      <c r="AH15" s="26"/>
      <c r="AI15" s="26"/>
      <c r="AJ15" s="26"/>
      <c r="AK15" s="26"/>
      <c r="AL15" s="26"/>
      <c r="AM15" s="26"/>
      <c r="AN15" s="26"/>
      <c r="AO15" s="26"/>
      <c r="AP15" s="26"/>
      <c r="AQ15" s="26"/>
    </row>
    <row r="16" spans="2:43" ht="15" customHeight="1" x14ac:dyDescent="0.25">
      <c r="AA16" s="26"/>
      <c r="AB16" s="26"/>
      <c r="AC16" s="26"/>
      <c r="AD16" s="26"/>
      <c r="AE16" s="26"/>
      <c r="AF16" s="26"/>
      <c r="AG16" s="26"/>
      <c r="AH16" s="26"/>
      <c r="AI16" s="26"/>
      <c r="AJ16" s="26"/>
      <c r="AK16" s="26"/>
      <c r="AL16" s="26"/>
      <c r="AM16" s="26"/>
      <c r="AN16" s="26"/>
      <c r="AO16" s="26"/>
      <c r="AP16" s="26"/>
      <c r="AQ16" s="26"/>
    </row>
    <row r="17" spans="7:43" ht="15" customHeight="1" x14ac:dyDescent="0.25">
      <c r="AA17" s="26"/>
      <c r="AB17" s="26"/>
      <c r="AC17" s="26"/>
      <c r="AD17" s="26"/>
      <c r="AE17" s="26"/>
      <c r="AF17" s="26"/>
      <c r="AG17" s="26"/>
      <c r="AH17" s="26"/>
      <c r="AI17" s="26"/>
      <c r="AJ17" s="26"/>
      <c r="AK17" s="26"/>
      <c r="AL17" s="26"/>
      <c r="AM17" s="26"/>
      <c r="AN17" s="26"/>
      <c r="AO17" s="26"/>
      <c r="AP17" s="26"/>
      <c r="AQ17" s="26"/>
    </row>
    <row r="18" spans="7:43" ht="15" customHeight="1" x14ac:dyDescent="0.25">
      <c r="AA18" s="26"/>
      <c r="AB18" s="26"/>
      <c r="AC18" s="26"/>
      <c r="AD18" s="26"/>
      <c r="AE18" s="26"/>
      <c r="AF18" s="26"/>
      <c r="AG18" s="26"/>
      <c r="AH18" s="26"/>
      <c r="AI18" s="26"/>
      <c r="AJ18" s="26"/>
      <c r="AK18" s="26"/>
      <c r="AL18" s="26"/>
      <c r="AM18" s="26"/>
      <c r="AN18" s="26"/>
      <c r="AO18" s="26"/>
      <c r="AP18" s="26"/>
      <c r="AQ18" s="26"/>
    </row>
    <row r="19" spans="7:43" ht="15" customHeight="1" x14ac:dyDescent="0.25">
      <c r="AA19" s="26"/>
      <c r="AB19" s="26"/>
      <c r="AC19" s="26"/>
      <c r="AD19" s="26"/>
      <c r="AE19" s="26"/>
      <c r="AF19" s="26"/>
      <c r="AG19" s="26"/>
      <c r="AH19" s="26"/>
      <c r="AI19" s="26"/>
      <c r="AJ19" s="26"/>
      <c r="AK19" s="26"/>
      <c r="AL19" s="26"/>
      <c r="AM19" s="26"/>
      <c r="AN19" s="26"/>
      <c r="AO19" s="26"/>
      <c r="AP19" s="26"/>
      <c r="AQ19" s="26"/>
    </row>
    <row r="20" spans="7:43" ht="15" customHeight="1" x14ac:dyDescent="0.25">
      <c r="G20" s="758"/>
      <c r="AA20" s="26"/>
      <c r="AB20" s="26"/>
      <c r="AC20" s="26"/>
      <c r="AD20" s="26"/>
      <c r="AE20" s="26"/>
      <c r="AF20" s="26"/>
      <c r="AG20" s="26"/>
      <c r="AH20" s="26"/>
      <c r="AI20" s="26"/>
      <c r="AJ20" s="26"/>
      <c r="AK20" s="26"/>
      <c r="AL20" s="26"/>
      <c r="AM20" s="26"/>
      <c r="AN20" s="26"/>
      <c r="AO20" s="26"/>
      <c r="AP20" s="26"/>
      <c r="AQ20" s="26"/>
    </row>
    <row r="21" spans="7:43" ht="15" customHeight="1" x14ac:dyDescent="0.25">
      <c r="AA21" s="26"/>
      <c r="AB21" s="26"/>
      <c r="AC21" s="26"/>
      <c r="AD21" s="26"/>
      <c r="AE21" s="26"/>
      <c r="AF21" s="26"/>
      <c r="AG21" s="26"/>
      <c r="AH21" s="26"/>
      <c r="AI21" s="26"/>
      <c r="AJ21" s="26"/>
      <c r="AK21" s="26"/>
      <c r="AL21" s="26"/>
      <c r="AM21" s="26"/>
      <c r="AN21" s="26"/>
      <c r="AO21" s="26"/>
      <c r="AP21" s="26"/>
      <c r="AQ21" s="26"/>
    </row>
    <row r="22" spans="7:43" ht="15" customHeight="1" x14ac:dyDescent="0.25">
      <c r="AA22" s="26"/>
      <c r="AB22" s="26"/>
      <c r="AC22" s="26"/>
      <c r="AD22" s="26"/>
      <c r="AE22" s="26"/>
      <c r="AF22" s="26"/>
      <c r="AG22" s="26"/>
      <c r="AH22" s="26"/>
      <c r="AI22" s="26"/>
      <c r="AJ22" s="26"/>
      <c r="AK22" s="26"/>
      <c r="AL22" s="26"/>
      <c r="AM22" s="26"/>
      <c r="AN22" s="26"/>
      <c r="AO22" s="26"/>
      <c r="AP22" s="26"/>
      <c r="AQ22" s="26"/>
    </row>
    <row r="23" spans="7:43" ht="15" customHeight="1" x14ac:dyDescent="0.25">
      <c r="AA23" s="26"/>
      <c r="AB23" s="26"/>
      <c r="AC23" s="26"/>
      <c r="AD23" s="26"/>
      <c r="AE23" s="26"/>
      <c r="AF23" s="26"/>
      <c r="AG23" s="26"/>
      <c r="AH23" s="26"/>
      <c r="AI23" s="26"/>
      <c r="AJ23" s="26"/>
      <c r="AK23" s="26"/>
      <c r="AL23" s="26"/>
      <c r="AM23" s="26"/>
      <c r="AN23" s="26"/>
      <c r="AO23" s="26"/>
      <c r="AP23" s="26"/>
      <c r="AQ23" s="26"/>
    </row>
    <row r="24" spans="7:43" ht="15" customHeight="1" x14ac:dyDescent="0.25">
      <c r="AA24" s="26"/>
      <c r="AB24" s="26"/>
      <c r="AC24" s="26"/>
      <c r="AD24" s="26"/>
      <c r="AE24" s="26"/>
      <c r="AF24" s="26"/>
      <c r="AG24" s="26"/>
      <c r="AH24" s="26"/>
      <c r="AI24" s="26"/>
      <c r="AJ24" s="26"/>
      <c r="AK24" s="26"/>
      <c r="AL24" s="26"/>
      <c r="AM24" s="26"/>
      <c r="AN24" s="26"/>
      <c r="AO24" s="26"/>
      <c r="AP24" s="26"/>
      <c r="AQ24" s="26"/>
    </row>
    <row r="25" spans="7:43" ht="15" customHeight="1" x14ac:dyDescent="0.25">
      <c r="AA25" s="26"/>
      <c r="AB25" s="26"/>
      <c r="AC25" s="26"/>
      <c r="AD25" s="26"/>
      <c r="AE25" s="26"/>
      <c r="AF25" s="26"/>
      <c r="AG25" s="26"/>
      <c r="AH25" s="26"/>
      <c r="AI25" s="26"/>
      <c r="AJ25" s="26"/>
      <c r="AK25" s="26"/>
      <c r="AL25" s="26"/>
      <c r="AM25" s="26"/>
      <c r="AN25" s="26"/>
      <c r="AO25" s="26"/>
      <c r="AP25" s="26"/>
      <c r="AQ25" s="26"/>
    </row>
    <row r="26" spans="7:43" ht="15" customHeight="1" x14ac:dyDescent="0.25">
      <c r="AA26" s="26"/>
      <c r="AB26" s="26"/>
      <c r="AC26" s="26"/>
      <c r="AD26" s="26"/>
      <c r="AE26" s="26"/>
      <c r="AF26" s="26"/>
      <c r="AG26" s="26"/>
      <c r="AH26" s="26"/>
      <c r="AI26" s="26"/>
      <c r="AJ26" s="26"/>
      <c r="AK26" s="26"/>
      <c r="AL26" s="26"/>
      <c r="AM26" s="26"/>
      <c r="AN26" s="26"/>
      <c r="AO26" s="26"/>
      <c r="AP26" s="26"/>
      <c r="AQ26" s="26"/>
    </row>
    <row r="27" spans="7:43" ht="15" customHeight="1" x14ac:dyDescent="0.25">
      <c r="AA27" s="26"/>
      <c r="AB27" s="26"/>
      <c r="AC27" s="26"/>
      <c r="AD27" s="26"/>
      <c r="AE27" s="26"/>
      <c r="AF27" s="26"/>
      <c r="AG27" s="26"/>
      <c r="AH27" s="26"/>
      <c r="AI27" s="26"/>
      <c r="AJ27" s="26"/>
      <c r="AK27" s="26"/>
      <c r="AL27" s="26"/>
      <c r="AM27" s="26"/>
      <c r="AN27" s="26"/>
      <c r="AO27" s="26"/>
      <c r="AP27" s="26"/>
      <c r="AQ27" s="26"/>
    </row>
    <row r="28" spans="7:43" ht="15" customHeight="1" x14ac:dyDescent="0.25">
      <c r="AA28" s="26"/>
      <c r="AB28" s="26"/>
      <c r="AC28" s="26"/>
      <c r="AD28" s="26" t="str" cm="1">
        <f t="array" ref="AD28:AL34">_xlfn.SORTBY(R38:Z44,Z38:Z44,1)</f>
        <v>COGS Margin</v>
      </c>
      <c r="AE28" s="26">
        <v>0</v>
      </c>
      <c r="AF28" s="26">
        <v>0.05</v>
      </c>
      <c r="AG28" s="26">
        <v>0</v>
      </c>
      <c r="AH28" s="26">
        <v>41.931284621976744</v>
      </c>
      <c r="AI28" s="26">
        <v>41.955615706413539</v>
      </c>
      <c r="AJ28" s="26">
        <v>-1.2135361723977667E-2</v>
      </c>
      <c r="AK28" s="26">
        <v>1.2195722712817769E-2</v>
      </c>
      <c r="AL28" s="26">
        <v>1.2195722712817769E-2</v>
      </c>
      <c r="AM28" s="26"/>
      <c r="AN28" s="26"/>
      <c r="AO28" s="26"/>
      <c r="AP28" s="26"/>
      <c r="AQ28" s="26"/>
    </row>
    <row r="29" spans="7:43" ht="15" customHeight="1" x14ac:dyDescent="0.25">
      <c r="AA29" s="26"/>
      <c r="AB29" s="26"/>
      <c r="AC29" s="26"/>
      <c r="AD29" s="26" t="str">
        <v>SG&amp;A Margin</v>
      </c>
      <c r="AE29" s="26">
        <v>0</v>
      </c>
      <c r="AF29" s="26">
        <v>0.1</v>
      </c>
      <c r="AG29" s="26">
        <v>0</v>
      </c>
      <c r="AH29" s="26">
        <v>41.583579412179404</v>
      </c>
      <c r="AI29" s="26">
        <v>42.227819022674581</v>
      </c>
      <c r="AJ29" s="26">
        <v>-0.35984057152131754</v>
      </c>
      <c r="AK29" s="26">
        <v>0.28439903897385932</v>
      </c>
      <c r="AL29" s="26">
        <v>0.35984057152131754</v>
      </c>
      <c r="AM29" s="26"/>
      <c r="AN29" s="26"/>
      <c r="AO29" s="26"/>
      <c r="AP29" s="26"/>
      <c r="AQ29" s="26"/>
    </row>
    <row r="30" spans="7:43" ht="15" customHeight="1" x14ac:dyDescent="0.25">
      <c r="AA30" s="26"/>
      <c r="AB30" s="26"/>
      <c r="AC30" s="26"/>
      <c r="AD30" s="26" t="str">
        <v>Capex Intensity</v>
      </c>
      <c r="AE30" s="26">
        <v>0</v>
      </c>
      <c r="AF30" s="26">
        <v>0.02</v>
      </c>
      <c r="AG30" s="26">
        <v>0</v>
      </c>
      <c r="AH30" s="26">
        <v>40.668414020824997</v>
      </c>
      <c r="AI30" s="26">
        <v>43.21842594657646</v>
      </c>
      <c r="AJ30" s="26">
        <v>-1.2750059628757242</v>
      </c>
      <c r="AK30" s="26">
        <v>1.2750059628757384</v>
      </c>
      <c r="AL30" s="26">
        <v>1.2750059628757384</v>
      </c>
      <c r="AM30" s="26"/>
      <c r="AN30" s="26"/>
      <c r="AO30" s="26"/>
      <c r="AP30" s="26"/>
      <c r="AQ30" s="26"/>
    </row>
    <row r="31" spans="7:43" ht="15" customHeight="1" x14ac:dyDescent="0.25">
      <c r="AA31" s="26"/>
      <c r="AB31" s="26"/>
      <c r="AC31" s="26"/>
      <c r="AD31" s="26" t="str">
        <v>WACC</v>
      </c>
      <c r="AE31" s="26">
        <v>0</v>
      </c>
      <c r="AF31" s="26">
        <v>5.0000000000000001E-3</v>
      </c>
      <c r="AG31" s="26">
        <v>0</v>
      </c>
      <c r="AH31" s="26">
        <v>40.068864750899984</v>
      </c>
      <c r="AI31" s="26">
        <v>43.919770874453803</v>
      </c>
      <c r="AJ31" s="26">
        <v>-1.8745552328007378</v>
      </c>
      <c r="AK31" s="26">
        <v>1.976350890753082</v>
      </c>
      <c r="AL31" s="26">
        <v>1.976350890753082</v>
      </c>
      <c r="AM31" s="26"/>
      <c r="AN31" s="26"/>
      <c r="AO31" s="26"/>
      <c r="AP31" s="26"/>
      <c r="AQ31" s="26"/>
    </row>
    <row r="32" spans="7:43" ht="15" customHeight="1" x14ac:dyDescent="0.25">
      <c r="R32" s="358" t="s">
        <v>598</v>
      </c>
      <c r="S32" s="33"/>
      <c r="T32" s="33"/>
      <c r="U32" s="33"/>
      <c r="V32" s="358" t="s">
        <v>599</v>
      </c>
      <c r="W32" s="33"/>
      <c r="X32" s="33"/>
      <c r="Y32" s="33"/>
      <c r="Z32" s="38" t="s">
        <v>600</v>
      </c>
      <c r="AA32" s="26"/>
      <c r="AB32" s="26"/>
      <c r="AC32" s="26"/>
      <c r="AD32" s="26" t="str">
        <v>EBITDA Exit</v>
      </c>
      <c r="AE32" s="26">
        <v>0</v>
      </c>
      <c r="AF32" s="26">
        <v>1</v>
      </c>
      <c r="AG32" s="26">
        <v>0</v>
      </c>
      <c r="AH32" s="26">
        <v>39.884347164367476</v>
      </c>
      <c r="AI32" s="26">
        <v>44.002492803033981</v>
      </c>
      <c r="AJ32" s="26">
        <v>-2.0590728193332453</v>
      </c>
      <c r="AK32" s="26">
        <v>2.0590728193332595</v>
      </c>
      <c r="AL32" s="26">
        <v>2.0590728193332595</v>
      </c>
      <c r="AM32" s="26"/>
      <c r="AN32" s="26"/>
      <c r="AO32" s="26"/>
      <c r="AP32" s="26"/>
      <c r="AQ32" s="26"/>
    </row>
    <row r="33" spans="3:43" ht="15" customHeight="1" x14ac:dyDescent="0.25">
      <c r="R33" s="34" t="s">
        <v>601</v>
      </c>
      <c r="T33" s="25">
        <f ca="1">+FCFF!AL169</f>
        <v>39.9818289071276</v>
      </c>
      <c r="V33" s="34" t="s">
        <v>602</v>
      </c>
      <c r="W33" s="96"/>
      <c r="X33" s="606">
        <v>40.003570799708726</v>
      </c>
      <c r="Z33" s="24" t="s">
        <v>344</v>
      </c>
      <c r="AA33" s="26"/>
      <c r="AB33" s="26"/>
      <c r="AC33" s="26"/>
      <c r="AD33" s="26" t="str">
        <v>Terminal g</v>
      </c>
      <c r="AE33" s="26">
        <v>0</v>
      </c>
      <c r="AF33" s="26">
        <v>5.0000000000000001E-3</v>
      </c>
      <c r="AG33" s="26">
        <v>0</v>
      </c>
      <c r="AH33" s="26">
        <v>35.803519139370799</v>
      </c>
      <c r="AI33" s="26">
        <v>45.412065727539066</v>
      </c>
      <c r="AJ33" s="26">
        <v>-6.1399008443299223</v>
      </c>
      <c r="AK33" s="26">
        <v>3.4686457438383442</v>
      </c>
      <c r="AL33" s="26">
        <v>6.1399008443299223</v>
      </c>
      <c r="AM33" s="26"/>
      <c r="AN33" s="26"/>
      <c r="AO33" s="26"/>
      <c r="AP33" s="26"/>
      <c r="AQ33" s="26"/>
    </row>
    <row r="34" spans="3:43" ht="15" customHeight="1" x14ac:dyDescent="0.25">
      <c r="R34" s="34" t="s">
        <v>603</v>
      </c>
      <c r="T34" s="586">
        <f ca="1">+FCFF!Z169</f>
        <v>41.952652415144762</v>
      </c>
      <c r="V34" s="102" t="s">
        <v>604</v>
      </c>
      <c r="W34" s="96"/>
      <c r="X34" s="606">
        <v>41.943419983700721</v>
      </c>
      <c r="AA34" s="26"/>
      <c r="AB34" s="26"/>
      <c r="AC34" s="26"/>
      <c r="AD34" s="26" t="str">
        <v>Revenue Exit</v>
      </c>
      <c r="AE34" s="26">
        <v>0</v>
      </c>
      <c r="AF34" s="26">
        <v>1</v>
      </c>
      <c r="AG34" s="26">
        <v>0</v>
      </c>
      <c r="AH34" s="26">
        <v>34.548416893307788</v>
      </c>
      <c r="AI34" s="26">
        <v>57.768294814558878</v>
      </c>
      <c r="AJ34" s="26">
        <v>-7.3950030903929331</v>
      </c>
      <c r="AK34" s="26">
        <v>15.824874830858157</v>
      </c>
      <c r="AL34" s="26">
        <v>15.824874830858157</v>
      </c>
      <c r="AM34" s="26"/>
      <c r="AN34" s="26"/>
      <c r="AO34" s="26"/>
      <c r="AP34" s="26"/>
      <c r="AQ34" s="26"/>
    </row>
    <row r="35" spans="3:43" ht="15" customHeight="1" x14ac:dyDescent="0.25">
      <c r="R35" s="34" t="s">
        <v>605</v>
      </c>
      <c r="T35" s="586">
        <f ca="1">FCFF!AF169</f>
        <v>46.16758828537737</v>
      </c>
      <c r="V35" s="34" t="s">
        <v>606</v>
      </c>
      <c r="X35" s="606">
        <v>46.15835585393333</v>
      </c>
      <c r="AA35" s="26"/>
      <c r="AB35" s="26"/>
      <c r="AC35" s="26"/>
      <c r="AD35" s="26"/>
      <c r="AE35" s="26"/>
      <c r="AF35" s="26"/>
      <c r="AG35" s="26"/>
      <c r="AH35" s="26"/>
      <c r="AI35" s="26"/>
      <c r="AJ35" s="26"/>
      <c r="AK35" s="26"/>
      <c r="AL35" s="26"/>
      <c r="AM35" s="26"/>
      <c r="AN35" s="26"/>
      <c r="AO35" s="26"/>
      <c r="AP35" s="26"/>
      <c r="AQ35" s="26"/>
    </row>
    <row r="36" spans="3:43" ht="15" customHeight="1" x14ac:dyDescent="0.25">
      <c r="AA36" s="26"/>
      <c r="AB36" s="26"/>
      <c r="AC36" s="26"/>
      <c r="AD36" s="26"/>
      <c r="AE36" s="26"/>
      <c r="AF36" s="26"/>
      <c r="AG36" s="26"/>
      <c r="AH36" s="26"/>
      <c r="AI36" s="26"/>
      <c r="AJ36" s="26"/>
      <c r="AK36" s="26"/>
      <c r="AL36" s="26"/>
      <c r="AM36" s="26"/>
      <c r="AN36" s="26"/>
      <c r="AO36" s="26"/>
      <c r="AP36" s="26"/>
      <c r="AQ36" s="26"/>
    </row>
    <row r="37" spans="3:43" ht="15" customHeight="1" x14ac:dyDescent="0.25">
      <c r="R37" s="33"/>
      <c r="S37" s="33"/>
      <c r="T37" s="587" t="s">
        <v>607</v>
      </c>
      <c r="U37" s="587" t="s">
        <v>608</v>
      </c>
      <c r="V37" s="588" t="s">
        <v>609</v>
      </c>
      <c r="W37" s="588" t="s">
        <v>610</v>
      </c>
      <c r="X37" s="587" t="s">
        <v>611</v>
      </c>
      <c r="Y37" s="587" t="s">
        <v>612</v>
      </c>
      <c r="Z37" s="587" t="s">
        <v>613</v>
      </c>
      <c r="AA37" s="26"/>
      <c r="AB37" s="26"/>
      <c r="AC37" s="26"/>
      <c r="AD37" s="26"/>
      <c r="AE37" s="26"/>
      <c r="AF37" s="26"/>
      <c r="AG37" s="26"/>
      <c r="AH37" s="26"/>
      <c r="AI37" s="26"/>
      <c r="AJ37" s="26"/>
      <c r="AK37" s="26"/>
      <c r="AL37" s="26"/>
      <c r="AM37" s="26"/>
      <c r="AN37" s="26"/>
      <c r="AO37" s="26"/>
      <c r="AP37" s="26"/>
      <c r="AQ37" s="26"/>
    </row>
    <row r="38" spans="3:43" ht="15" customHeight="1" x14ac:dyDescent="0.25">
      <c r="R38" s="96" t="s">
        <v>614</v>
      </c>
      <c r="S38" s="96"/>
      <c r="T38" s="591">
        <v>0.02</v>
      </c>
      <c r="U38" s="589"/>
      <c r="V38" s="606">
        <v>40.668414020824997</v>
      </c>
      <c r="W38" s="606">
        <v>43.21842594657646</v>
      </c>
      <c r="X38" s="741" cm="1">
        <f t="array" ref="X38">+V38-_xlfn.IFS($Z$33="EBITDA",$X$34,$Z$33="Revenue",$X$35,$Z$33="Gordon",$X$33)</f>
        <v>-1.2750059628757242</v>
      </c>
      <c r="Y38" s="741" cm="1">
        <f t="array" ref="Y38">+W38-_xlfn.IFS($Z$33="EBITDA",$X$34,$Z$33="Revenue",$X$35,$Z$33="Gordon",$X$33)</f>
        <v>1.2750059628757384</v>
      </c>
      <c r="Z38" s="741">
        <f>MAX(ABS(X38),ABS(Y38))</f>
        <v>1.2750059628757384</v>
      </c>
      <c r="AA38" s="26"/>
      <c r="AB38" s="26"/>
      <c r="AC38" s="26"/>
      <c r="AD38" s="26"/>
      <c r="AE38" s="26"/>
      <c r="AF38" s="26"/>
      <c r="AG38" s="26"/>
      <c r="AH38" s="26"/>
      <c r="AI38" s="26"/>
      <c r="AJ38" s="26"/>
      <c r="AK38" s="26"/>
      <c r="AL38" s="26"/>
      <c r="AM38" s="26"/>
      <c r="AN38" s="26"/>
      <c r="AO38" s="26"/>
      <c r="AP38" s="26"/>
      <c r="AQ38" s="26"/>
    </row>
    <row r="39" spans="3:43" ht="15" customHeight="1" x14ac:dyDescent="0.25">
      <c r="R39" s="96" t="s">
        <v>615</v>
      </c>
      <c r="S39" s="324"/>
      <c r="T39" s="591">
        <v>0.05</v>
      </c>
      <c r="U39" s="589"/>
      <c r="V39" s="606">
        <v>41.931284621976744</v>
      </c>
      <c r="W39" s="606">
        <v>41.955615706413539</v>
      </c>
      <c r="X39" s="741" cm="1">
        <f t="array" ref="X39">+V39-_xlfn.IFS($Z$33="EBITDA",$X$34,$Z$33="Revenue",$X$35,$Z$33="Gordon",$X$33)</f>
        <v>-1.2135361723977667E-2</v>
      </c>
      <c r="Y39" s="741" cm="1">
        <f t="array" ref="Y39">+W39-_xlfn.IFS($Z$33="EBITDA",$X$34,$Z$33="Revenue",$X$35,$Z$33="Gordon",$X$33)</f>
        <v>1.2195722712817769E-2</v>
      </c>
      <c r="Z39" s="741">
        <f>MAX(ABS(X39),ABS(Y39))</f>
        <v>1.2195722712817769E-2</v>
      </c>
      <c r="AA39" s="26"/>
      <c r="AB39" s="26"/>
      <c r="AC39" s="26"/>
      <c r="AD39" s="26"/>
      <c r="AE39" s="26"/>
      <c r="AF39" s="26"/>
      <c r="AG39" s="26"/>
      <c r="AH39" s="26"/>
      <c r="AI39" s="26"/>
      <c r="AJ39" s="26"/>
      <c r="AK39" s="26"/>
      <c r="AL39" s="26"/>
      <c r="AM39" s="26"/>
      <c r="AN39" s="26"/>
      <c r="AO39" s="26"/>
      <c r="AP39" s="26"/>
      <c r="AQ39" s="26"/>
    </row>
    <row r="40" spans="3:43" ht="15" customHeight="1" x14ac:dyDescent="0.25">
      <c r="R40" s="96" t="s">
        <v>616</v>
      </c>
      <c r="S40" s="96"/>
      <c r="T40" s="591">
        <v>0.1</v>
      </c>
      <c r="U40" s="589"/>
      <c r="V40" s="607">
        <v>41.583579412179404</v>
      </c>
      <c r="W40" s="607">
        <v>42.227819022674581</v>
      </c>
      <c r="X40" s="741" cm="1">
        <f t="array" ref="X40">+V40-_xlfn.IFS($Z$33="EBITDA",$X$34,$Z$33="Revenue",$X$35,$Z$33="Gordon",$X$33)</f>
        <v>-0.35984057152131754</v>
      </c>
      <c r="Y40" s="741" cm="1">
        <f t="array" ref="Y40">+W40-_xlfn.IFS($Z$33="EBITDA",$X$34,$Z$33="Revenue",$X$35,$Z$33="Gordon",$X$33)</f>
        <v>0.28439903897385932</v>
      </c>
      <c r="Z40" s="741">
        <f t="shared" ref="Z40:Z44" si="0">MAX(ABS(X40),ABS(Y40))</f>
        <v>0.35984057152131754</v>
      </c>
      <c r="AA40" s="26"/>
      <c r="AB40" s="26"/>
      <c r="AC40" s="26"/>
      <c r="AD40" s="26"/>
      <c r="AE40" s="26"/>
      <c r="AF40" s="26"/>
      <c r="AG40" s="26"/>
      <c r="AH40" s="26"/>
      <c r="AI40" s="26"/>
      <c r="AJ40" s="26"/>
      <c r="AK40" s="26"/>
      <c r="AL40" s="26"/>
      <c r="AM40" s="26"/>
      <c r="AN40" s="26"/>
      <c r="AO40" s="26"/>
      <c r="AP40" s="26"/>
      <c r="AQ40" s="26"/>
    </row>
    <row r="41" spans="3:43" ht="15" customHeight="1" x14ac:dyDescent="0.3">
      <c r="C41" s="756"/>
      <c r="D41" s="757"/>
      <c r="E41" s="757"/>
      <c r="F41" s="358" t="s">
        <v>617</v>
      </c>
      <c r="G41" s="358"/>
      <c r="H41" s="358" t="s">
        <v>618</v>
      </c>
      <c r="I41" s="358"/>
      <c r="J41" s="358" t="s">
        <v>619</v>
      </c>
      <c r="K41" s="358"/>
      <c r="R41" s="96" t="s">
        <v>419</v>
      </c>
      <c r="S41" s="96"/>
      <c r="T41" s="591">
        <v>5.0000000000000001E-3</v>
      </c>
      <c r="U41" s="589"/>
      <c r="V41" s="606">
        <v>40.068864750899984</v>
      </c>
      <c r="W41" s="606">
        <v>43.919770874453803</v>
      </c>
      <c r="X41" s="741" cm="1">
        <f t="array" ref="X41">+V41-_xlfn.IFS($Z$33="EBITDA",$X$34,$Z$33="Revenue",$X$35,$Z$33="Gordon",$X$33)</f>
        <v>-1.8745552328007378</v>
      </c>
      <c r="Y41" s="741" cm="1">
        <f t="array" ref="Y41">+W41-_xlfn.IFS($Z$33="EBITDA",$X$34,$Z$33="Revenue",$X$35,$Z$33="Gordon",$X$33)</f>
        <v>1.976350890753082</v>
      </c>
      <c r="Z41" s="741">
        <f t="shared" si="0"/>
        <v>1.976350890753082</v>
      </c>
      <c r="AA41" s="26"/>
      <c r="AB41" s="26"/>
      <c r="AC41" s="26"/>
      <c r="AD41" s="26"/>
      <c r="AE41" s="26"/>
      <c r="AF41" s="26"/>
      <c r="AG41" s="26"/>
      <c r="AH41" s="26"/>
      <c r="AI41" s="26"/>
      <c r="AJ41" s="26"/>
      <c r="AK41" s="26"/>
      <c r="AL41" s="26"/>
      <c r="AM41" s="26"/>
      <c r="AN41" s="26"/>
      <c r="AO41" s="26"/>
      <c r="AP41" s="26"/>
      <c r="AQ41" s="26"/>
    </row>
    <row r="42" spans="3:43" ht="15" customHeight="1" x14ac:dyDescent="0.25">
      <c r="C42" s="358" t="s">
        <v>620</v>
      </c>
      <c r="D42" s="358"/>
      <c r="E42" s="358"/>
      <c r="F42" s="586">
        <v>6.2399999999999997E-2</v>
      </c>
      <c r="G42" s="586"/>
      <c r="H42" s="586">
        <v>7.3400000000000007E-2</v>
      </c>
      <c r="I42" s="586"/>
      <c r="J42" s="586">
        <v>0.62890999999999997</v>
      </c>
      <c r="K42" s="586"/>
      <c r="R42" s="96" t="s">
        <v>621</v>
      </c>
      <c r="S42" s="96"/>
      <c r="T42" s="591">
        <v>5.0000000000000001E-3</v>
      </c>
      <c r="U42" s="589"/>
      <c r="V42" s="606">
        <v>35.803519139370799</v>
      </c>
      <c r="W42" s="607">
        <v>45.412065727539066</v>
      </c>
      <c r="X42" s="741" cm="1">
        <f t="array" ref="X42">+V42-_xlfn.IFS($Z$33="EBITDA",$X$34,$Z$33="Revenue",$X$35,$Z$33="Gordon",$X$33)</f>
        <v>-6.1399008443299223</v>
      </c>
      <c r="Y42" s="741" cm="1">
        <f t="array" ref="Y42">+W42-_xlfn.IFS($Z$33="EBITDA",$X$34,$Z$33="Revenue",$X$35,$Z$33="Gordon",$X$33)</f>
        <v>3.4686457438383442</v>
      </c>
      <c r="Z42" s="741">
        <f t="shared" si="0"/>
        <v>6.1399008443299223</v>
      </c>
      <c r="AA42" s="26"/>
      <c r="AB42" s="26"/>
      <c r="AC42" s="26"/>
      <c r="AD42" s="26"/>
      <c r="AE42" s="26"/>
      <c r="AF42" s="26"/>
      <c r="AG42" s="26"/>
      <c r="AH42" s="26"/>
      <c r="AI42" s="26"/>
      <c r="AJ42" s="26"/>
      <c r="AK42" s="26"/>
      <c r="AL42" s="26"/>
      <c r="AM42" s="26"/>
      <c r="AN42" s="26"/>
      <c r="AO42" s="26"/>
      <c r="AP42" s="26"/>
      <c r="AQ42" s="26"/>
    </row>
    <row r="43" spans="3:43" ht="15" customHeight="1" x14ac:dyDescent="0.25">
      <c r="C43" s="358" t="s">
        <v>622</v>
      </c>
      <c r="D43" s="358"/>
      <c r="E43" s="358"/>
      <c r="F43" s="586">
        <v>0.1094</v>
      </c>
      <c r="G43" s="586"/>
      <c r="H43" s="586">
        <v>0.1048</v>
      </c>
      <c r="I43" s="586"/>
      <c r="J43" s="586">
        <v>0.76080000000000003</v>
      </c>
      <c r="K43" s="586"/>
      <c r="R43" s="96" t="s">
        <v>623</v>
      </c>
      <c r="S43" s="96"/>
      <c r="T43" s="592">
        <v>1</v>
      </c>
      <c r="U43" s="590"/>
      <c r="V43" s="607">
        <v>39.884347164367476</v>
      </c>
      <c r="W43" s="607">
        <v>44.002492803033981</v>
      </c>
      <c r="X43" s="741" cm="1">
        <f t="array" ref="X43">+V43-_xlfn.IFS($Z$33="EBITDA",$X$34,$Z$33="Revenue",$X$35,$Z$33="Gordon",$X$33)</f>
        <v>-2.0590728193332453</v>
      </c>
      <c r="Y43" s="741" cm="1">
        <f t="array" ref="Y43">+W43-_xlfn.IFS($Z$33="EBITDA",$X$34,$Z$33="Revenue",$X$35,$Z$33="Gordon",$X$33)</f>
        <v>2.0590728193332595</v>
      </c>
      <c r="Z43" s="741">
        <f t="shared" si="0"/>
        <v>2.0590728193332595</v>
      </c>
      <c r="AA43" s="26"/>
      <c r="AB43" s="26"/>
      <c r="AC43" s="26"/>
      <c r="AD43" s="26"/>
      <c r="AE43" s="26"/>
      <c r="AF43" s="26"/>
      <c r="AG43" s="26"/>
      <c r="AH43" s="26"/>
      <c r="AI43" s="26"/>
      <c r="AJ43" s="26"/>
      <c r="AK43" s="26"/>
      <c r="AL43" s="26"/>
      <c r="AM43" s="26"/>
      <c r="AN43" s="26"/>
      <c r="AO43" s="26"/>
      <c r="AP43" s="26"/>
      <c r="AQ43" s="26"/>
    </row>
    <row r="44" spans="3:43" ht="15" customHeight="1" x14ac:dyDescent="0.25">
      <c r="R44" s="96" t="s">
        <v>523</v>
      </c>
      <c r="S44" s="96"/>
      <c r="T44" s="592">
        <v>1</v>
      </c>
      <c r="U44" s="590"/>
      <c r="V44" s="606">
        <v>34.548416893307788</v>
      </c>
      <c r="W44" s="607">
        <v>57.768294814558878</v>
      </c>
      <c r="X44" s="741" cm="1">
        <f t="array" ref="X44">+V44-_xlfn.IFS($Z$33="EBITDA",$X$34,$Z$33="Revenue",$X$35,$Z$33="Gordon",$X$33)</f>
        <v>-7.3950030903929331</v>
      </c>
      <c r="Y44" s="741" cm="1">
        <f t="array" ref="Y44">+W44-_xlfn.IFS($Z$33="EBITDA",$X$34,$Z$33="Revenue",$X$35,$Z$33="Gordon",$X$33)</f>
        <v>15.824874830858157</v>
      </c>
      <c r="Z44" s="741">
        <f t="shared" si="0"/>
        <v>15.824874830858157</v>
      </c>
      <c r="AA44" s="26"/>
      <c r="AB44" s="26"/>
      <c r="AC44" s="26"/>
      <c r="AD44" s="26"/>
      <c r="AE44" s="26"/>
      <c r="AF44" s="26"/>
      <c r="AG44" s="26"/>
      <c r="AH44" s="26"/>
      <c r="AI44" s="26"/>
      <c r="AJ44" s="26"/>
      <c r="AK44" s="26"/>
      <c r="AL44" s="26"/>
      <c r="AM44" s="26"/>
      <c r="AN44" s="26"/>
      <c r="AO44" s="26"/>
      <c r="AP44" s="26"/>
      <c r="AQ44" s="26"/>
    </row>
    <row r="45" spans="3:43" ht="15" customHeight="1" x14ac:dyDescent="0.25">
      <c r="AA45" s="26"/>
      <c r="AB45" s="26"/>
      <c r="AC45" s="26"/>
      <c r="AD45" s="26"/>
      <c r="AE45" s="26"/>
      <c r="AF45" s="26"/>
      <c r="AG45" s="26"/>
      <c r="AH45" s="26"/>
      <c r="AI45" s="26"/>
      <c r="AJ45" s="26"/>
      <c r="AK45" s="26"/>
      <c r="AL45" s="26"/>
      <c r="AM45" s="26"/>
      <c r="AN45" s="26"/>
      <c r="AO45" s="26"/>
      <c r="AP45" s="26"/>
      <c r="AQ45" s="26"/>
    </row>
    <row r="46" spans="3:43" ht="15" customHeight="1" x14ac:dyDescent="0.25">
      <c r="AA46" s="26"/>
      <c r="AB46" s="26"/>
      <c r="AC46" s="26"/>
      <c r="AD46" s="26"/>
      <c r="AE46" s="26"/>
      <c r="AF46" s="26"/>
      <c r="AG46" s="26"/>
      <c r="AH46" s="26"/>
      <c r="AI46" s="26"/>
      <c r="AJ46" s="26"/>
      <c r="AK46" s="26"/>
      <c r="AL46" s="26"/>
      <c r="AM46" s="26"/>
      <c r="AN46" s="26"/>
      <c r="AO46" s="26"/>
      <c r="AP46" s="26"/>
      <c r="AQ46" s="26"/>
    </row>
    <row r="47" spans="3:43" ht="15" customHeight="1" x14ac:dyDescent="0.25">
      <c r="AA47" s="26"/>
      <c r="AB47" s="26"/>
      <c r="AC47" s="26"/>
      <c r="AD47" s="26"/>
      <c r="AE47" s="26"/>
      <c r="AF47" s="26"/>
      <c r="AG47" s="26"/>
      <c r="AH47" s="26"/>
      <c r="AI47" s="26"/>
      <c r="AJ47" s="26"/>
      <c r="AK47" s="26"/>
      <c r="AL47" s="26"/>
      <c r="AM47" s="26"/>
      <c r="AN47" s="26"/>
      <c r="AO47" s="26"/>
      <c r="AP47" s="26"/>
      <c r="AQ47" s="26"/>
    </row>
    <row r="48" spans="3:43" ht="15" customHeight="1" x14ac:dyDescent="0.25">
      <c r="AA48" s="26"/>
      <c r="AB48" s="26"/>
      <c r="AC48" s="26"/>
      <c r="AD48" s="26"/>
      <c r="AE48" s="26"/>
      <c r="AF48" s="26"/>
      <c r="AG48" s="26"/>
      <c r="AH48" s="26"/>
      <c r="AI48" s="26"/>
      <c r="AJ48" s="26"/>
      <c r="AK48" s="26"/>
      <c r="AL48" s="26"/>
      <c r="AM48" s="26"/>
      <c r="AN48" s="26"/>
      <c r="AO48" s="26"/>
      <c r="AP48" s="26"/>
      <c r="AQ48" s="26"/>
    </row>
    <row r="49" spans="27:43" ht="15" customHeight="1" x14ac:dyDescent="0.25">
      <c r="AA49" s="26"/>
      <c r="AB49" s="26"/>
      <c r="AC49" s="26"/>
      <c r="AD49" s="26"/>
      <c r="AE49" s="26"/>
      <c r="AF49" s="26"/>
      <c r="AG49" s="26"/>
      <c r="AH49" s="26"/>
      <c r="AI49" s="26"/>
      <c r="AJ49" s="26"/>
      <c r="AK49" s="26"/>
      <c r="AL49" s="26"/>
      <c r="AM49" s="26"/>
      <c r="AN49" s="26"/>
      <c r="AO49" s="26"/>
      <c r="AP49" s="26"/>
      <c r="AQ49" s="26"/>
    </row>
    <row r="50" spans="27:43" ht="15" customHeight="1" x14ac:dyDescent="0.25">
      <c r="AA50" s="26"/>
      <c r="AB50" s="26"/>
      <c r="AC50" s="26"/>
      <c r="AD50" s="26"/>
      <c r="AE50" s="26"/>
      <c r="AF50" s="26"/>
      <c r="AG50" s="26"/>
      <c r="AH50" s="26"/>
      <c r="AI50" s="26"/>
      <c r="AJ50" s="26"/>
      <c r="AK50" s="26"/>
      <c r="AL50" s="26"/>
      <c r="AM50" s="26"/>
      <c r="AN50" s="26"/>
      <c r="AO50" s="26"/>
      <c r="AP50" s="26"/>
      <c r="AQ50" s="26"/>
    </row>
    <row r="51" spans="27:43" ht="15" customHeight="1" x14ac:dyDescent="0.25">
      <c r="AA51" s="26"/>
      <c r="AB51" s="26"/>
      <c r="AC51" s="26"/>
      <c r="AD51" s="26"/>
      <c r="AE51" s="26"/>
      <c r="AF51" s="26"/>
      <c r="AG51" s="26"/>
      <c r="AH51" s="26"/>
      <c r="AI51" s="26"/>
      <c r="AJ51" s="26"/>
      <c r="AK51" s="26"/>
      <c r="AL51" s="26"/>
      <c r="AM51" s="26"/>
      <c r="AN51" s="26"/>
      <c r="AO51" s="26"/>
      <c r="AP51" s="26"/>
      <c r="AQ51" s="26"/>
    </row>
    <row r="52" spans="27:43" ht="15" customHeight="1" x14ac:dyDescent="0.25">
      <c r="AA52" s="26"/>
      <c r="AB52" s="26"/>
      <c r="AC52" s="26"/>
      <c r="AD52" s="26"/>
      <c r="AE52" s="26"/>
      <c r="AF52" s="26"/>
      <c r="AG52" s="26"/>
      <c r="AH52" s="26"/>
      <c r="AI52" s="26"/>
      <c r="AJ52" s="26"/>
      <c r="AK52" s="26"/>
      <c r="AL52" s="26"/>
      <c r="AM52" s="26"/>
      <c r="AN52" s="26"/>
      <c r="AO52" s="26"/>
      <c r="AP52" s="26"/>
      <c r="AQ52" s="26"/>
    </row>
    <row r="53" spans="27:43" ht="15" customHeight="1" x14ac:dyDescent="0.25">
      <c r="AA53" s="26"/>
      <c r="AB53" s="26"/>
      <c r="AC53" s="26"/>
      <c r="AD53" s="26"/>
      <c r="AE53" s="26"/>
      <c r="AF53" s="26"/>
      <c r="AG53" s="26"/>
      <c r="AH53" s="26"/>
      <c r="AI53" s="26"/>
      <c r="AJ53" s="26"/>
      <c r="AK53" s="26"/>
      <c r="AL53" s="26"/>
      <c r="AM53" s="26"/>
      <c r="AN53" s="26"/>
      <c r="AO53" s="26"/>
      <c r="AP53" s="26"/>
      <c r="AQ53" s="26"/>
    </row>
    <row r="54" spans="27:43" ht="15" customHeight="1" x14ac:dyDescent="0.25">
      <c r="AA54" s="26"/>
      <c r="AB54" s="26"/>
      <c r="AC54" s="26"/>
      <c r="AD54" s="26"/>
      <c r="AE54" s="26"/>
      <c r="AF54" s="26"/>
      <c r="AG54" s="26"/>
      <c r="AH54" s="26"/>
      <c r="AI54" s="26"/>
      <c r="AJ54" s="26"/>
      <c r="AK54" s="26"/>
      <c r="AL54" s="26"/>
      <c r="AM54" s="26"/>
      <c r="AN54" s="26"/>
      <c r="AO54" s="26"/>
      <c r="AP54" s="26"/>
      <c r="AQ54" s="26"/>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zoomScale="53" zoomScaleNormal="100" workbookViewId="0">
      <selection activeCell="N38" sqref="N38"/>
    </sheetView>
  </sheetViews>
  <sheetFormatPr defaultColWidth="9" defaultRowHeight="14.25" customHeight="1" outlineLevelCol="1" x14ac:dyDescent="0.25"/>
  <cols>
    <col min="1" max="1" width="2" style="96" customWidth="1"/>
    <col min="2" max="2" width="50.5" style="96" customWidth="1"/>
    <col min="3" max="3" width="3.296875" style="24" customWidth="1"/>
    <col min="4" max="7" width="9.5" style="96" customWidth="1" outlineLevel="1"/>
    <col min="8" max="8" width="11.5" style="96" customWidth="1"/>
    <col min="9" max="9" width="1.5" style="24" customWidth="1"/>
    <col min="10" max="13" width="9.5" style="96" customWidth="1" outlineLevel="1"/>
    <col min="14" max="14" width="11.5" style="96" customWidth="1"/>
    <col min="15" max="15" width="1.5" style="24" customWidth="1"/>
    <col min="16" max="19" width="9.5" style="96" customWidth="1" outlineLevel="1"/>
    <col min="20" max="20" width="11.5" style="96" customWidth="1"/>
    <col min="21" max="21" width="1.5" style="24" customWidth="1"/>
    <col min="22" max="25" width="9.5" style="96" customWidth="1" outlineLevel="1"/>
    <col min="26" max="26" width="11.5" style="96" customWidth="1"/>
    <col min="27" max="27" width="1.5" style="24" customWidth="1"/>
    <col min="28" max="31" width="9.5" style="96" customWidth="1" outlineLevel="1"/>
    <col min="32" max="32" width="11.5" style="96" customWidth="1"/>
    <col min="33" max="33" width="1.5" style="24" customWidth="1"/>
    <col min="34" max="37" width="9.5" style="96" customWidth="1" outlineLevel="1"/>
    <col min="38" max="38" width="11.5" style="96" customWidth="1"/>
    <col min="39" max="39" width="1.5" style="24" customWidth="1"/>
    <col min="40" max="43" width="9.5" style="96" customWidth="1" outlineLevel="1"/>
    <col min="44" max="44" width="11.5" style="96" customWidth="1"/>
    <col min="45" max="45" width="1.5" style="24" customWidth="1"/>
    <col min="46" max="46" width="11.5" style="96" customWidth="1"/>
    <col min="47" max="47" width="1.5" style="24" customWidth="1"/>
    <col min="48" max="48" width="11.5" style="102" customWidth="1"/>
    <col min="49" max="49" width="1.5" style="24" customWidth="1"/>
    <col min="50" max="50" width="11.5" style="96" customWidth="1"/>
    <col min="51" max="51" width="1.5" style="96" customWidth="1"/>
    <col min="52" max="16384" width="9" style="96"/>
  </cols>
  <sheetData>
    <row r="1" spans="2:50" s="569" customFormat="1" ht="15" customHeight="1" x14ac:dyDescent="0.25"/>
    <row r="2" spans="2:50" s="569" customFormat="1" ht="15" customHeight="1" x14ac:dyDescent="0.25"/>
    <row r="3" spans="2:50" s="569" customFormat="1" ht="15" customHeight="1" x14ac:dyDescent="0.25"/>
    <row r="4" spans="2:50" s="569" customFormat="1" ht="15" customHeight="1" x14ac:dyDescent="0.25"/>
    <row r="5" spans="2:50" s="274" customFormat="1" ht="4.05" customHeight="1" x14ac:dyDescent="0.25">
      <c r="C5" s="37"/>
      <c r="I5" s="37"/>
      <c r="O5" s="37"/>
      <c r="U5" s="37"/>
      <c r="AA5" s="37"/>
      <c r="AG5" s="37"/>
      <c r="AM5" s="37"/>
      <c r="AS5" s="37"/>
      <c r="AU5" s="37"/>
      <c r="AV5" s="275"/>
      <c r="AW5" s="37"/>
    </row>
    <row r="7" spans="2:50" s="42" customFormat="1" ht="15" customHeight="1" x14ac:dyDescent="0.3">
      <c r="B7" s="147" t="s">
        <v>432</v>
      </c>
      <c r="C7" s="19"/>
      <c r="D7" s="188">
        <v>2020</v>
      </c>
      <c r="E7" s="188">
        <v>2020</v>
      </c>
      <c r="F7" s="188">
        <v>2020</v>
      </c>
      <c r="G7" s="188">
        <v>2020</v>
      </c>
      <c r="H7" s="188">
        <v>2020</v>
      </c>
      <c r="I7" s="19"/>
      <c r="J7" s="188">
        <v>2021</v>
      </c>
      <c r="K7" s="188">
        <v>2021</v>
      </c>
      <c r="L7" s="188">
        <v>2021</v>
      </c>
      <c r="M7" s="188">
        <v>2021</v>
      </c>
      <c r="N7" s="188">
        <v>2021</v>
      </c>
      <c r="O7" s="155"/>
      <c r="P7" s="188">
        <v>2022</v>
      </c>
      <c r="Q7" s="188">
        <v>2022</v>
      </c>
      <c r="R7" s="188">
        <v>2022</v>
      </c>
      <c r="S7" s="188">
        <v>2022</v>
      </c>
      <c r="T7" s="188">
        <v>2022</v>
      </c>
      <c r="U7" s="155"/>
      <c r="V7" s="188">
        <v>2023</v>
      </c>
      <c r="W7" s="188">
        <v>2023</v>
      </c>
      <c r="X7" s="188">
        <v>2023</v>
      </c>
      <c r="Y7" s="188">
        <v>2023</v>
      </c>
      <c r="Z7" s="188">
        <v>2023</v>
      </c>
      <c r="AA7" s="156"/>
      <c r="AB7" s="188">
        <v>2024</v>
      </c>
      <c r="AC7" s="188">
        <v>2024</v>
      </c>
      <c r="AD7" s="188">
        <v>2024</v>
      </c>
      <c r="AE7" s="188">
        <v>2024</v>
      </c>
      <c r="AF7" s="188">
        <v>2024</v>
      </c>
      <c r="AG7" s="156"/>
      <c r="AH7" s="188">
        <v>2025</v>
      </c>
      <c r="AI7" s="188">
        <v>2025</v>
      </c>
      <c r="AJ7" s="189">
        <v>2025</v>
      </c>
      <c r="AK7" s="188">
        <v>2025</v>
      </c>
      <c r="AL7" s="188">
        <v>2025</v>
      </c>
      <c r="AM7" s="157"/>
      <c r="AN7" s="188">
        <v>2025</v>
      </c>
      <c r="AO7" s="188">
        <v>2025</v>
      </c>
      <c r="AP7" s="189">
        <v>2025</v>
      </c>
      <c r="AQ7" s="188">
        <v>2025</v>
      </c>
      <c r="AR7" s="188">
        <v>2025</v>
      </c>
      <c r="AS7" s="19"/>
      <c r="AT7" s="148"/>
      <c r="AU7" s="19"/>
      <c r="AV7" s="149"/>
      <c r="AW7" s="19"/>
      <c r="AX7" s="149"/>
    </row>
    <row r="8" spans="2:50" s="42" customFormat="1" ht="15" customHeight="1" x14ac:dyDescent="0.3">
      <c r="B8" s="150"/>
      <c r="C8" s="19"/>
      <c r="D8" s="803">
        <v>2020</v>
      </c>
      <c r="E8" s="803"/>
      <c r="F8" s="803"/>
      <c r="G8" s="803"/>
      <c r="H8" s="803"/>
      <c r="I8" s="155"/>
      <c r="J8" s="803">
        <v>2021</v>
      </c>
      <c r="K8" s="803"/>
      <c r="L8" s="803"/>
      <c r="M8" s="803"/>
      <c r="N8" s="803"/>
      <c r="O8" s="155"/>
      <c r="P8" s="803">
        <v>2022</v>
      </c>
      <c r="Q8" s="803"/>
      <c r="R8" s="803"/>
      <c r="S8" s="803"/>
      <c r="T8" s="803"/>
      <c r="U8" s="155"/>
      <c r="V8" s="803">
        <v>2023</v>
      </c>
      <c r="W8" s="803"/>
      <c r="X8" s="803"/>
      <c r="Y8" s="803"/>
      <c r="Z8" s="803"/>
      <c r="AA8" s="155"/>
      <c r="AB8" s="803">
        <v>2024</v>
      </c>
      <c r="AC8" s="803"/>
      <c r="AD8" s="803"/>
      <c r="AE8" s="803"/>
      <c r="AF8" s="803"/>
      <c r="AG8" s="155"/>
      <c r="AH8" s="802">
        <v>2025</v>
      </c>
      <c r="AI8" s="802"/>
      <c r="AJ8" s="802"/>
      <c r="AK8" s="802"/>
      <c r="AL8" s="802"/>
      <c r="AM8" s="155"/>
      <c r="AN8" s="802">
        <v>2026</v>
      </c>
      <c r="AO8" s="802"/>
      <c r="AP8" s="802"/>
      <c r="AQ8" s="802"/>
      <c r="AR8" s="802"/>
      <c r="AS8" s="157"/>
      <c r="AT8" s="152">
        <v>2027</v>
      </c>
      <c r="AU8" s="153"/>
      <c r="AV8" s="152">
        <v>2028</v>
      </c>
      <c r="AW8" s="153"/>
      <c r="AX8" s="152">
        <v>2029</v>
      </c>
    </row>
    <row r="9" spans="2:50" s="42" customFormat="1" ht="14.25" customHeight="1" x14ac:dyDescent="0.3">
      <c r="B9" s="150"/>
      <c r="C9" s="19"/>
      <c r="D9" s="154" t="s">
        <v>219</v>
      </c>
      <c r="E9" s="154" t="s">
        <v>220</v>
      </c>
      <c r="F9" s="154" t="s">
        <v>221</v>
      </c>
      <c r="G9" s="154" t="s">
        <v>222</v>
      </c>
      <c r="H9" s="154" t="s">
        <v>223</v>
      </c>
      <c r="I9" s="19"/>
      <c r="J9" s="154" t="s">
        <v>219</v>
      </c>
      <c r="K9" s="154" t="s">
        <v>220</v>
      </c>
      <c r="L9" s="154" t="s">
        <v>221</v>
      </c>
      <c r="M9" s="154" t="s">
        <v>222</v>
      </c>
      <c r="N9" s="154" t="s">
        <v>223</v>
      </c>
      <c r="O9" s="151"/>
      <c r="P9" s="154" t="s">
        <v>219</v>
      </c>
      <c r="Q9" s="154" t="s">
        <v>220</v>
      </c>
      <c r="R9" s="154" t="s">
        <v>221</v>
      </c>
      <c r="S9" s="154" t="s">
        <v>222</v>
      </c>
      <c r="T9" s="154" t="s">
        <v>223</v>
      </c>
      <c r="U9" s="151"/>
      <c r="V9" s="154" t="s">
        <v>219</v>
      </c>
      <c r="W9" s="154" t="s">
        <v>220</v>
      </c>
      <c r="X9" s="154" t="s">
        <v>221</v>
      </c>
      <c r="Y9" s="154" t="s">
        <v>222</v>
      </c>
      <c r="Z9" s="154" t="s">
        <v>223</v>
      </c>
      <c r="AA9" s="151"/>
      <c r="AB9" s="154" t="s">
        <v>219</v>
      </c>
      <c r="AC9" s="154" t="s">
        <v>220</v>
      </c>
      <c r="AD9" s="154" t="s">
        <v>221</v>
      </c>
      <c r="AE9" s="154" t="s">
        <v>222</v>
      </c>
      <c r="AF9" s="154" t="s">
        <v>223</v>
      </c>
      <c r="AG9" s="151"/>
      <c r="AH9" s="154" t="s">
        <v>219</v>
      </c>
      <c r="AI9" s="154" t="s">
        <v>220</v>
      </c>
      <c r="AJ9" s="154" t="s">
        <v>221</v>
      </c>
      <c r="AK9" s="154" t="s">
        <v>222</v>
      </c>
      <c r="AL9" s="154" t="s">
        <v>223</v>
      </c>
      <c r="AM9" s="151"/>
      <c r="AN9" s="154" t="s">
        <v>219</v>
      </c>
      <c r="AO9" s="154" t="s">
        <v>220</v>
      </c>
      <c r="AP9" s="154" t="s">
        <v>221</v>
      </c>
      <c r="AQ9" s="154" t="s">
        <v>222</v>
      </c>
      <c r="AR9" s="154" t="s">
        <v>223</v>
      </c>
      <c r="AS9" s="151"/>
      <c r="AT9" s="154" t="s">
        <v>223</v>
      </c>
      <c r="AU9" s="151"/>
      <c r="AV9" s="154" t="s">
        <v>223</v>
      </c>
      <c r="AW9" s="151"/>
      <c r="AX9" s="154" t="s">
        <v>223</v>
      </c>
    </row>
    <row r="10" spans="2:50" s="42" customFormat="1" ht="4.05" customHeight="1" x14ac:dyDescent="0.3">
      <c r="B10" s="162"/>
      <c r="C10" s="36"/>
      <c r="D10" s="163"/>
      <c r="E10" s="163"/>
      <c r="F10" s="163"/>
      <c r="G10" s="163"/>
      <c r="H10" s="163"/>
      <c r="I10" s="36"/>
      <c r="J10" s="163"/>
      <c r="K10" s="163"/>
      <c r="L10" s="163"/>
      <c r="M10" s="163"/>
      <c r="N10" s="163"/>
      <c r="O10" s="164"/>
      <c r="P10" s="163"/>
      <c r="Q10" s="163"/>
      <c r="R10" s="163"/>
      <c r="S10" s="163"/>
      <c r="T10" s="163"/>
      <c r="U10" s="164"/>
      <c r="V10" s="163"/>
      <c r="W10" s="163"/>
      <c r="X10" s="163"/>
      <c r="Y10" s="163"/>
      <c r="Z10" s="163"/>
      <c r="AA10" s="164"/>
      <c r="AB10" s="163"/>
      <c r="AC10" s="163"/>
      <c r="AD10" s="163"/>
      <c r="AE10" s="163"/>
      <c r="AF10" s="163"/>
      <c r="AG10" s="164"/>
      <c r="AH10" s="163"/>
      <c r="AI10" s="163"/>
      <c r="AJ10" s="163"/>
      <c r="AK10" s="163"/>
      <c r="AL10" s="165"/>
      <c r="AM10" s="166"/>
      <c r="AN10" s="165"/>
      <c r="AO10" s="165"/>
      <c r="AP10" s="165"/>
      <c r="AQ10" s="165"/>
      <c r="AR10" s="165"/>
      <c r="AS10" s="166"/>
      <c r="AT10" s="165"/>
      <c r="AU10" s="166"/>
      <c r="AV10" s="165"/>
      <c r="AW10" s="166"/>
      <c r="AX10" s="165"/>
    </row>
    <row r="11" spans="2:50" s="42" customFormat="1" ht="4.05" customHeight="1" x14ac:dyDescent="0.3">
      <c r="B11" s="158"/>
      <c r="C11" s="20"/>
      <c r="D11" s="159"/>
      <c r="E11" s="159"/>
      <c r="F11" s="159"/>
      <c r="G11" s="159"/>
      <c r="H11" s="159"/>
      <c r="I11" s="20"/>
      <c r="J11" s="159"/>
      <c r="K11" s="159"/>
      <c r="L11" s="159"/>
      <c r="M11" s="159"/>
      <c r="N11" s="159"/>
      <c r="O11" s="160"/>
      <c r="P11" s="159"/>
      <c r="Q11" s="159"/>
      <c r="R11" s="159"/>
      <c r="S11" s="159"/>
      <c r="T11" s="159"/>
      <c r="U11" s="160"/>
      <c r="V11" s="159"/>
      <c r="W11" s="159"/>
      <c r="X11" s="159"/>
      <c r="Y11" s="159"/>
      <c r="Z11" s="159"/>
      <c r="AA11" s="160"/>
      <c r="AB11" s="159"/>
      <c r="AC11" s="159"/>
      <c r="AD11" s="159"/>
      <c r="AE11" s="159"/>
      <c r="AF11" s="159"/>
      <c r="AG11" s="190"/>
      <c r="AH11" s="159"/>
      <c r="AI11" s="159"/>
      <c r="AJ11" s="159"/>
      <c r="AK11" s="159"/>
      <c r="AL11" s="161"/>
      <c r="AM11" s="35"/>
      <c r="AN11" s="161"/>
      <c r="AO11" s="161"/>
      <c r="AP11" s="161"/>
      <c r="AQ11" s="161"/>
      <c r="AR11" s="161"/>
      <c r="AS11" s="35"/>
      <c r="AT11" s="161"/>
      <c r="AU11" s="35"/>
      <c r="AV11" s="161"/>
      <c r="AW11" s="35"/>
      <c r="AX11" s="161"/>
    </row>
    <row r="12" spans="2:50" s="55" customFormat="1" ht="14.25" customHeight="1" x14ac:dyDescent="0.25">
      <c r="B12" s="46" t="s">
        <v>624</v>
      </c>
      <c r="C12" s="24"/>
      <c r="D12" s="47"/>
      <c r="E12" s="47"/>
      <c r="F12" s="47"/>
      <c r="G12" s="47"/>
      <c r="H12" s="48"/>
      <c r="I12" s="49"/>
      <c r="J12" s="47"/>
      <c r="K12" s="47"/>
      <c r="L12" s="47"/>
      <c r="M12" s="47"/>
      <c r="N12" s="48"/>
      <c r="O12" s="48"/>
      <c r="P12" s="47"/>
      <c r="Q12" s="47"/>
      <c r="R12" s="47"/>
      <c r="S12" s="47"/>
      <c r="T12" s="48"/>
      <c r="U12" s="48"/>
      <c r="V12" s="47"/>
      <c r="W12" s="47"/>
      <c r="X12" s="47"/>
      <c r="Y12" s="47"/>
      <c r="Z12" s="48"/>
      <c r="AA12" s="48"/>
      <c r="AB12" s="47"/>
      <c r="AC12" s="47"/>
      <c r="AD12" s="47"/>
      <c r="AE12" s="47"/>
      <c r="AF12" s="48"/>
      <c r="AG12" s="50"/>
      <c r="AH12" s="47"/>
      <c r="AI12" s="47"/>
      <c r="AJ12" s="51"/>
      <c r="AK12" s="51"/>
      <c r="AL12" s="48"/>
      <c r="AM12" s="52"/>
      <c r="AN12" s="51"/>
      <c r="AO12" s="51"/>
      <c r="AP12" s="51"/>
      <c r="AQ12" s="51"/>
      <c r="AR12" s="48"/>
      <c r="AS12" s="52"/>
      <c r="AT12" s="53"/>
      <c r="AU12" s="54"/>
      <c r="AV12" s="53"/>
      <c r="AW12" s="54"/>
      <c r="AX12" s="53"/>
    </row>
    <row r="13" spans="2:50" s="55" customFormat="1" ht="14.25" customHeight="1" x14ac:dyDescent="0.25">
      <c r="B13" s="57" t="s">
        <v>625</v>
      </c>
      <c r="C13" s="24"/>
      <c r="D13" s="51">
        <v>0</v>
      </c>
      <c r="E13" s="51">
        <v>0</v>
      </c>
      <c r="F13" s="51">
        <v>0</v>
      </c>
      <c r="G13" s="51">
        <v>0</v>
      </c>
      <c r="H13" s="53">
        <v>0</v>
      </c>
      <c r="I13" s="49"/>
      <c r="J13" s="51">
        <v>0</v>
      </c>
      <c r="K13" s="51">
        <v>0</v>
      </c>
      <c r="L13" s="51">
        <v>0</v>
      </c>
      <c r="M13" s="51">
        <v>0</v>
      </c>
      <c r="N13" s="53">
        <v>0</v>
      </c>
      <c r="O13" s="48"/>
      <c r="P13" s="51">
        <v>0</v>
      </c>
      <c r="Q13" s="51">
        <v>0</v>
      </c>
      <c r="R13" s="51">
        <v>0</v>
      </c>
      <c r="S13" s="51">
        <v>0</v>
      </c>
      <c r="T13" s="53">
        <v>0</v>
      </c>
      <c r="U13" s="48"/>
      <c r="V13" s="51">
        <v>0</v>
      </c>
      <c r="W13" s="51">
        <v>0</v>
      </c>
      <c r="X13" s="51">
        <v>0</v>
      </c>
      <c r="Y13" s="51">
        <v>0</v>
      </c>
      <c r="Z13" s="53">
        <v>0</v>
      </c>
      <c r="AA13" s="48"/>
      <c r="AB13" s="51">
        <v>0</v>
      </c>
      <c r="AC13" s="51">
        <v>0</v>
      </c>
      <c r="AD13" s="51">
        <v>0</v>
      </c>
      <c r="AE13" s="51">
        <v>0</v>
      </c>
      <c r="AF13" s="53">
        <v>0</v>
      </c>
      <c r="AG13" s="50"/>
      <c r="AH13" s="51">
        <v>0</v>
      </c>
      <c r="AI13" s="51">
        <v>0</v>
      </c>
      <c r="AJ13" s="51">
        <v>0</v>
      </c>
      <c r="AK13" s="51">
        <v>0</v>
      </c>
      <c r="AL13" s="53">
        <v>0</v>
      </c>
      <c r="AM13" s="52"/>
      <c r="AN13" s="51">
        <v>0</v>
      </c>
      <c r="AO13" s="51">
        <v>0</v>
      </c>
      <c r="AP13" s="51">
        <v>0</v>
      </c>
      <c r="AQ13" s="51">
        <v>0</v>
      </c>
      <c r="AR13" s="53">
        <v>0</v>
      </c>
      <c r="AS13" s="52"/>
      <c r="AT13" s="53">
        <v>0</v>
      </c>
      <c r="AU13" s="54"/>
      <c r="AV13" s="53">
        <v>0</v>
      </c>
      <c r="AW13" s="54"/>
      <c r="AX13" s="53">
        <v>0</v>
      </c>
    </row>
    <row r="14" spans="2:50" s="55" customFormat="1" ht="14.25" customHeight="1" x14ac:dyDescent="0.25">
      <c r="B14" s="57" t="s">
        <v>626</v>
      </c>
      <c r="C14" s="24"/>
      <c r="D14" s="51">
        <v>0</v>
      </c>
      <c r="E14" s="51">
        <v>0</v>
      </c>
      <c r="F14" s="51">
        <v>0</v>
      </c>
      <c r="G14" s="51">
        <v>0</v>
      </c>
      <c r="H14" s="53">
        <v>0</v>
      </c>
      <c r="I14" s="49"/>
      <c r="J14" s="51">
        <v>0</v>
      </c>
      <c r="K14" s="51">
        <v>0</v>
      </c>
      <c r="L14" s="51">
        <v>0</v>
      </c>
      <c r="M14" s="51">
        <v>0</v>
      </c>
      <c r="N14" s="53">
        <v>0</v>
      </c>
      <c r="O14" s="48"/>
      <c r="P14" s="51">
        <v>0</v>
      </c>
      <c r="Q14" s="51">
        <v>0</v>
      </c>
      <c r="R14" s="51">
        <v>0</v>
      </c>
      <c r="S14" s="51">
        <v>0</v>
      </c>
      <c r="T14" s="53">
        <v>0</v>
      </c>
      <c r="U14" s="48"/>
      <c r="V14" s="51">
        <v>0</v>
      </c>
      <c r="W14" s="51">
        <v>0</v>
      </c>
      <c r="X14" s="51">
        <v>0</v>
      </c>
      <c r="Y14" s="51">
        <v>0</v>
      </c>
      <c r="Z14" s="53">
        <v>0</v>
      </c>
      <c r="AA14" s="48"/>
      <c r="AB14" s="51">
        <v>0</v>
      </c>
      <c r="AC14" s="51">
        <v>0</v>
      </c>
      <c r="AD14" s="51">
        <v>0</v>
      </c>
      <c r="AE14" s="51">
        <v>0</v>
      </c>
      <c r="AF14" s="53">
        <v>0</v>
      </c>
      <c r="AG14" s="50"/>
      <c r="AH14" s="51">
        <v>0</v>
      </c>
      <c r="AI14" s="51">
        <v>0</v>
      </c>
      <c r="AJ14" s="51">
        <v>0</v>
      </c>
      <c r="AK14" s="51">
        <v>0</v>
      </c>
      <c r="AL14" s="53">
        <v>0</v>
      </c>
      <c r="AM14" s="52"/>
      <c r="AN14" s="51">
        <v>0</v>
      </c>
      <c r="AO14" s="51">
        <v>0</v>
      </c>
      <c r="AP14" s="51">
        <v>0</v>
      </c>
      <c r="AQ14" s="51">
        <v>0</v>
      </c>
      <c r="AR14" s="53">
        <v>0</v>
      </c>
      <c r="AS14" s="52"/>
      <c r="AT14" s="53">
        <v>0</v>
      </c>
      <c r="AU14" s="54"/>
      <c r="AV14" s="53">
        <v>0</v>
      </c>
      <c r="AW14" s="54"/>
      <c r="AX14" s="53">
        <v>0</v>
      </c>
    </row>
    <row r="15" spans="2:50" s="55" customFormat="1" ht="14.25" customHeight="1" x14ac:dyDescent="0.25">
      <c r="B15" s="57" t="s">
        <v>627</v>
      </c>
      <c r="C15" s="24"/>
      <c r="D15" s="51">
        <v>0</v>
      </c>
      <c r="E15" s="51">
        <v>0</v>
      </c>
      <c r="F15" s="51">
        <v>0</v>
      </c>
      <c r="G15" s="51">
        <v>0</v>
      </c>
      <c r="H15" s="53">
        <v>0</v>
      </c>
      <c r="I15" s="49"/>
      <c r="J15" s="51">
        <v>0</v>
      </c>
      <c r="K15" s="51">
        <v>0</v>
      </c>
      <c r="L15" s="51">
        <v>0</v>
      </c>
      <c r="M15" s="51">
        <v>0</v>
      </c>
      <c r="N15" s="53">
        <v>0</v>
      </c>
      <c r="O15" s="48"/>
      <c r="P15" s="51">
        <v>0</v>
      </c>
      <c r="Q15" s="51">
        <v>0</v>
      </c>
      <c r="R15" s="51">
        <v>0</v>
      </c>
      <c r="S15" s="51">
        <v>0</v>
      </c>
      <c r="T15" s="53">
        <v>0</v>
      </c>
      <c r="U15" s="48"/>
      <c r="V15" s="51">
        <v>0</v>
      </c>
      <c r="W15" s="51">
        <v>0</v>
      </c>
      <c r="X15" s="51">
        <v>0</v>
      </c>
      <c r="Y15" s="51">
        <v>0</v>
      </c>
      <c r="Z15" s="53">
        <v>0</v>
      </c>
      <c r="AA15" s="48"/>
      <c r="AB15" s="51">
        <v>0</v>
      </c>
      <c r="AC15" s="51">
        <v>0</v>
      </c>
      <c r="AD15" s="51">
        <v>0</v>
      </c>
      <c r="AE15" s="51">
        <v>0</v>
      </c>
      <c r="AF15" s="53">
        <v>0</v>
      </c>
      <c r="AG15" s="50"/>
      <c r="AH15" s="51">
        <v>0</v>
      </c>
      <c r="AI15" s="51">
        <v>0</v>
      </c>
      <c r="AJ15" s="51">
        <v>0</v>
      </c>
      <c r="AK15" s="51">
        <v>0</v>
      </c>
      <c r="AL15" s="53">
        <v>0</v>
      </c>
      <c r="AM15" s="52"/>
      <c r="AN15" s="51">
        <v>0</v>
      </c>
      <c r="AO15" s="51">
        <v>0</v>
      </c>
      <c r="AP15" s="51">
        <v>0</v>
      </c>
      <c r="AQ15" s="51">
        <v>0</v>
      </c>
      <c r="AR15" s="53">
        <v>0</v>
      </c>
      <c r="AS15" s="52"/>
      <c r="AT15" s="53">
        <v>0</v>
      </c>
      <c r="AU15" s="54"/>
      <c r="AV15" s="53">
        <v>0</v>
      </c>
      <c r="AW15" s="54"/>
      <c r="AX15" s="53">
        <v>0</v>
      </c>
    </row>
    <row r="16" spans="2:50" s="55" customFormat="1" ht="14.25" customHeight="1" x14ac:dyDescent="0.25">
      <c r="B16" s="57" t="s">
        <v>628</v>
      </c>
      <c r="C16" s="24"/>
      <c r="D16" s="51">
        <v>0</v>
      </c>
      <c r="E16" s="51">
        <v>0</v>
      </c>
      <c r="F16" s="51">
        <v>0</v>
      </c>
      <c r="G16" s="51">
        <v>0</v>
      </c>
      <c r="H16" s="59">
        <v>0</v>
      </c>
      <c r="I16" s="49"/>
      <c r="J16" s="51">
        <v>0</v>
      </c>
      <c r="K16" s="51">
        <v>0</v>
      </c>
      <c r="L16" s="51">
        <v>0</v>
      </c>
      <c r="M16" s="51">
        <v>0</v>
      </c>
      <c r="N16" s="59">
        <v>0</v>
      </c>
      <c r="O16" s="58"/>
      <c r="P16" s="51">
        <v>0</v>
      </c>
      <c r="Q16" s="51">
        <v>0</v>
      </c>
      <c r="R16" s="51">
        <v>0</v>
      </c>
      <c r="S16" s="51">
        <v>0</v>
      </c>
      <c r="T16" s="698">
        <v>0</v>
      </c>
      <c r="U16" s="58"/>
      <c r="V16" s="51">
        <v>0</v>
      </c>
      <c r="W16" s="51">
        <v>0</v>
      </c>
      <c r="X16" s="51">
        <v>0</v>
      </c>
      <c r="Y16" s="51">
        <v>0</v>
      </c>
      <c r="Z16" s="698">
        <v>0</v>
      </c>
      <c r="AA16" s="58"/>
      <c r="AB16" s="51">
        <v>0</v>
      </c>
      <c r="AC16" s="51">
        <v>0</v>
      </c>
      <c r="AD16" s="51">
        <v>0</v>
      </c>
      <c r="AE16" s="51">
        <v>0</v>
      </c>
      <c r="AF16" s="59">
        <v>0</v>
      </c>
      <c r="AG16" s="50"/>
      <c r="AH16" s="51">
        <v>0</v>
      </c>
      <c r="AI16" s="51">
        <v>0</v>
      </c>
      <c r="AJ16" s="51">
        <v>0</v>
      </c>
      <c r="AK16" s="51">
        <v>0</v>
      </c>
      <c r="AL16" s="59">
        <v>0</v>
      </c>
      <c r="AM16" s="52"/>
      <c r="AN16" s="51">
        <v>0</v>
      </c>
      <c r="AO16" s="51">
        <v>0</v>
      </c>
      <c r="AP16" s="51">
        <v>0</v>
      </c>
      <c r="AQ16" s="51">
        <v>0</v>
      </c>
      <c r="AR16" s="59">
        <v>0</v>
      </c>
      <c r="AS16" s="52"/>
      <c r="AT16" s="59">
        <v>0</v>
      </c>
      <c r="AU16" s="54"/>
      <c r="AV16" s="59">
        <v>0</v>
      </c>
      <c r="AW16" s="54"/>
      <c r="AX16" s="59">
        <v>0</v>
      </c>
    </row>
    <row r="17" spans="1:50" s="55" customFormat="1" ht="14.25" customHeight="1" x14ac:dyDescent="0.25">
      <c r="A17" s="56"/>
      <c r="B17" s="57" t="s">
        <v>629</v>
      </c>
      <c r="C17" s="24"/>
      <c r="D17" s="51">
        <v>0</v>
      </c>
      <c r="E17" s="51">
        <v>0</v>
      </c>
      <c r="F17" s="51">
        <v>0</v>
      </c>
      <c r="G17" s="51">
        <v>0</v>
      </c>
      <c r="H17" s="686">
        <v>0</v>
      </c>
      <c r="I17" s="49"/>
      <c r="J17" s="51">
        <v>0</v>
      </c>
      <c r="K17" s="51">
        <v>0</v>
      </c>
      <c r="L17" s="51">
        <v>0</v>
      </c>
      <c r="M17" s="51">
        <v>0</v>
      </c>
      <c r="N17" s="698">
        <v>0</v>
      </c>
      <c r="O17" s="58"/>
      <c r="P17" s="51">
        <v>0</v>
      </c>
      <c r="Q17" s="51">
        <v>0</v>
      </c>
      <c r="R17" s="51">
        <v>0</v>
      </c>
      <c r="S17" s="51">
        <v>0</v>
      </c>
      <c r="T17" s="687">
        <v>0</v>
      </c>
      <c r="U17" s="58"/>
      <c r="V17" s="51">
        <v>0</v>
      </c>
      <c r="W17" s="51">
        <v>0</v>
      </c>
      <c r="X17" s="51">
        <v>0</v>
      </c>
      <c r="Y17" s="51">
        <v>0</v>
      </c>
      <c r="Z17" s="687">
        <v>0</v>
      </c>
      <c r="AA17" s="58"/>
      <c r="AB17" s="51">
        <v>0</v>
      </c>
      <c r="AC17" s="51">
        <v>0</v>
      </c>
      <c r="AD17" s="51">
        <v>0</v>
      </c>
      <c r="AE17" s="51">
        <v>0</v>
      </c>
      <c r="AF17" s="698">
        <v>0</v>
      </c>
      <c r="AG17" s="50"/>
      <c r="AH17" s="51">
        <v>0</v>
      </c>
      <c r="AI17" s="51">
        <v>0</v>
      </c>
      <c r="AJ17" s="51">
        <v>0</v>
      </c>
      <c r="AK17" s="51">
        <v>0</v>
      </c>
      <c r="AL17" s="59">
        <v>0</v>
      </c>
      <c r="AM17" s="52"/>
      <c r="AN17" s="51">
        <v>0</v>
      </c>
      <c r="AO17" s="51">
        <v>0</v>
      </c>
      <c r="AP17" s="51">
        <v>0</v>
      </c>
      <c r="AQ17" s="51">
        <v>0</v>
      </c>
      <c r="AR17" s="59">
        <v>0</v>
      </c>
      <c r="AS17" s="52"/>
      <c r="AT17" s="59">
        <v>0</v>
      </c>
      <c r="AU17" s="54"/>
      <c r="AV17" s="59">
        <v>0</v>
      </c>
      <c r="AW17" s="54"/>
      <c r="AX17" s="59">
        <v>0</v>
      </c>
    </row>
    <row r="18" spans="1:50" s="55" customFormat="1" ht="14.25" customHeight="1" x14ac:dyDescent="0.25">
      <c r="A18" s="56"/>
      <c r="B18" s="60" t="s">
        <v>228</v>
      </c>
      <c r="C18" s="24"/>
      <c r="D18" s="61">
        <v>24.347999999999999</v>
      </c>
      <c r="E18" s="61">
        <v>39.048999999999999</v>
      </c>
      <c r="F18" s="61">
        <v>47.664999999999999</v>
      </c>
      <c r="G18" s="61">
        <v>45.561999999999998</v>
      </c>
      <c r="H18" s="687">
        <v>156.624</v>
      </c>
      <c r="I18" s="683" t="s">
        <v>630</v>
      </c>
      <c r="J18" s="61">
        <v>43.731999999999999</v>
      </c>
      <c r="K18" s="61">
        <v>53.863999999999997</v>
      </c>
      <c r="L18" s="61">
        <v>67.013000000000005</v>
      </c>
      <c r="M18" s="61">
        <v>95.141999999999996</v>
      </c>
      <c r="N18" s="687">
        <v>259.75099999999998</v>
      </c>
      <c r="O18" s="683" t="s">
        <v>630</v>
      </c>
      <c r="P18" s="61">
        <v>42.186</v>
      </c>
      <c r="Q18" s="61">
        <v>104.395</v>
      </c>
      <c r="R18" s="61">
        <v>133.709</v>
      </c>
      <c r="S18" s="61">
        <v>108.542</v>
      </c>
      <c r="T18" s="688">
        <v>388.83199999999999</v>
      </c>
      <c r="U18" s="683" t="s">
        <v>630</v>
      </c>
      <c r="V18" s="61">
        <v>74.256</v>
      </c>
      <c r="W18" s="61">
        <v>144.577</v>
      </c>
      <c r="X18" s="61">
        <v>168.56899999999999</v>
      </c>
      <c r="Y18" s="61">
        <v>170.321</v>
      </c>
      <c r="Z18" s="688">
        <v>557.72299999999996</v>
      </c>
      <c r="AA18" s="683" t="s">
        <v>630</v>
      </c>
      <c r="AB18" s="61">
        <v>152.191</v>
      </c>
      <c r="AC18" s="61">
        <v>202.48</v>
      </c>
      <c r="AD18" s="61">
        <v>203.976</v>
      </c>
      <c r="AE18" s="61">
        <v>223.471</v>
      </c>
      <c r="AF18" s="687">
        <v>782.11800000000005</v>
      </c>
      <c r="AG18" s="683" t="s">
        <v>630</v>
      </c>
      <c r="AH18" s="61">
        <v>172.34700000000001</v>
      </c>
      <c r="AI18" s="61">
        <v>215.37200000000001</v>
      </c>
      <c r="AJ18" s="62">
        <f>FCFF!X31</f>
        <v>254.04267261653268</v>
      </c>
      <c r="AK18" s="62">
        <f>FCFF!Y31</f>
        <v>304.85120713983923</v>
      </c>
      <c r="AL18" s="62">
        <f>FCFF!Z31</f>
        <v>946.61287975637197</v>
      </c>
      <c r="AM18" s="62">
        <f>FCFF!AA31</f>
        <v>0</v>
      </c>
      <c r="AN18" s="62">
        <f>FCFF!AB31</f>
        <v>206.81640000000002</v>
      </c>
      <c r="AO18" s="62">
        <f>FCFF!AC31</f>
        <v>258.44639999999998</v>
      </c>
      <c r="AP18" s="62">
        <f>FCFF!AD31</f>
        <v>304.85120713983923</v>
      </c>
      <c r="AQ18" s="62">
        <f>FCFF!AE31</f>
        <v>365.82144856780707</v>
      </c>
      <c r="AR18" s="62">
        <f>FCFF!AF31</f>
        <v>1135.9354557076463</v>
      </c>
      <c r="AS18" s="62">
        <f>FCFF!AG31</f>
        <v>0</v>
      </c>
      <c r="AT18" s="62">
        <f>FCFF!AH31</f>
        <v>1344.1902892540481</v>
      </c>
      <c r="AU18" s="62">
        <f>FCFF!AI31</f>
        <v>0</v>
      </c>
      <c r="AV18" s="62">
        <f>FCFF!AJ31</f>
        <v>1568.2220041297226</v>
      </c>
      <c r="AW18" s="62">
        <f>FCFF!AK31</f>
        <v>0</v>
      </c>
      <c r="AX18" s="62">
        <f>FCFF!AL31</f>
        <v>1803.4553047491809</v>
      </c>
    </row>
    <row r="19" spans="1:50" s="55" customFormat="1" ht="14.25" customHeight="1" x14ac:dyDescent="0.25">
      <c r="A19" s="56"/>
      <c r="B19" s="64"/>
      <c r="C19" s="24"/>
      <c r="D19" s="47"/>
      <c r="E19" s="47"/>
      <c r="F19" s="47"/>
      <c r="G19" s="47"/>
      <c r="H19" s="688"/>
      <c r="I19" s="49"/>
      <c r="J19" s="47"/>
      <c r="K19" s="47"/>
      <c r="L19" s="47"/>
      <c r="M19" s="47"/>
      <c r="N19" s="688"/>
      <c r="O19" s="48"/>
      <c r="P19" s="47"/>
      <c r="Q19" s="47"/>
      <c r="R19" s="47"/>
      <c r="S19" s="47"/>
      <c r="T19" s="689"/>
      <c r="U19" s="48"/>
      <c r="V19" s="47"/>
      <c r="W19" s="47"/>
      <c r="X19" s="47"/>
      <c r="Y19" s="47"/>
      <c r="Z19" s="689"/>
      <c r="AA19" s="48"/>
      <c r="AB19" s="47"/>
      <c r="AC19" s="47"/>
      <c r="AD19" s="47"/>
      <c r="AE19" s="47"/>
      <c r="AF19" s="688"/>
      <c r="AG19" s="50"/>
      <c r="AH19" s="559"/>
      <c r="AI19" s="47"/>
      <c r="AJ19" s="51"/>
      <c r="AK19" s="51"/>
      <c r="AL19" s="53"/>
      <c r="AM19" s="52"/>
      <c r="AN19" s="51"/>
      <c r="AO19" s="51"/>
      <c r="AP19" s="51"/>
      <c r="AQ19" s="51"/>
      <c r="AR19" s="53"/>
      <c r="AS19" s="52"/>
      <c r="AT19" s="53"/>
      <c r="AU19" s="54"/>
      <c r="AV19" s="53"/>
      <c r="AW19" s="54"/>
      <c r="AX19" s="53"/>
    </row>
    <row r="20" spans="1:50" s="55" customFormat="1" ht="14.25" customHeight="1" x14ac:dyDescent="0.25">
      <c r="A20" s="45" t="s">
        <v>38</v>
      </c>
      <c r="B20" s="65" t="s">
        <v>631</v>
      </c>
      <c r="C20" s="22"/>
      <c r="D20" s="47"/>
      <c r="E20" s="47"/>
      <c r="F20" s="47"/>
      <c r="G20" s="47"/>
      <c r="H20" s="689"/>
      <c r="I20" s="49"/>
      <c r="J20" s="47"/>
      <c r="K20" s="47"/>
      <c r="L20" s="47"/>
      <c r="M20" s="47"/>
      <c r="N20" s="689"/>
      <c r="O20" s="49"/>
      <c r="P20" s="47"/>
      <c r="Q20" s="47"/>
      <c r="R20" s="47"/>
      <c r="S20" s="47"/>
      <c r="T20" s="690"/>
      <c r="U20" s="49"/>
      <c r="V20" s="47"/>
      <c r="W20" s="47"/>
      <c r="X20" s="47"/>
      <c r="Y20" s="47"/>
      <c r="Z20" s="690"/>
      <c r="AA20" s="52"/>
      <c r="AB20" s="47"/>
      <c r="AC20" s="47"/>
      <c r="AD20" s="47"/>
      <c r="AE20" s="47"/>
      <c r="AF20" s="689"/>
      <c r="AG20" s="50"/>
      <c r="AH20" s="47"/>
      <c r="AI20" s="47"/>
      <c r="AJ20" s="51"/>
      <c r="AK20" s="51"/>
      <c r="AL20" s="68"/>
      <c r="AM20" s="67"/>
      <c r="AN20" s="51"/>
      <c r="AO20" s="51"/>
      <c r="AP20" s="51"/>
      <c r="AQ20" s="51"/>
      <c r="AR20" s="68"/>
      <c r="AS20" s="67"/>
      <c r="AT20" s="68"/>
      <c r="AU20" s="69"/>
      <c r="AV20" s="68"/>
      <c r="AW20" s="69"/>
      <c r="AX20" s="68"/>
    </row>
    <row r="21" spans="1:50" s="55" customFormat="1" ht="14.25" customHeight="1" x14ac:dyDescent="0.25">
      <c r="A21" s="56"/>
      <c r="B21" s="70" t="s">
        <v>632</v>
      </c>
      <c r="C21" s="25"/>
      <c r="D21" s="684">
        <v>0</v>
      </c>
      <c r="E21" s="685">
        <v>19.693000000000001</v>
      </c>
      <c r="F21" s="685">
        <v>27.324000000000002</v>
      </c>
      <c r="G21" s="685">
        <v>25.888000000000002</v>
      </c>
      <c r="H21" s="690">
        <v>87.025000000000006</v>
      </c>
      <c r="I21" s="685" t="s">
        <v>630</v>
      </c>
      <c r="J21" s="685">
        <v>25.687000000000001</v>
      </c>
      <c r="K21" s="685">
        <v>32.183999999999997</v>
      </c>
      <c r="L21" s="685">
        <v>37.328000000000003</v>
      </c>
      <c r="M21" s="685">
        <v>49.695999999999998</v>
      </c>
      <c r="N21" s="690">
        <v>144.89500000000001</v>
      </c>
      <c r="O21" s="685" t="s">
        <v>630</v>
      </c>
      <c r="P21" s="685">
        <v>22.5</v>
      </c>
      <c r="Q21" s="685">
        <v>60.238</v>
      </c>
      <c r="R21" s="685">
        <v>67.742000000000004</v>
      </c>
      <c r="S21" s="685">
        <v>54.737000000000002</v>
      </c>
      <c r="T21" s="691">
        <v>205.21700000000001</v>
      </c>
      <c r="U21" s="685" t="s">
        <v>630</v>
      </c>
      <c r="V21" s="685">
        <v>34.270000000000003</v>
      </c>
      <c r="W21" s="685">
        <v>75.938000000000002</v>
      </c>
      <c r="X21" s="685">
        <v>80.055000000000007</v>
      </c>
      <c r="Y21" s="685">
        <v>91.245000000000005</v>
      </c>
      <c r="Z21" s="691">
        <v>281.50799999999998</v>
      </c>
      <c r="AA21" s="685" t="s">
        <v>630</v>
      </c>
      <c r="AB21" s="685">
        <v>73.069999999999993</v>
      </c>
      <c r="AC21" s="685">
        <v>105.696</v>
      </c>
      <c r="AD21" s="685">
        <v>99.141999999999996</v>
      </c>
      <c r="AE21" s="685">
        <v>112.65600000000001</v>
      </c>
      <c r="AF21" s="690">
        <v>390.56400000000002</v>
      </c>
      <c r="AG21" s="685" t="s">
        <v>630</v>
      </c>
      <c r="AH21" s="685">
        <v>89.796999999999997</v>
      </c>
      <c r="AI21" s="685">
        <v>110.911</v>
      </c>
      <c r="AJ21" s="51">
        <v>8750</v>
      </c>
      <c r="AK21" s="51">
        <v>9500</v>
      </c>
      <c r="AL21" s="68">
        <v>25476.6</v>
      </c>
      <c r="AM21" s="71"/>
      <c r="AN21" s="51">
        <v>7260</v>
      </c>
      <c r="AO21" s="51">
        <v>7920</v>
      </c>
      <c r="AP21" s="51">
        <v>7480.0000000000009</v>
      </c>
      <c r="AQ21" s="51">
        <v>6160.0000000000009</v>
      </c>
      <c r="AR21" s="68">
        <v>28820</v>
      </c>
      <c r="AS21" s="71"/>
      <c r="AT21" s="68">
        <v>32400</v>
      </c>
      <c r="AU21" s="72"/>
      <c r="AV21" s="68">
        <v>26100</v>
      </c>
      <c r="AW21" s="72"/>
      <c r="AX21" s="68">
        <v>33600</v>
      </c>
    </row>
    <row r="22" spans="1:50" s="55" customFormat="1" ht="14.25" customHeight="1" x14ac:dyDescent="0.25">
      <c r="A22" s="73"/>
      <c r="B22" s="70" t="s">
        <v>633</v>
      </c>
      <c r="C22" s="22"/>
      <c r="D22" s="61">
        <v>0</v>
      </c>
      <c r="E22" s="61">
        <v>0</v>
      </c>
      <c r="F22" s="61">
        <v>0</v>
      </c>
      <c r="G22" s="61">
        <v>0</v>
      </c>
      <c r="H22" s="691">
        <v>0</v>
      </c>
      <c r="I22" s="49"/>
      <c r="J22" s="61">
        <v>0</v>
      </c>
      <c r="K22" s="61">
        <v>0</v>
      </c>
      <c r="L22" s="61">
        <v>0</v>
      </c>
      <c r="M22" s="61">
        <v>0</v>
      </c>
      <c r="N22" s="691">
        <v>0</v>
      </c>
      <c r="O22" s="49"/>
      <c r="P22" s="61">
        <v>0</v>
      </c>
      <c r="Q22" s="61">
        <v>0</v>
      </c>
      <c r="R22" s="61">
        <v>0</v>
      </c>
      <c r="S22" s="61">
        <v>0</v>
      </c>
      <c r="T22" s="692">
        <v>0</v>
      </c>
      <c r="U22" s="49"/>
      <c r="V22" s="61">
        <v>0</v>
      </c>
      <c r="W22" s="61">
        <v>0</v>
      </c>
      <c r="X22" s="61">
        <v>0</v>
      </c>
      <c r="Y22" s="61">
        <v>0</v>
      </c>
      <c r="Z22" s="692">
        <v>0</v>
      </c>
      <c r="AA22" s="52"/>
      <c r="AB22" s="61">
        <v>0</v>
      </c>
      <c r="AC22" s="61">
        <v>0</v>
      </c>
      <c r="AD22" s="61">
        <v>0</v>
      </c>
      <c r="AE22" s="61">
        <v>0</v>
      </c>
      <c r="AF22" s="691">
        <v>0</v>
      </c>
      <c r="AG22" s="50"/>
      <c r="AH22" s="61">
        <v>0</v>
      </c>
      <c r="AI22" s="61">
        <v>0</v>
      </c>
      <c r="AJ22" s="51">
        <v>3267</v>
      </c>
      <c r="AK22" s="51">
        <v>3801.6</v>
      </c>
      <c r="AL22" s="75">
        <v>3366.0000000000005</v>
      </c>
      <c r="AM22" s="71"/>
      <c r="AN22" s="51">
        <v>13391.400000000001</v>
      </c>
      <c r="AO22" s="51">
        <v>0</v>
      </c>
      <c r="AP22" s="51">
        <v>15552</v>
      </c>
      <c r="AQ22" s="51">
        <v>0</v>
      </c>
      <c r="AR22" s="75">
        <v>12528</v>
      </c>
      <c r="AS22" s="71"/>
      <c r="AT22" s="75">
        <v>16128</v>
      </c>
      <c r="AU22" s="72"/>
      <c r="AV22" s="75">
        <v>0</v>
      </c>
      <c r="AW22" s="72"/>
      <c r="AX22" s="75">
        <v>0</v>
      </c>
    </row>
    <row r="23" spans="1:50" s="55" customFormat="1" ht="14.25" customHeight="1" x14ac:dyDescent="0.25">
      <c r="A23" s="56"/>
      <c r="B23" s="76" t="s">
        <v>634</v>
      </c>
      <c r="C23" s="24"/>
      <c r="D23" s="47">
        <v>14.12</v>
      </c>
      <c r="E23" s="47">
        <v>19.693000000000001</v>
      </c>
      <c r="F23" s="47">
        <v>27.324000000000002</v>
      </c>
      <c r="G23" s="47">
        <v>25.888000000000002</v>
      </c>
      <c r="H23" s="692">
        <v>87.025000000000006</v>
      </c>
      <c r="I23" s="49"/>
      <c r="J23" s="47">
        <v>25.687000000000001</v>
      </c>
      <c r="K23" s="47">
        <v>32.183999999999997</v>
      </c>
      <c r="L23" s="47">
        <v>37.328000000000003</v>
      </c>
      <c r="M23" s="47">
        <v>49.695999999999998</v>
      </c>
      <c r="N23" s="692">
        <v>144.89500000000001</v>
      </c>
      <c r="O23" s="49"/>
      <c r="P23" s="47">
        <v>22.5</v>
      </c>
      <c r="Q23" s="47">
        <v>60.238</v>
      </c>
      <c r="R23" s="47">
        <v>67.742000000000004</v>
      </c>
      <c r="S23" s="47">
        <v>54.737000000000002</v>
      </c>
      <c r="T23" s="693">
        <v>205.21700000000001</v>
      </c>
      <c r="U23" s="47" t="s">
        <v>630</v>
      </c>
      <c r="V23" s="47">
        <v>34.270000000000003</v>
      </c>
      <c r="W23" s="47">
        <v>75.938000000000002</v>
      </c>
      <c r="X23" s="47">
        <v>80.055000000000007</v>
      </c>
      <c r="Y23" s="47">
        <v>91.245000000000005</v>
      </c>
      <c r="Z23" s="693">
        <v>281.50799999999998</v>
      </c>
      <c r="AA23" s="47" t="s">
        <v>630</v>
      </c>
      <c r="AB23" s="47">
        <v>73.069999999999993</v>
      </c>
      <c r="AC23" s="47">
        <v>105.696</v>
      </c>
      <c r="AD23" s="47">
        <v>99.141999999999996</v>
      </c>
      <c r="AE23" s="47">
        <v>112.65600000000001</v>
      </c>
      <c r="AF23" s="692">
        <v>390.56400000000002</v>
      </c>
      <c r="AG23" s="47" t="s">
        <v>630</v>
      </c>
      <c r="AH23" s="47">
        <v>89.796999999999997</v>
      </c>
      <c r="AI23" s="47">
        <v>110.911</v>
      </c>
      <c r="AJ23" s="51">
        <v>11875</v>
      </c>
      <c r="AK23" s="51">
        <v>10750</v>
      </c>
      <c r="AL23" s="78">
        <v>23184.165000000001</v>
      </c>
      <c r="AM23" s="71"/>
      <c r="AN23" s="51">
        <v>11473</v>
      </c>
      <c r="AO23" s="51">
        <v>10278.4</v>
      </c>
      <c r="AP23" s="51">
        <v>11154</v>
      </c>
      <c r="AQ23" s="51">
        <v>12883.2</v>
      </c>
      <c r="AR23" s="78">
        <v>45788.600000000006</v>
      </c>
      <c r="AS23" s="71"/>
      <c r="AT23" s="78">
        <v>42048</v>
      </c>
      <c r="AU23" s="72"/>
      <c r="AV23" s="78">
        <v>48372</v>
      </c>
      <c r="AW23" s="72"/>
      <c r="AX23" s="78">
        <v>55272</v>
      </c>
    </row>
    <row r="24" spans="1:50" s="55" customFormat="1" ht="14.25" customHeight="1" x14ac:dyDescent="0.25">
      <c r="A24" s="73"/>
      <c r="B24" s="79" t="s">
        <v>277</v>
      </c>
      <c r="C24" s="22"/>
      <c r="D24" s="668">
        <v>10.228</v>
      </c>
      <c r="E24" s="668">
        <v>19.356000000000002</v>
      </c>
      <c r="F24" s="668">
        <v>20.341000000000001</v>
      </c>
      <c r="G24" s="668">
        <v>19.673999999999999</v>
      </c>
      <c r="H24" s="693">
        <v>69.599000000000004</v>
      </c>
      <c r="I24" s="668" t="s">
        <v>630</v>
      </c>
      <c r="J24" s="668">
        <v>18.045000000000002</v>
      </c>
      <c r="K24" s="668">
        <v>21.68</v>
      </c>
      <c r="L24" s="668">
        <v>29.684999999999999</v>
      </c>
      <c r="M24" s="668">
        <v>45.445999999999998</v>
      </c>
      <c r="N24" s="693">
        <v>114.85599999999999</v>
      </c>
      <c r="O24" s="668" t="s">
        <v>630</v>
      </c>
      <c r="P24" s="668">
        <v>19.686</v>
      </c>
      <c r="Q24" s="668">
        <v>44.156999999999996</v>
      </c>
      <c r="R24" s="668">
        <v>65.966999999999999</v>
      </c>
      <c r="S24" s="668">
        <v>53.805</v>
      </c>
      <c r="T24" s="689">
        <v>183.61500000000001</v>
      </c>
      <c r="U24" s="668" t="s">
        <v>630</v>
      </c>
      <c r="V24" s="668">
        <v>39.985999999999997</v>
      </c>
      <c r="W24" s="668">
        <v>68.638999999999996</v>
      </c>
      <c r="X24" s="668">
        <v>88.513999999999996</v>
      </c>
      <c r="Y24" s="668">
        <v>79.075999999999993</v>
      </c>
      <c r="Z24" s="689">
        <v>276.21499999999997</v>
      </c>
      <c r="AA24" s="668" t="s">
        <v>630</v>
      </c>
      <c r="AB24" s="668">
        <v>79.120999999999995</v>
      </c>
      <c r="AC24" s="668">
        <v>96.784000000000006</v>
      </c>
      <c r="AD24" s="668">
        <v>104.834</v>
      </c>
      <c r="AE24" s="668">
        <v>110.815</v>
      </c>
      <c r="AF24" s="693">
        <v>391.55399999999997</v>
      </c>
      <c r="AG24" s="668" t="s">
        <v>630</v>
      </c>
      <c r="AH24" s="668">
        <v>82.55</v>
      </c>
      <c r="AI24" s="668">
        <v>104.461</v>
      </c>
      <c r="AJ24" s="51">
        <v>11875</v>
      </c>
      <c r="AK24" s="51">
        <v>10750</v>
      </c>
      <c r="AL24" s="78">
        <v>23184.165000000001</v>
      </c>
      <c r="AM24" s="71"/>
      <c r="AN24" s="51">
        <v>11473</v>
      </c>
      <c r="AO24" s="51">
        <v>10278.4</v>
      </c>
      <c r="AP24" s="51">
        <v>11154</v>
      </c>
      <c r="AQ24" s="51">
        <v>12883.2</v>
      </c>
      <c r="AR24" s="78">
        <v>45788.600000000006</v>
      </c>
      <c r="AS24" s="71"/>
      <c r="AT24" s="78">
        <v>42048</v>
      </c>
      <c r="AU24" s="72"/>
      <c r="AV24" s="78">
        <v>48372</v>
      </c>
      <c r="AW24" s="72"/>
      <c r="AX24" s="78">
        <v>55272</v>
      </c>
    </row>
    <row r="25" spans="1:50" s="55" customFormat="1" ht="14.25" customHeight="1" x14ac:dyDescent="0.25">
      <c r="A25" s="56"/>
      <c r="B25" s="80"/>
      <c r="C25" s="24"/>
      <c r="D25" s="47"/>
      <c r="E25" s="47"/>
      <c r="F25" s="47"/>
      <c r="G25" s="47"/>
      <c r="H25" s="689"/>
      <c r="I25" s="49"/>
      <c r="J25" s="47"/>
      <c r="K25" s="47"/>
      <c r="L25" s="47"/>
      <c r="M25" s="47"/>
      <c r="N25" s="689"/>
      <c r="O25" s="49"/>
      <c r="P25" s="47"/>
      <c r="Q25" s="47"/>
      <c r="R25" s="47"/>
      <c r="S25" s="47"/>
      <c r="T25" s="689"/>
      <c r="U25" s="49"/>
      <c r="V25" s="47"/>
      <c r="W25" s="47"/>
      <c r="X25" s="47"/>
      <c r="Y25" s="47"/>
      <c r="Z25" s="689"/>
      <c r="AA25" s="52"/>
      <c r="AB25" s="47"/>
      <c r="AC25" s="47"/>
      <c r="AD25" s="47"/>
      <c r="AE25" s="47"/>
      <c r="AF25" s="689"/>
      <c r="AG25" s="50"/>
      <c r="AH25" s="47"/>
      <c r="AI25" s="47"/>
      <c r="AJ25" s="51"/>
      <c r="AK25" s="51"/>
      <c r="AL25" s="68"/>
      <c r="AM25" s="71"/>
      <c r="AN25" s="51"/>
      <c r="AO25" s="51"/>
      <c r="AP25" s="51"/>
      <c r="AQ25" s="51"/>
      <c r="AR25" s="68"/>
      <c r="AS25" s="71"/>
      <c r="AT25" s="68"/>
      <c r="AU25" s="72"/>
      <c r="AV25" s="68"/>
      <c r="AW25" s="72"/>
      <c r="AX25" s="68"/>
    </row>
    <row r="26" spans="1:50" s="55" customFormat="1" ht="14.25" customHeight="1" x14ac:dyDescent="0.25">
      <c r="A26" s="45" t="s">
        <v>38</v>
      </c>
      <c r="B26" s="65" t="s">
        <v>635</v>
      </c>
      <c r="C26" s="22"/>
      <c r="D26" s="47"/>
      <c r="E26" s="47"/>
      <c r="F26" s="47"/>
      <c r="G26" s="47"/>
      <c r="H26" s="689"/>
      <c r="I26" s="49"/>
      <c r="J26" s="47"/>
      <c r="K26" s="47"/>
      <c r="L26" s="47"/>
      <c r="M26" s="47"/>
      <c r="N26" s="689"/>
      <c r="O26" s="49"/>
      <c r="P26" s="47"/>
      <c r="Q26" s="47"/>
      <c r="R26" s="47"/>
      <c r="S26" s="47"/>
      <c r="T26" s="694"/>
      <c r="U26" s="49"/>
      <c r="V26" s="47"/>
      <c r="W26" s="47"/>
      <c r="X26" s="47"/>
      <c r="Y26" s="47"/>
      <c r="Z26" s="694"/>
      <c r="AA26" s="755"/>
      <c r="AB26" s="47"/>
      <c r="AC26" s="47"/>
      <c r="AD26" s="47"/>
      <c r="AE26" s="47"/>
      <c r="AF26" s="689"/>
      <c r="AG26" s="82"/>
      <c r="AH26" s="47"/>
      <c r="AI26" s="47"/>
      <c r="AJ26" s="51"/>
      <c r="AK26" s="51"/>
      <c r="AL26" s="68"/>
      <c r="AM26" s="81"/>
      <c r="AN26" s="51"/>
      <c r="AO26" s="51"/>
      <c r="AP26" s="51"/>
      <c r="AQ26" s="51"/>
      <c r="AR26" s="68"/>
      <c r="AS26" s="81"/>
      <c r="AT26" s="68"/>
      <c r="AU26" s="83"/>
      <c r="AV26" s="68"/>
      <c r="AW26" s="83"/>
      <c r="AX26" s="68"/>
    </row>
    <row r="27" spans="1:50" s="55" customFormat="1" ht="14.25" customHeight="1" x14ac:dyDescent="0.25">
      <c r="A27" s="84"/>
      <c r="B27" s="70" t="s">
        <v>636</v>
      </c>
      <c r="C27" s="27"/>
      <c r="D27" s="47">
        <v>5.3330000000000002</v>
      </c>
      <c r="E27" s="47">
        <v>6.7990000000000004</v>
      </c>
      <c r="F27" s="47">
        <v>8.4920000000000009</v>
      </c>
      <c r="G27" s="47">
        <v>8.3640000000000008</v>
      </c>
      <c r="H27" s="694">
        <v>28.988</v>
      </c>
      <c r="I27" s="66">
        <v>188.535</v>
      </c>
      <c r="J27" s="47">
        <v>25.687000000000001</v>
      </c>
      <c r="K27" s="47">
        <v>32.183999999999997</v>
      </c>
      <c r="L27" s="47">
        <v>37.328000000000003</v>
      </c>
      <c r="M27" s="47">
        <v>49.695999999999998</v>
      </c>
      <c r="N27" s="694">
        <v>41.947000000000003</v>
      </c>
      <c r="O27" s="47" t="s">
        <v>630</v>
      </c>
      <c r="P27" s="47">
        <v>11.646000000000001</v>
      </c>
      <c r="Q27" s="47">
        <v>12.755000000000001</v>
      </c>
      <c r="R27" s="47">
        <v>18.652999999999999</v>
      </c>
      <c r="S27" s="47">
        <v>19.3</v>
      </c>
      <c r="T27" s="689">
        <v>62.353999999999999</v>
      </c>
      <c r="U27" s="47">
        <v>17.094999999999999</v>
      </c>
      <c r="V27" s="47">
        <v>17.094999999999999</v>
      </c>
      <c r="W27" s="47">
        <v>18.145</v>
      </c>
      <c r="X27" s="47">
        <v>29.19</v>
      </c>
      <c r="Y27" s="47">
        <v>23.236999999999998</v>
      </c>
      <c r="Z27" s="689">
        <v>87.667000000000002</v>
      </c>
      <c r="AA27" s="47">
        <v>33.222999999999999</v>
      </c>
      <c r="AB27" s="47">
        <v>29.971</v>
      </c>
      <c r="AC27" s="47">
        <v>33.222999999999999</v>
      </c>
      <c r="AD27" s="47">
        <v>32.813000000000002</v>
      </c>
      <c r="AE27" s="47">
        <v>39.076000000000001</v>
      </c>
      <c r="AF27" s="694">
        <v>135.083</v>
      </c>
      <c r="AG27" s="47" t="s">
        <v>630</v>
      </c>
      <c r="AH27" s="47">
        <v>29.27</v>
      </c>
      <c r="AI27" s="47">
        <v>38.950000000000003</v>
      </c>
      <c r="AJ27" s="51">
        <v>1375</v>
      </c>
      <c r="AK27" s="51">
        <v>1250</v>
      </c>
      <c r="AL27" s="68">
        <v>2705.5129999999999</v>
      </c>
      <c r="AM27" s="81"/>
      <c r="AN27" s="51">
        <v>1210</v>
      </c>
      <c r="AO27" s="51">
        <v>1100</v>
      </c>
      <c r="AP27" s="51">
        <v>1210</v>
      </c>
      <c r="AQ27" s="51">
        <v>1100</v>
      </c>
      <c r="AR27" s="68">
        <v>4620</v>
      </c>
      <c r="AS27" s="81"/>
      <c r="AT27" s="68">
        <v>4500</v>
      </c>
      <c r="AU27" s="83"/>
      <c r="AV27" s="68">
        <v>4350</v>
      </c>
      <c r="AW27" s="83"/>
      <c r="AX27" s="68">
        <v>5250</v>
      </c>
    </row>
    <row r="28" spans="1:50" s="55" customFormat="1" ht="14.25" customHeight="1" x14ac:dyDescent="0.25">
      <c r="A28" s="56"/>
      <c r="B28" s="70" t="s">
        <v>637</v>
      </c>
      <c r="C28" s="24"/>
      <c r="D28" s="51"/>
      <c r="E28" s="51"/>
      <c r="F28" s="51"/>
      <c r="G28" s="51"/>
      <c r="H28" s="51"/>
      <c r="I28" s="51"/>
      <c r="J28" s="51"/>
      <c r="K28" s="51"/>
      <c r="L28" s="51"/>
      <c r="M28" s="51"/>
      <c r="N28" s="51"/>
      <c r="O28" s="51">
        <f>FCFF!C49</f>
        <v>0</v>
      </c>
      <c r="P28" s="51">
        <v>1.2130000000000001</v>
      </c>
      <c r="Q28" s="51">
        <v>1.3420000000000001</v>
      </c>
      <c r="R28" s="51">
        <v>1.5489999999999999</v>
      </c>
      <c r="S28" s="51">
        <v>1.262</v>
      </c>
      <c r="T28" s="51">
        <v>5.3659999999999997</v>
      </c>
      <c r="U28" s="51">
        <v>0</v>
      </c>
      <c r="V28" s="51">
        <v>1.714</v>
      </c>
      <c r="W28" s="51">
        <v>2.2410000000000001</v>
      </c>
      <c r="X28" s="51">
        <v>2.0659999999999998</v>
      </c>
      <c r="Y28" s="51">
        <v>2.0710000000000002</v>
      </c>
      <c r="Z28" s="51">
        <v>8.0920000000000005</v>
      </c>
      <c r="AA28" s="51">
        <v>0</v>
      </c>
      <c r="AB28" s="51">
        <v>2.5179999999999998</v>
      </c>
      <c r="AC28" s="51">
        <v>2.1659999999999999</v>
      </c>
      <c r="AD28" s="51">
        <v>2.3889999999999998</v>
      </c>
      <c r="AE28" s="51">
        <v>2.8940000000000001</v>
      </c>
      <c r="AF28" s="51">
        <v>9.9670000000000005</v>
      </c>
      <c r="AG28" s="51">
        <v>0</v>
      </c>
      <c r="AH28" s="51">
        <v>3.0169999999999999</v>
      </c>
      <c r="AI28" s="51">
        <v>3.339</v>
      </c>
      <c r="AJ28" s="51">
        <v>3.3570789266905345</v>
      </c>
      <c r="AK28" s="51">
        <v>3.366535318962868</v>
      </c>
      <c r="AL28" s="51">
        <v>13.079614245653403</v>
      </c>
      <c r="AM28" s="51"/>
      <c r="AN28" s="51">
        <v>3.29812352643295</v>
      </c>
      <c r="AO28" s="51">
        <v>3.3418523934111195</v>
      </c>
      <c r="AP28" s="51">
        <v>3.3496209742463665</v>
      </c>
      <c r="AQ28" s="51">
        <v>3.3455094255091731</v>
      </c>
      <c r="AR28" s="51">
        <v>13.335106319599609</v>
      </c>
      <c r="AS28" s="51"/>
      <c r="AT28" s="51">
        <v>12.499356192947026</v>
      </c>
      <c r="AU28" s="51"/>
      <c r="AV28" s="51">
        <v>13.150887966671032</v>
      </c>
      <c r="AW28" s="51"/>
      <c r="AX28" s="51">
        <v>13.263185821509472</v>
      </c>
    </row>
    <row r="29" spans="1:50" s="55" customFormat="1" ht="14.25" customHeight="1" x14ac:dyDescent="0.25">
      <c r="A29" s="73"/>
      <c r="B29" s="70" t="s">
        <v>638</v>
      </c>
      <c r="C29" s="22"/>
      <c r="D29" s="47">
        <v>3.677</v>
      </c>
      <c r="E29" s="47">
        <v>5.2210000000000001</v>
      </c>
      <c r="F29" s="47">
        <v>4.343</v>
      </c>
      <c r="G29" s="47">
        <v>5.8780000000000001</v>
      </c>
      <c r="H29" s="689">
        <v>19.119</v>
      </c>
      <c r="I29" s="47"/>
      <c r="J29" s="47">
        <v>5.5039999999999996</v>
      </c>
      <c r="K29" s="47">
        <v>7.9329999999999998</v>
      </c>
      <c r="L29" s="47">
        <v>7.8559999999999999</v>
      </c>
      <c r="M29" s="47">
        <v>12.914</v>
      </c>
      <c r="N29" s="689">
        <v>34.207000000000001</v>
      </c>
      <c r="O29" s="47" t="s">
        <v>630</v>
      </c>
      <c r="P29" s="47">
        <v>17.346</v>
      </c>
      <c r="Q29" s="47">
        <v>11.367000000000001</v>
      </c>
      <c r="R29" s="47">
        <v>15.678000000000001</v>
      </c>
      <c r="S29" s="47">
        <v>17.835000000000001</v>
      </c>
      <c r="T29" s="689">
        <v>62.225999999999999</v>
      </c>
      <c r="U29" s="47" t="s">
        <v>630</v>
      </c>
      <c r="V29" s="47">
        <v>14.029</v>
      </c>
      <c r="W29" s="47">
        <v>20.064</v>
      </c>
      <c r="X29" s="47">
        <v>26.151</v>
      </c>
      <c r="Y29" s="47">
        <v>32.465000000000003</v>
      </c>
      <c r="Z29" s="689">
        <v>92.709000000000003</v>
      </c>
      <c r="AA29" s="47" t="s">
        <v>630</v>
      </c>
      <c r="AB29" s="47">
        <v>23.917999999999999</v>
      </c>
      <c r="AC29" s="47">
        <v>25.968</v>
      </c>
      <c r="AD29" s="47">
        <v>27.837</v>
      </c>
      <c r="AE29" s="47">
        <v>27.75</v>
      </c>
      <c r="AF29" s="689">
        <v>105.473</v>
      </c>
      <c r="AG29" s="47" t="s">
        <v>630</v>
      </c>
      <c r="AH29" s="47">
        <v>27.503</v>
      </c>
      <c r="AI29" s="47">
        <v>33.817</v>
      </c>
      <c r="AJ29" s="51">
        <f>FCFF!X49</f>
        <v>3.3570789266905345</v>
      </c>
      <c r="AK29" s="51">
        <v>1935</v>
      </c>
      <c r="AL29" s="68">
        <v>4072.5</v>
      </c>
      <c r="AM29" s="81"/>
      <c r="AN29" s="51">
        <v>1835.68</v>
      </c>
      <c r="AO29" s="51">
        <v>1850.1119999999999</v>
      </c>
      <c r="AP29" s="51">
        <v>1896.18</v>
      </c>
      <c r="AQ29" s="51">
        <v>2447.808</v>
      </c>
      <c r="AR29" s="68">
        <v>8029.78</v>
      </c>
      <c r="AS29" s="81"/>
      <c r="AT29" s="68">
        <v>8409.6</v>
      </c>
      <c r="AU29" s="83"/>
      <c r="AV29" s="68">
        <v>8706.9599999999991</v>
      </c>
      <c r="AW29" s="83"/>
      <c r="AX29" s="68">
        <v>8843.52</v>
      </c>
    </row>
    <row r="30" spans="1:50" s="55" customFormat="1" ht="14.25" customHeight="1" x14ac:dyDescent="0.25">
      <c r="A30" s="56"/>
      <c r="B30" s="70" t="s">
        <v>639</v>
      </c>
      <c r="C30" s="24"/>
      <c r="D30" s="47">
        <v>0</v>
      </c>
      <c r="E30" s="47">
        <v>-1.000000000000334E-3</v>
      </c>
      <c r="F30" s="47">
        <v>0</v>
      </c>
      <c r="G30" s="47">
        <v>0</v>
      </c>
      <c r="H30" s="689">
        <v>0</v>
      </c>
      <c r="I30" s="47" t="e">
        <v>#VALUE!</v>
      </c>
      <c r="J30" s="47">
        <v>-16.596</v>
      </c>
      <c r="K30" s="47">
        <v>-22.767999999999997</v>
      </c>
      <c r="L30" s="47">
        <v>-27.294000000000004</v>
      </c>
      <c r="M30" s="47">
        <v>-36.29</v>
      </c>
      <c r="N30" s="689">
        <v>0</v>
      </c>
      <c r="O30" s="47" t="e">
        <v>#VALUE!</v>
      </c>
      <c r="P30" s="47">
        <v>-10.853999999999999</v>
      </c>
      <c r="Q30" s="47">
        <v>-47.483000000000004</v>
      </c>
      <c r="R30" s="47">
        <v>-49.088999999999999</v>
      </c>
      <c r="S30" s="47">
        <v>-35.437000000000005</v>
      </c>
      <c r="T30" s="689">
        <v>1.2000000000000455E-2</v>
      </c>
      <c r="U30" s="47" t="e">
        <v>#VALUE!</v>
      </c>
      <c r="V30" s="47">
        <v>-17.175000000000004</v>
      </c>
      <c r="W30" s="47">
        <v>-57.792999999999999</v>
      </c>
      <c r="X30" s="47">
        <v>-50.865000000000009</v>
      </c>
      <c r="Y30" s="47">
        <v>-68.00800000000001</v>
      </c>
      <c r="Z30" s="689">
        <v>1.999999999981128E-3</v>
      </c>
      <c r="AA30" s="47" t="e">
        <v>#VALUE!</v>
      </c>
      <c r="AB30" s="47">
        <v>-43.09899999999999</v>
      </c>
      <c r="AC30" s="47">
        <v>-72.472999999999999</v>
      </c>
      <c r="AD30" s="47">
        <v>-66.328999999999994</v>
      </c>
      <c r="AE30" s="47">
        <v>-73.580000000000013</v>
      </c>
      <c r="AF30" s="689">
        <v>0.94500000000000739</v>
      </c>
      <c r="AG30" s="47" t="e">
        <v>#VALUE!</v>
      </c>
      <c r="AH30" s="47">
        <v>-60.526999999999994</v>
      </c>
      <c r="AI30" s="47">
        <v>-71.961000000000013</v>
      </c>
      <c r="AJ30" s="51">
        <v>25</v>
      </c>
      <c r="AK30" s="51">
        <v>25</v>
      </c>
      <c r="AL30" s="75">
        <v>27.882999999999992</v>
      </c>
      <c r="AM30" s="71"/>
      <c r="AN30" s="51">
        <v>22</v>
      </c>
      <c r="AO30" s="51">
        <v>22</v>
      </c>
      <c r="AP30" s="51">
        <v>22</v>
      </c>
      <c r="AQ30" s="51">
        <v>22</v>
      </c>
      <c r="AR30" s="75">
        <v>88</v>
      </c>
      <c r="AS30" s="71"/>
      <c r="AT30" s="75">
        <v>90</v>
      </c>
      <c r="AU30" s="72"/>
      <c r="AV30" s="75">
        <v>87</v>
      </c>
      <c r="AW30" s="72"/>
      <c r="AX30" s="75">
        <v>105</v>
      </c>
    </row>
    <row r="31" spans="1:50" s="55" customFormat="1" ht="14.25" customHeight="1" x14ac:dyDescent="0.25">
      <c r="A31" s="73"/>
      <c r="B31" s="76" t="s">
        <v>640</v>
      </c>
      <c r="C31" s="22"/>
      <c r="D31" s="47">
        <v>9.01</v>
      </c>
      <c r="E31" s="47">
        <v>12.019</v>
      </c>
      <c r="F31" s="47">
        <v>12.835000000000001</v>
      </c>
      <c r="G31" s="47">
        <v>14.242000000000001</v>
      </c>
      <c r="H31" s="689">
        <v>48.106999999999999</v>
      </c>
      <c r="I31" s="47" t="s">
        <v>630</v>
      </c>
      <c r="J31" s="47">
        <v>14.595000000000001</v>
      </c>
      <c r="K31" s="47">
        <v>17.349</v>
      </c>
      <c r="L31" s="47">
        <v>17.89</v>
      </c>
      <c r="M31" s="47">
        <v>26.32</v>
      </c>
      <c r="N31" s="689">
        <v>76.153999999999996</v>
      </c>
      <c r="O31" s="47" t="s">
        <v>630</v>
      </c>
      <c r="P31" s="47">
        <v>28.992000000000001</v>
      </c>
      <c r="Q31" s="47">
        <v>24.122</v>
      </c>
      <c r="R31" s="47">
        <v>34.331000000000003</v>
      </c>
      <c r="S31" s="47">
        <v>37.134999999999998</v>
      </c>
      <c r="T31" s="689">
        <v>124.592</v>
      </c>
      <c r="U31" s="47" t="s">
        <v>630</v>
      </c>
      <c r="V31" s="47">
        <v>31.123999999999999</v>
      </c>
      <c r="W31" s="47">
        <v>38.209000000000003</v>
      </c>
      <c r="X31" s="47">
        <v>55.341000000000001</v>
      </c>
      <c r="Y31" s="47">
        <v>55.701999999999998</v>
      </c>
      <c r="Z31" s="689">
        <v>180.37799999999999</v>
      </c>
      <c r="AA31" s="47" t="s">
        <v>630</v>
      </c>
      <c r="AB31" s="47">
        <v>53.889000000000003</v>
      </c>
      <c r="AC31" s="47">
        <v>59.191000000000003</v>
      </c>
      <c r="AD31" s="47">
        <v>60.65</v>
      </c>
      <c r="AE31" s="47">
        <v>66.825999999999993</v>
      </c>
      <c r="AF31" s="689">
        <v>241.501</v>
      </c>
      <c r="AG31" s="47" t="s">
        <v>630</v>
      </c>
      <c r="AH31" s="47">
        <v>56.773000000000003</v>
      </c>
      <c r="AI31" s="47">
        <v>72.766999999999996</v>
      </c>
      <c r="AJ31" s="47">
        <v>3921.9902000000002</v>
      </c>
      <c r="AK31" s="47">
        <v>3794.530135</v>
      </c>
      <c r="AL31" s="344">
        <v>7774.9163349999999</v>
      </c>
      <c r="AM31" s="81"/>
      <c r="AN31" s="47">
        <v>3822.72600375</v>
      </c>
      <c r="AO31" s="47">
        <v>3827.4712715125002</v>
      </c>
      <c r="AP31" s="47">
        <v>4075.4215350918757</v>
      </c>
      <c r="AQ31" s="47">
        <v>4603.1332363767815</v>
      </c>
      <c r="AR31" s="344">
        <v>16328.752046731155</v>
      </c>
      <c r="AS31" s="81"/>
      <c r="AT31" s="344">
        <v>14101.236611793493</v>
      </c>
      <c r="AU31" s="83"/>
      <c r="AV31" s="344">
        <v>14609.734837115811</v>
      </c>
      <c r="AW31" s="83"/>
      <c r="AX31" s="344">
        <v>16117.011985580819</v>
      </c>
    </row>
    <row r="32" spans="1:50" s="55" customFormat="1" ht="14.25" customHeight="1" x14ac:dyDescent="0.25">
      <c r="A32" s="73"/>
      <c r="B32" s="76" t="s">
        <v>641</v>
      </c>
      <c r="C32" s="22"/>
      <c r="D32" s="47">
        <v>0</v>
      </c>
      <c r="E32" s="47">
        <v>0</v>
      </c>
      <c r="F32" s="47">
        <v>0</v>
      </c>
      <c r="G32" s="47">
        <v>0</v>
      </c>
      <c r="H32" s="689">
        <v>0</v>
      </c>
      <c r="I32" s="47" t="s">
        <v>630</v>
      </c>
      <c r="J32" s="47">
        <v>0</v>
      </c>
      <c r="K32" s="47">
        <v>0</v>
      </c>
      <c r="L32" s="47">
        <v>0</v>
      </c>
      <c r="M32" s="47">
        <v>0</v>
      </c>
      <c r="N32" s="689">
        <v>0</v>
      </c>
      <c r="O32" s="47" t="s">
        <v>630</v>
      </c>
      <c r="P32" s="47">
        <v>0</v>
      </c>
      <c r="Q32" s="47">
        <v>0</v>
      </c>
      <c r="R32" s="47">
        <v>0</v>
      </c>
      <c r="S32" s="47">
        <v>0</v>
      </c>
      <c r="T32" s="689">
        <v>0</v>
      </c>
      <c r="U32" s="47" t="s">
        <v>630</v>
      </c>
      <c r="V32" s="47">
        <v>0</v>
      </c>
      <c r="W32" s="47">
        <v>0</v>
      </c>
      <c r="X32" s="47">
        <v>0</v>
      </c>
      <c r="Y32" s="47">
        <v>0</v>
      </c>
      <c r="Z32" s="689">
        <v>0</v>
      </c>
      <c r="AA32" s="47" t="s">
        <v>630</v>
      </c>
      <c r="AB32" s="47">
        <v>0</v>
      </c>
      <c r="AC32" s="47">
        <v>0</v>
      </c>
      <c r="AD32" s="47">
        <v>0</v>
      </c>
      <c r="AE32" s="47">
        <v>0</v>
      </c>
      <c r="AF32" s="689">
        <v>0</v>
      </c>
      <c r="AG32" s="47" t="s">
        <v>630</v>
      </c>
      <c r="AH32" s="47">
        <v>0</v>
      </c>
      <c r="AI32" s="47">
        <v>0</v>
      </c>
      <c r="AJ32" s="51"/>
      <c r="AK32" s="51"/>
      <c r="AL32" s="75"/>
      <c r="AM32" s="85"/>
      <c r="AN32" s="51"/>
      <c r="AO32" s="51"/>
      <c r="AP32" s="51"/>
      <c r="AQ32" s="51"/>
      <c r="AR32" s="75"/>
      <c r="AS32" s="85"/>
      <c r="AT32" s="75"/>
      <c r="AU32" s="86"/>
      <c r="AV32" s="75"/>
      <c r="AW32" s="86"/>
      <c r="AX32" s="75"/>
    </row>
    <row r="33" spans="1:50" s="55" customFormat="1" ht="14.25" customHeight="1" x14ac:dyDescent="0.25">
      <c r="A33" s="56"/>
      <c r="B33" s="79" t="s">
        <v>642</v>
      </c>
      <c r="C33" s="24"/>
      <c r="D33" s="47">
        <v>1.218</v>
      </c>
      <c r="E33" s="47">
        <v>7.3369999999999997</v>
      </c>
      <c r="F33" s="47">
        <v>7.5060000000000002</v>
      </c>
      <c r="G33" s="47">
        <v>5.4320000000000004</v>
      </c>
      <c r="H33" s="689">
        <v>21.492000000000001</v>
      </c>
      <c r="I33" s="47" t="s">
        <v>630</v>
      </c>
      <c r="J33" s="47">
        <v>3.45</v>
      </c>
      <c r="K33" s="47">
        <v>4.3310000000000004</v>
      </c>
      <c r="L33" s="47">
        <v>11.795</v>
      </c>
      <c r="M33" s="47">
        <v>19.126000000000001</v>
      </c>
      <c r="N33" s="689">
        <v>38.701999999999998</v>
      </c>
      <c r="O33" s="47" t="s">
        <v>630</v>
      </c>
      <c r="P33" s="47">
        <v>-9.3059999999999992</v>
      </c>
      <c r="Q33" s="47">
        <v>20.035</v>
      </c>
      <c r="R33" s="47">
        <v>31.635999999999999</v>
      </c>
      <c r="S33" s="47">
        <v>16.670000000000002</v>
      </c>
      <c r="T33" s="689">
        <v>59.023000000000003</v>
      </c>
      <c r="U33" s="47" t="s">
        <v>630</v>
      </c>
      <c r="V33" s="47">
        <v>8.8620000000000001</v>
      </c>
      <c r="W33" s="47">
        <v>30.43</v>
      </c>
      <c r="X33" s="47">
        <v>33.173000000000002</v>
      </c>
      <c r="Y33" s="47">
        <v>23.373999999999999</v>
      </c>
      <c r="Z33" s="689">
        <v>95.837000000000003</v>
      </c>
      <c r="AA33" s="47" t="s">
        <v>630</v>
      </c>
      <c r="AB33" s="47">
        <v>25.231999999999999</v>
      </c>
      <c r="AC33" s="47">
        <v>37.593000000000004</v>
      </c>
      <c r="AD33" s="47">
        <v>44.183999999999997</v>
      </c>
      <c r="AE33" s="47">
        <v>43.988999999999997</v>
      </c>
      <c r="AF33" s="689">
        <v>150.053</v>
      </c>
      <c r="AG33" s="47" t="s">
        <v>630</v>
      </c>
      <c r="AH33" s="47">
        <v>25.777000000000001</v>
      </c>
      <c r="AI33" s="47">
        <v>31.693999999999999</v>
      </c>
      <c r="AJ33" s="51">
        <f>FCFF!X61</f>
        <v>43.187254344810562</v>
      </c>
      <c r="AK33" s="51">
        <f>FCFF!Y61</f>
        <v>51.824705213772674</v>
      </c>
      <c r="AL33" s="51">
        <f>FCFF!Z61</f>
        <v>152.48295955858322</v>
      </c>
      <c r="AM33" s="51">
        <f>FCFF!AA61</f>
        <v>0</v>
      </c>
      <c r="AN33" s="51">
        <f>FCFF!AB61</f>
        <v>35.158788000000008</v>
      </c>
      <c r="AO33" s="51">
        <f>FCFF!AC61</f>
        <v>43.935887999999998</v>
      </c>
      <c r="AP33" s="51">
        <f>FCFF!AD61</f>
        <v>51.824705213772674</v>
      </c>
      <c r="AQ33" s="51">
        <f>FCFF!AE61</f>
        <v>62.189646256527205</v>
      </c>
      <c r="AR33" s="51">
        <f>FCFF!AF61</f>
        <v>193.10902747029988</v>
      </c>
      <c r="AS33" s="51">
        <f>FCFF!AG61</f>
        <v>0</v>
      </c>
      <c r="AT33" s="51">
        <f>FCFF!AH61</f>
        <v>228.5123491731882</v>
      </c>
      <c r="AU33" s="51">
        <f>FCFF!AI61</f>
        <v>0</v>
      </c>
      <c r="AV33" s="51">
        <f>FCFF!AJ61</f>
        <v>266.59774070205287</v>
      </c>
      <c r="AW33" s="51">
        <f>FCFF!AK61</f>
        <v>0</v>
      </c>
      <c r="AX33" s="51">
        <f>FCFF!AL61</f>
        <v>306.58740180736078</v>
      </c>
    </row>
    <row r="34" spans="1:50" s="55" customFormat="1" ht="14.25" customHeight="1" x14ac:dyDescent="0.25">
      <c r="A34" s="73"/>
      <c r="B34" s="73"/>
      <c r="C34" s="22"/>
      <c r="D34" s="47"/>
      <c r="E34" s="47"/>
      <c r="F34" s="47"/>
      <c r="G34" s="47"/>
      <c r="H34" s="689"/>
      <c r="I34" s="49"/>
      <c r="J34" s="47"/>
      <c r="K34" s="47"/>
      <c r="L34" s="47"/>
      <c r="M34" s="47"/>
      <c r="N34" s="689"/>
      <c r="O34" s="49"/>
      <c r="P34" s="47"/>
      <c r="Q34" s="47"/>
      <c r="R34" s="47"/>
      <c r="S34" s="47"/>
      <c r="T34" s="689"/>
      <c r="U34" s="49"/>
      <c r="V34" s="47"/>
      <c r="W34" s="47"/>
      <c r="X34" s="47"/>
      <c r="Y34" s="47"/>
      <c r="Z34" s="689"/>
      <c r="AA34" s="81"/>
      <c r="AB34" s="47"/>
      <c r="AC34" s="47"/>
      <c r="AD34" s="47"/>
      <c r="AE34" s="47"/>
      <c r="AF34" s="689"/>
      <c r="AG34" s="82"/>
      <c r="AH34" s="47"/>
      <c r="AI34" s="47"/>
      <c r="AJ34" s="51"/>
      <c r="AK34" s="51"/>
      <c r="AL34" s="68"/>
      <c r="AM34" s="87"/>
      <c r="AN34" s="51"/>
      <c r="AO34" s="51"/>
      <c r="AP34" s="51"/>
      <c r="AQ34" s="51"/>
      <c r="AR34" s="68"/>
      <c r="AS34" s="87"/>
      <c r="AT34" s="68"/>
      <c r="AU34" s="88"/>
      <c r="AV34" s="68"/>
      <c r="AW34" s="88"/>
      <c r="AX34" s="68"/>
    </row>
    <row r="35" spans="1:50" s="55" customFormat="1" ht="14.25" customHeight="1" x14ac:dyDescent="0.25">
      <c r="A35" s="45" t="s">
        <v>38</v>
      </c>
      <c r="B35" s="65" t="s">
        <v>643</v>
      </c>
      <c r="C35" s="24"/>
      <c r="D35" s="47"/>
      <c r="E35" s="47"/>
      <c r="F35" s="47"/>
      <c r="G35" s="47"/>
      <c r="H35" s="689"/>
      <c r="I35" s="49"/>
      <c r="J35" s="47"/>
      <c r="K35" s="47"/>
      <c r="L35" s="47"/>
      <c r="M35" s="47"/>
      <c r="N35" s="689"/>
      <c r="O35" s="49"/>
      <c r="P35" s="47"/>
      <c r="Q35" s="47"/>
      <c r="R35" s="47"/>
      <c r="S35" s="47"/>
      <c r="T35" s="689"/>
      <c r="U35" s="49"/>
      <c r="V35" s="47"/>
      <c r="W35" s="47"/>
      <c r="X35" s="47"/>
      <c r="Y35" s="47"/>
      <c r="Z35" s="689"/>
      <c r="AA35" s="52"/>
      <c r="AB35" s="47"/>
      <c r="AC35" s="47"/>
      <c r="AD35" s="47"/>
      <c r="AE35" s="47"/>
      <c r="AF35" s="689"/>
      <c r="AG35" s="50"/>
      <c r="AH35" s="47"/>
      <c r="AI35" s="47"/>
      <c r="AJ35" s="51"/>
      <c r="AK35" s="51"/>
      <c r="AL35" s="68"/>
      <c r="AM35" s="71"/>
      <c r="AN35" s="51"/>
      <c r="AO35" s="51"/>
      <c r="AP35" s="51"/>
      <c r="AQ35" s="51"/>
      <c r="AR35" s="68"/>
      <c r="AS35" s="71"/>
      <c r="AT35" s="68"/>
      <c r="AU35" s="72"/>
      <c r="AV35" s="68"/>
      <c r="AW35" s="72"/>
      <c r="AX35" s="68"/>
    </row>
    <row r="36" spans="1:50" s="55" customFormat="1" ht="14.25" customHeight="1" x14ac:dyDescent="0.25">
      <c r="A36" s="45"/>
      <c r="B36" s="70" t="s">
        <v>644</v>
      </c>
      <c r="C36" s="24"/>
      <c r="D36" s="47">
        <v>0.111</v>
      </c>
      <c r="E36" s="47">
        <v>0.22800000000000001</v>
      </c>
      <c r="F36" s="47">
        <v>0.27200000000000002</v>
      </c>
      <c r="G36" s="47">
        <v>0.371</v>
      </c>
      <c r="H36" s="689">
        <v>0</v>
      </c>
      <c r="I36" s="47" t="s">
        <v>630</v>
      </c>
      <c r="J36" s="47">
        <v>0.189</v>
      </c>
      <c r="K36" s="47">
        <v>0.19400000000000001</v>
      </c>
      <c r="L36" s="47">
        <v>0.191</v>
      </c>
      <c r="M36" s="47">
        <v>0.191</v>
      </c>
      <c r="N36" s="689">
        <v>0.76500000000000001</v>
      </c>
      <c r="O36" s="47" t="s">
        <v>630</v>
      </c>
      <c r="P36" s="47">
        <v>0.26100000000000001</v>
      </c>
      <c r="Q36" s="47">
        <v>0.30599999999999999</v>
      </c>
      <c r="R36" s="47">
        <v>0.41899999999999998</v>
      </c>
      <c r="S36" s="47">
        <v>0.66900000000000004</v>
      </c>
      <c r="T36" s="689">
        <v>1.655</v>
      </c>
      <c r="U36" s="47" t="s">
        <v>630</v>
      </c>
      <c r="V36" s="47">
        <v>0.69499999999999995</v>
      </c>
      <c r="W36" s="47">
        <v>0.64900000000000002</v>
      </c>
      <c r="X36" s="47">
        <v>0.64</v>
      </c>
      <c r="Y36" s="47">
        <v>0.69699999999999995</v>
      </c>
      <c r="Z36" s="689">
        <v>180.37799999999999</v>
      </c>
      <c r="AA36" s="47" t="s">
        <v>630</v>
      </c>
      <c r="AB36" s="47">
        <v>0.78300000000000003</v>
      </c>
      <c r="AC36" s="47">
        <v>0.93200000000000005</v>
      </c>
      <c r="AD36" s="47">
        <v>1.208</v>
      </c>
      <c r="AE36" s="47">
        <v>1.228</v>
      </c>
      <c r="AF36" s="689">
        <v>241.501</v>
      </c>
      <c r="AG36" s="47" t="s">
        <v>630</v>
      </c>
      <c r="AH36" s="47">
        <v>1.5580000000000001</v>
      </c>
      <c r="AI36" s="47">
        <v>1.7569999999999999</v>
      </c>
      <c r="AJ36" s="51"/>
      <c r="AK36" s="51"/>
      <c r="AL36" s="68"/>
      <c r="AM36" s="71"/>
      <c r="AN36" s="51"/>
      <c r="AO36" s="51"/>
      <c r="AP36" s="51"/>
      <c r="AQ36" s="51"/>
      <c r="AR36" s="68"/>
      <c r="AS36" s="71"/>
      <c r="AT36" s="68"/>
      <c r="AU36" s="72"/>
      <c r="AV36" s="68"/>
      <c r="AW36" s="72"/>
      <c r="AX36" s="68"/>
    </row>
    <row r="37" spans="1:50" s="55" customFormat="1" ht="14.25" customHeight="1" x14ac:dyDescent="0.25">
      <c r="A37" s="45"/>
      <c r="B37" s="70" t="s">
        <v>645</v>
      </c>
      <c r="C37" s="24"/>
      <c r="D37" s="47">
        <v>0.33500000000000002</v>
      </c>
      <c r="E37" s="47">
        <v>0.32</v>
      </c>
      <c r="F37" s="47">
        <v>0.17899999999999999</v>
      </c>
      <c r="G37" s="47">
        <v>6.3E-2</v>
      </c>
      <c r="H37" s="689">
        <v>0.89700000000000002</v>
      </c>
      <c r="I37" s="47" t="s">
        <v>630</v>
      </c>
      <c r="J37" s="47">
        <v>4.9000000000000002E-2</v>
      </c>
      <c r="K37" s="47">
        <v>3.1E-2</v>
      </c>
      <c r="L37" s="47">
        <v>3.3000000000000002E-2</v>
      </c>
      <c r="M37" s="47">
        <v>0.39200000000000002</v>
      </c>
      <c r="N37" s="689">
        <v>0.505</v>
      </c>
      <c r="O37" s="47" t="s">
        <v>630</v>
      </c>
      <c r="P37" s="47">
        <v>1.8049999999999999</v>
      </c>
      <c r="Q37" s="47">
        <v>2.1440000000000001</v>
      </c>
      <c r="R37" s="47">
        <v>2.016</v>
      </c>
      <c r="S37" s="47">
        <v>2.7749999999999999</v>
      </c>
      <c r="T37" s="689">
        <v>8.74</v>
      </c>
      <c r="U37" s="47" t="s">
        <v>630</v>
      </c>
      <c r="V37" s="47">
        <v>1.7849999999999999</v>
      </c>
      <c r="W37" s="47">
        <v>2.3460000000000001</v>
      </c>
      <c r="X37" s="47">
        <v>2.1520000000000001</v>
      </c>
      <c r="Y37" s="47">
        <v>2.0710000000000002</v>
      </c>
      <c r="Z37" s="689">
        <v>8.3539999999999992</v>
      </c>
      <c r="AA37" s="47" t="s">
        <v>630</v>
      </c>
      <c r="AB37" s="47">
        <v>1.774</v>
      </c>
      <c r="AC37" s="47">
        <v>2.3809999999999998</v>
      </c>
      <c r="AD37" s="47">
        <v>2.9670000000000001</v>
      </c>
      <c r="AE37" s="47">
        <v>2.8130000000000002</v>
      </c>
      <c r="AF37" s="689">
        <v>9.9350000000000005</v>
      </c>
      <c r="AG37" s="47" t="s">
        <v>630</v>
      </c>
      <c r="AH37" s="47">
        <v>3.339</v>
      </c>
      <c r="AI37" s="47">
        <v>4.0129999999999999</v>
      </c>
      <c r="AJ37" s="51"/>
      <c r="AK37" s="51"/>
      <c r="AL37" s="68"/>
      <c r="AM37" s="71"/>
      <c r="AN37" s="51"/>
      <c r="AO37" s="51"/>
      <c r="AP37" s="51"/>
      <c r="AQ37" s="51"/>
      <c r="AR37" s="68"/>
      <c r="AS37" s="71"/>
      <c r="AT37" s="68"/>
      <c r="AU37" s="72"/>
      <c r="AV37" s="68"/>
      <c r="AW37" s="72"/>
      <c r="AX37" s="68"/>
    </row>
    <row r="38" spans="1:50" s="55" customFormat="1" ht="14.25" customHeight="1" x14ac:dyDescent="0.25">
      <c r="A38" s="56" t="s">
        <v>38</v>
      </c>
      <c r="B38" s="76" t="s">
        <v>646</v>
      </c>
      <c r="C38" s="24"/>
      <c r="D38" s="47">
        <v>-0.224</v>
      </c>
      <c r="E38" s="47">
        <v>-9.1999999999999998E-2</v>
      </c>
      <c r="F38" s="47">
        <v>9.2999999999999999E-2</v>
      </c>
      <c r="G38" s="47">
        <v>0.308</v>
      </c>
      <c r="H38" s="689">
        <v>8.5000000000000006E-2</v>
      </c>
      <c r="I38" s="47" t="s">
        <v>630</v>
      </c>
      <c r="J38" s="47">
        <v>0.14000000000000001</v>
      </c>
      <c r="K38" s="47">
        <v>0.16300000000000001</v>
      </c>
      <c r="L38" s="47">
        <v>0.158</v>
      </c>
      <c r="M38" s="47">
        <v>-0.20100000000000001</v>
      </c>
      <c r="N38" s="689">
        <v>0.26</v>
      </c>
      <c r="O38" s="47" t="s">
        <v>630</v>
      </c>
      <c r="P38" s="47">
        <v>-1.544</v>
      </c>
      <c r="Q38" s="47">
        <v>-1.8380000000000001</v>
      </c>
      <c r="R38" s="47">
        <v>-1.597</v>
      </c>
      <c r="S38" s="47">
        <v>-2.1059999999999999</v>
      </c>
      <c r="T38" s="689">
        <v>-7.085</v>
      </c>
      <c r="U38" s="47" t="s">
        <v>630</v>
      </c>
      <c r="V38" s="47">
        <v>-1.0900000000000001</v>
      </c>
      <c r="W38" s="47">
        <v>-1.6970000000000001</v>
      </c>
      <c r="X38" s="47">
        <v>-1.512</v>
      </c>
      <c r="Y38" s="47">
        <v>-1.3740000000000001</v>
      </c>
      <c r="Z38" s="689">
        <v>-5.673</v>
      </c>
      <c r="AA38" s="47" t="s">
        <v>630</v>
      </c>
      <c r="AB38" s="47">
        <v>-0.99099999999999999</v>
      </c>
      <c r="AC38" s="47">
        <v>-1.4490000000000001</v>
      </c>
      <c r="AD38" s="47">
        <v>-1.7589999999999999</v>
      </c>
      <c r="AE38" s="47">
        <v>-1.585</v>
      </c>
      <c r="AF38" s="689">
        <v>-5.7839999999999998</v>
      </c>
      <c r="AG38" s="47" t="s">
        <v>630</v>
      </c>
      <c r="AH38" s="47">
        <v>-1.7809999999999999</v>
      </c>
      <c r="AI38" s="47">
        <v>-2.2559999999999998</v>
      </c>
      <c r="AJ38" s="51"/>
      <c r="AK38" s="51"/>
      <c r="AL38" s="68"/>
      <c r="AM38" s="71"/>
      <c r="AN38" s="51"/>
      <c r="AO38" s="51"/>
      <c r="AP38" s="51"/>
      <c r="AQ38" s="51"/>
      <c r="AR38" s="68"/>
      <c r="AS38" s="71"/>
      <c r="AT38" s="68"/>
      <c r="AU38" s="72"/>
      <c r="AV38" s="68"/>
      <c r="AW38" s="72"/>
      <c r="AX38" s="68"/>
    </row>
    <row r="39" spans="1:50" s="55" customFormat="1" ht="14.25" customHeight="1" x14ac:dyDescent="0.25">
      <c r="A39" s="73"/>
      <c r="B39" s="76" t="s">
        <v>647</v>
      </c>
      <c r="C39" s="22"/>
      <c r="D39" s="47">
        <v>0</v>
      </c>
      <c r="E39" s="47">
        <v>0</v>
      </c>
      <c r="F39" s="47">
        <v>0</v>
      </c>
      <c r="G39" s="47">
        <v>0</v>
      </c>
      <c r="H39" s="689">
        <v>0</v>
      </c>
      <c r="I39" s="47" t="s">
        <v>630</v>
      </c>
      <c r="J39" s="47">
        <v>0</v>
      </c>
      <c r="K39" s="47">
        <v>0</v>
      </c>
      <c r="L39" s="47">
        <v>0</v>
      </c>
      <c r="M39" s="47">
        <v>0</v>
      </c>
      <c r="N39" s="689">
        <v>0</v>
      </c>
      <c r="O39" s="47" t="s">
        <v>630</v>
      </c>
      <c r="P39" s="47">
        <v>0</v>
      </c>
      <c r="Q39" s="47">
        <v>0</v>
      </c>
      <c r="R39" s="47">
        <v>0</v>
      </c>
      <c r="S39" s="47">
        <v>0</v>
      </c>
      <c r="T39" s="689">
        <v>0</v>
      </c>
      <c r="U39" s="47" t="s">
        <v>630</v>
      </c>
      <c r="V39" s="47">
        <v>0</v>
      </c>
      <c r="W39" s="47">
        <v>0</v>
      </c>
      <c r="X39" s="47">
        <v>0</v>
      </c>
      <c r="Y39" s="47">
        <v>0</v>
      </c>
      <c r="Z39" s="689">
        <v>0</v>
      </c>
      <c r="AA39" s="47" t="s">
        <v>630</v>
      </c>
      <c r="AB39" s="47">
        <v>0</v>
      </c>
      <c r="AC39" s="47">
        <v>0</v>
      </c>
      <c r="AD39" s="47">
        <v>0</v>
      </c>
      <c r="AE39" s="47">
        <v>0</v>
      </c>
      <c r="AF39" s="689">
        <v>0</v>
      </c>
      <c r="AG39" s="47" t="s">
        <v>630</v>
      </c>
      <c r="AH39" s="47">
        <v>0</v>
      </c>
      <c r="AI39" s="47">
        <v>0</v>
      </c>
      <c r="AJ39" s="51"/>
      <c r="AK39" s="51"/>
      <c r="AL39" s="68"/>
      <c r="AM39" s="81"/>
      <c r="AN39" s="51"/>
      <c r="AO39" s="51"/>
      <c r="AP39" s="51"/>
      <c r="AQ39" s="51"/>
      <c r="AR39" s="68"/>
      <c r="AS39" s="81"/>
      <c r="AT39" s="68"/>
      <c r="AU39" s="83"/>
      <c r="AV39" s="68"/>
      <c r="AW39" s="83"/>
      <c r="AX39" s="68"/>
    </row>
    <row r="40" spans="1:50" s="55" customFormat="1" ht="14.25" customHeight="1" x14ac:dyDescent="0.25">
      <c r="A40" s="56"/>
      <c r="B40" s="76" t="s">
        <v>648</v>
      </c>
      <c r="C40" s="24"/>
      <c r="D40" s="47">
        <v>-0.82499999999999996</v>
      </c>
      <c r="E40" s="47">
        <v>5.0729999999999995</v>
      </c>
      <c r="F40" s="47">
        <v>8.11</v>
      </c>
      <c r="G40" s="47">
        <v>2.3280000000000003</v>
      </c>
      <c r="H40" s="689">
        <v>14.686</v>
      </c>
      <c r="I40" s="47" t="e">
        <v>#VALUE!</v>
      </c>
      <c r="J40" s="47">
        <v>0.25800000000000001</v>
      </c>
      <c r="K40" s="47">
        <v>-3.1809999999999996</v>
      </c>
      <c r="L40" s="47">
        <v>-0.16600000000000001</v>
      </c>
      <c r="M40" s="47">
        <v>-3.653</v>
      </c>
      <c r="N40" s="689">
        <v>-4.0060000000000002</v>
      </c>
      <c r="O40" s="47" t="e">
        <v>#VALUE!</v>
      </c>
      <c r="P40" s="47">
        <v>-0.16599999999999993</v>
      </c>
      <c r="Q40" s="47">
        <v>-2.9770000000000003</v>
      </c>
      <c r="R40" s="47">
        <v>-14.875000000000002</v>
      </c>
      <c r="S40" s="47">
        <v>3.6399999999999997</v>
      </c>
      <c r="T40" s="689">
        <v>-9.0969999999999978</v>
      </c>
      <c r="U40" s="47" t="e">
        <v>#VALUE!</v>
      </c>
      <c r="V40" s="47">
        <v>1.4500000000000002</v>
      </c>
      <c r="W40" s="47">
        <v>-7.6439999999999992</v>
      </c>
      <c r="X40" s="47">
        <v>2.31</v>
      </c>
      <c r="Y40" s="47">
        <v>-4.9879999999999995</v>
      </c>
      <c r="Z40" s="689">
        <v>-17.441000000000003</v>
      </c>
      <c r="AA40" s="47" t="e">
        <v>#VALUE!</v>
      </c>
      <c r="AB40" s="47">
        <v>-2.56</v>
      </c>
      <c r="AC40" s="47">
        <v>-0.66200000000000014</v>
      </c>
      <c r="AD40" s="47">
        <v>3.8479999999999999</v>
      </c>
      <c r="AE40" s="47">
        <v>-8.7270000000000003</v>
      </c>
      <c r="AF40" s="689">
        <v>-8.5450000000000017</v>
      </c>
      <c r="AG40" s="47" t="e">
        <v>#VALUE!</v>
      </c>
      <c r="AH40" s="47">
        <v>-0.69000000000000017</v>
      </c>
      <c r="AI40" s="47">
        <v>-1.427</v>
      </c>
      <c r="AJ40" s="51"/>
      <c r="AK40" s="51"/>
      <c r="AL40" s="75"/>
      <c r="AM40" s="52"/>
      <c r="AN40" s="51"/>
      <c r="AO40" s="51"/>
      <c r="AP40" s="51"/>
      <c r="AQ40" s="51"/>
      <c r="AR40" s="75"/>
      <c r="AS40" s="52"/>
      <c r="AT40" s="75"/>
      <c r="AU40" s="54"/>
      <c r="AV40" s="75"/>
      <c r="AW40" s="54"/>
      <c r="AX40" s="75"/>
    </row>
    <row r="41" spans="1:50" s="55" customFormat="1" ht="14.25" customHeight="1" x14ac:dyDescent="0.25">
      <c r="A41" s="73"/>
      <c r="B41" s="79" t="s">
        <v>649</v>
      </c>
      <c r="C41" s="22"/>
      <c r="D41" s="47">
        <v>-1.0489999999999999</v>
      </c>
      <c r="E41" s="47">
        <v>4.9809999999999999</v>
      </c>
      <c r="F41" s="47">
        <v>8.2029999999999994</v>
      </c>
      <c r="G41" s="47">
        <v>2.6360000000000001</v>
      </c>
      <c r="H41" s="689">
        <v>14.771000000000001</v>
      </c>
      <c r="I41" s="47" t="s">
        <v>630</v>
      </c>
      <c r="J41" s="47">
        <v>0.39800000000000002</v>
      </c>
      <c r="K41" s="47">
        <v>-3.0179999999999998</v>
      </c>
      <c r="L41" s="47">
        <v>-8.0000000000000002E-3</v>
      </c>
      <c r="M41" s="47">
        <v>-3.8540000000000001</v>
      </c>
      <c r="N41" s="689">
        <v>-3.746</v>
      </c>
      <c r="O41" s="47" t="s">
        <v>630</v>
      </c>
      <c r="P41" s="47">
        <v>-1.71</v>
      </c>
      <c r="Q41" s="47">
        <v>-4.8150000000000004</v>
      </c>
      <c r="R41" s="47">
        <v>-16.472000000000001</v>
      </c>
      <c r="S41" s="47">
        <v>1.534</v>
      </c>
      <c r="T41" s="689">
        <v>-16.181999999999999</v>
      </c>
      <c r="U41" s="47" t="s">
        <v>630</v>
      </c>
      <c r="V41" s="47">
        <v>0.36</v>
      </c>
      <c r="W41" s="47">
        <v>-9.3409999999999993</v>
      </c>
      <c r="X41" s="47">
        <v>0.79800000000000004</v>
      </c>
      <c r="Y41" s="47">
        <v>-6.3620000000000001</v>
      </c>
      <c r="Z41" s="689">
        <v>-23.114000000000001</v>
      </c>
      <c r="AA41" s="47" t="s">
        <v>630</v>
      </c>
      <c r="AB41" s="47">
        <v>-3.5510000000000002</v>
      </c>
      <c r="AC41" s="47">
        <v>-2.1110000000000002</v>
      </c>
      <c r="AD41" s="47">
        <v>2.089</v>
      </c>
      <c r="AE41" s="47">
        <v>-10.311999999999999</v>
      </c>
      <c r="AF41" s="689">
        <v>-14.329000000000001</v>
      </c>
      <c r="AG41" s="47" t="s">
        <v>630</v>
      </c>
      <c r="AH41" s="47">
        <v>-2.4710000000000001</v>
      </c>
      <c r="AI41" s="47">
        <v>-3.6829999999999998</v>
      </c>
      <c r="AJ41" s="51"/>
      <c r="AK41" s="51"/>
      <c r="AL41" s="78"/>
      <c r="AM41" s="81"/>
      <c r="AN41" s="51"/>
      <c r="AO41" s="51"/>
      <c r="AP41" s="51"/>
      <c r="AQ41" s="51"/>
      <c r="AR41" s="78"/>
      <c r="AS41" s="81"/>
      <c r="AT41" s="78"/>
      <c r="AU41" s="83"/>
      <c r="AV41" s="78"/>
      <c r="AW41" s="83"/>
      <c r="AX41" s="78"/>
    </row>
    <row r="42" spans="1:50" s="55" customFormat="1" ht="14.25" customHeight="1" x14ac:dyDescent="0.25">
      <c r="A42" s="84"/>
      <c r="B42" s="89" t="s">
        <v>575</v>
      </c>
      <c r="C42" s="23"/>
      <c r="D42" s="47">
        <v>2.2669999999999999</v>
      </c>
      <c r="E42" s="47">
        <v>2.3559999999999999</v>
      </c>
      <c r="F42" s="47">
        <v>-0.69699999999999995</v>
      </c>
      <c r="G42" s="47">
        <v>2.7959999999999998</v>
      </c>
      <c r="H42" s="689">
        <v>6.7210000000000001</v>
      </c>
      <c r="I42" s="47" t="s">
        <v>630</v>
      </c>
      <c r="J42" s="47">
        <v>3.052</v>
      </c>
      <c r="K42" s="47">
        <v>7.3490000000000002</v>
      </c>
      <c r="L42" s="47">
        <v>11.803000000000001</v>
      </c>
      <c r="M42" s="47">
        <v>22.98</v>
      </c>
      <c r="N42" s="689">
        <v>42.448</v>
      </c>
      <c r="O42" s="47" t="s">
        <v>630</v>
      </c>
      <c r="P42" s="47">
        <v>-7.5960000000000001</v>
      </c>
      <c r="Q42" s="47">
        <v>24.85</v>
      </c>
      <c r="R42" s="47">
        <v>48.107999999999997</v>
      </c>
      <c r="S42" s="47">
        <v>15.135999999999999</v>
      </c>
      <c r="T42" s="689">
        <v>75.204999999999998</v>
      </c>
      <c r="U42" s="47" t="s">
        <v>630</v>
      </c>
      <c r="V42" s="47">
        <v>8.5020000000000007</v>
      </c>
      <c r="W42" s="47">
        <v>39.771000000000001</v>
      </c>
      <c r="X42" s="47">
        <v>32.375</v>
      </c>
      <c r="Y42" s="47">
        <v>29.736000000000001</v>
      </c>
      <c r="Z42" s="689">
        <v>118.95099999999999</v>
      </c>
      <c r="AA42" s="47" t="s">
        <v>630</v>
      </c>
      <c r="AB42" s="47">
        <v>28.783000000000001</v>
      </c>
      <c r="AC42" s="47">
        <v>39.704000000000001</v>
      </c>
      <c r="AD42" s="47">
        <v>42.094999999999999</v>
      </c>
      <c r="AE42" s="47">
        <v>54.301000000000002</v>
      </c>
      <c r="AF42" s="689">
        <v>164.38200000000001</v>
      </c>
      <c r="AG42" s="47" t="s">
        <v>630</v>
      </c>
      <c r="AH42" s="47">
        <v>28.248000000000001</v>
      </c>
      <c r="AI42" s="47">
        <v>35.377000000000002</v>
      </c>
      <c r="AJ42" s="51"/>
      <c r="AK42" s="51"/>
      <c r="AL42" s="78"/>
      <c r="AM42" s="52"/>
      <c r="AN42" s="51"/>
      <c r="AO42" s="51"/>
      <c r="AP42" s="51"/>
      <c r="AQ42" s="51"/>
      <c r="AR42" s="78"/>
      <c r="AS42" s="52"/>
      <c r="AT42" s="78"/>
      <c r="AU42" s="54"/>
      <c r="AV42" s="78"/>
      <c r="AW42" s="54"/>
      <c r="AX42" s="78"/>
    </row>
    <row r="43" spans="1:50" s="55" customFormat="1" ht="14.25" customHeight="1" x14ac:dyDescent="0.25">
      <c r="A43" s="73"/>
      <c r="B43" s="76"/>
      <c r="C43" s="22"/>
      <c r="D43" s="47"/>
      <c r="E43" s="47"/>
      <c r="F43" s="47"/>
      <c r="G43" s="47"/>
      <c r="H43" s="689"/>
      <c r="I43" s="49"/>
      <c r="J43" s="47"/>
      <c r="K43" s="47"/>
      <c r="L43" s="47"/>
      <c r="M43" s="47"/>
      <c r="N43" s="689"/>
      <c r="O43" s="49"/>
      <c r="P43" s="47"/>
      <c r="Q43" s="47"/>
      <c r="R43" s="47"/>
      <c r="S43" s="47"/>
      <c r="T43" s="689"/>
      <c r="U43" s="49"/>
      <c r="V43" s="47"/>
      <c r="W43" s="47"/>
      <c r="X43" s="47"/>
      <c r="Y43" s="47"/>
      <c r="Z43" s="689"/>
      <c r="AA43" s="52"/>
      <c r="AB43" s="47"/>
      <c r="AC43" s="47"/>
      <c r="AD43" s="47"/>
      <c r="AE43" s="47"/>
      <c r="AF43" s="689"/>
      <c r="AG43" s="50"/>
      <c r="AH43" s="47"/>
      <c r="AI43" s="47"/>
      <c r="AJ43" s="51"/>
      <c r="AK43" s="51"/>
      <c r="AL43" s="68"/>
      <c r="AM43" s="52"/>
      <c r="AN43" s="51"/>
      <c r="AO43" s="51"/>
      <c r="AP43" s="51"/>
      <c r="AQ43" s="51"/>
      <c r="AR43" s="68"/>
      <c r="AS43" s="52"/>
      <c r="AT43" s="68"/>
      <c r="AU43" s="54"/>
      <c r="AV43" s="68"/>
      <c r="AW43" s="54"/>
      <c r="AX43" s="68"/>
    </row>
    <row r="44" spans="1:50" s="55" customFormat="1" ht="14.25" customHeight="1" x14ac:dyDescent="0.25">
      <c r="A44" s="45" t="s">
        <v>38</v>
      </c>
      <c r="B44" s="65" t="s">
        <v>650</v>
      </c>
      <c r="C44" s="22"/>
      <c r="D44" s="47"/>
      <c r="E44" s="47"/>
      <c r="F44" s="47"/>
      <c r="G44" s="47"/>
      <c r="H44" s="689"/>
      <c r="I44" s="49"/>
      <c r="J44" s="47"/>
      <c r="K44" s="47"/>
      <c r="L44" s="47"/>
      <c r="M44" s="47"/>
      <c r="N44" s="689"/>
      <c r="O44" s="49"/>
      <c r="P44" s="47"/>
      <c r="Q44" s="47"/>
      <c r="R44" s="47"/>
      <c r="S44" s="47"/>
      <c r="T44" s="689"/>
      <c r="U44" s="49"/>
      <c r="V44" s="47"/>
      <c r="W44" s="47"/>
      <c r="X44" s="47"/>
      <c r="Y44" s="47"/>
      <c r="Z44" s="689"/>
      <c r="AA44" s="52"/>
      <c r="AB44" s="47"/>
      <c r="AC44" s="47"/>
      <c r="AD44" s="47"/>
      <c r="AE44" s="47"/>
      <c r="AF44" s="689"/>
      <c r="AG44" s="50"/>
      <c r="AH44" s="47"/>
      <c r="AI44" s="47"/>
      <c r="AJ44" s="51"/>
      <c r="AK44" s="51"/>
      <c r="AL44" s="68"/>
      <c r="AM44" s="52"/>
      <c r="AN44" s="51"/>
      <c r="AO44" s="51"/>
      <c r="AP44" s="51"/>
      <c r="AQ44" s="51"/>
      <c r="AR44" s="68"/>
      <c r="AS44" s="52"/>
      <c r="AT44" s="68"/>
      <c r="AU44" s="54"/>
      <c r="AV44" s="68"/>
      <c r="AW44" s="54"/>
      <c r="AX44" s="68"/>
    </row>
    <row r="45" spans="1:50" s="55" customFormat="1" ht="14.25" customHeight="1" x14ac:dyDescent="0.25">
      <c r="A45" s="84"/>
      <c r="B45" s="70" t="s">
        <v>576</v>
      </c>
      <c r="C45" s="23"/>
      <c r="D45" s="47">
        <v>0.30399999999999999</v>
      </c>
      <c r="E45" s="47">
        <v>1.8592</v>
      </c>
      <c r="F45" s="47">
        <v>-3.6307</v>
      </c>
      <c r="G45" s="47">
        <v>-3.5548000000000002</v>
      </c>
      <c r="H45" s="689">
        <v>-5.0225</v>
      </c>
      <c r="I45" s="47" t="s">
        <v>630</v>
      </c>
      <c r="J45" s="47">
        <v>-2.77</v>
      </c>
      <c r="K45" s="47">
        <v>1.4999999999999999E-2</v>
      </c>
      <c r="L45" s="47">
        <v>-7.2999999999999995E-2</v>
      </c>
      <c r="M45" s="47">
        <v>3.4091</v>
      </c>
      <c r="N45" s="689">
        <v>6.4999999999999997E-3</v>
      </c>
      <c r="O45" s="47" t="s">
        <v>630</v>
      </c>
      <c r="P45" s="47">
        <v>-4.0110000000000001</v>
      </c>
      <c r="Q45" s="47">
        <v>7.6790000000000003</v>
      </c>
      <c r="R45" s="47">
        <v>11.579000000000001</v>
      </c>
      <c r="S45" s="47">
        <v>2.66</v>
      </c>
      <c r="T45" s="689">
        <v>16.795500000000001</v>
      </c>
      <c r="U45" s="47" t="s">
        <v>630</v>
      </c>
      <c r="V45" s="47">
        <v>2.1776</v>
      </c>
      <c r="W45" s="47">
        <v>6.8150000000000004</v>
      </c>
      <c r="X45" s="47">
        <v>0.85719999999999996</v>
      </c>
      <c r="Y45" s="47">
        <v>7.7739000000000003</v>
      </c>
      <c r="Z45" s="689">
        <v>19.938400000000001</v>
      </c>
      <c r="AA45" s="47" t="s">
        <v>630</v>
      </c>
      <c r="AB45" s="47">
        <v>4.8566000000000003</v>
      </c>
      <c r="AC45" s="47">
        <v>9.1195000000000004</v>
      </c>
      <c r="AD45" s="47">
        <v>3.9710999999999999</v>
      </c>
      <c r="AE45" s="47">
        <v>17.318999999999999</v>
      </c>
      <c r="AF45" s="689">
        <v>34.6282</v>
      </c>
      <c r="AG45" s="47" t="s">
        <v>630</v>
      </c>
      <c r="AH45" s="47">
        <v>2.3801999999999999</v>
      </c>
      <c r="AI45" s="47">
        <v>1.3064</v>
      </c>
      <c r="AJ45" s="51"/>
      <c r="AK45" s="51"/>
      <c r="AL45" s="68"/>
      <c r="AM45" s="90"/>
      <c r="AN45" s="51"/>
      <c r="AO45" s="51"/>
      <c r="AP45" s="51"/>
      <c r="AQ45" s="51"/>
      <c r="AR45" s="68"/>
      <c r="AS45" s="71"/>
      <c r="AT45" s="68"/>
      <c r="AU45" s="72"/>
      <c r="AV45" s="68"/>
      <c r="AW45" s="72"/>
      <c r="AX45" s="68"/>
    </row>
    <row r="46" spans="1:50" s="55" customFormat="1" ht="14.25" customHeight="1" x14ac:dyDescent="0.25">
      <c r="A46" s="84"/>
      <c r="B46" s="70" t="s">
        <v>651</v>
      </c>
      <c r="C46" s="23"/>
      <c r="D46" s="47">
        <v>0</v>
      </c>
      <c r="E46" s="47">
        <v>0</v>
      </c>
      <c r="F46" s="47">
        <v>0</v>
      </c>
      <c r="G46" s="47">
        <v>0</v>
      </c>
      <c r="H46" s="689">
        <v>0</v>
      </c>
      <c r="I46" s="47" t="e">
        <v>#VALUE!</v>
      </c>
      <c r="J46" s="47">
        <v>0</v>
      </c>
      <c r="K46" s="47">
        <v>0</v>
      </c>
      <c r="L46" s="47">
        <v>0</v>
      </c>
      <c r="M46" s="47">
        <v>0</v>
      </c>
      <c r="N46" s="689">
        <v>0</v>
      </c>
      <c r="O46" s="47" t="e">
        <v>#VALUE!</v>
      </c>
      <c r="P46" s="47">
        <v>0</v>
      </c>
      <c r="Q46" s="47">
        <v>0</v>
      </c>
      <c r="R46" s="47">
        <v>0</v>
      </c>
      <c r="S46" s="47">
        <v>0</v>
      </c>
      <c r="T46" s="689">
        <v>0</v>
      </c>
      <c r="U46" s="47" t="e">
        <v>#VALUE!</v>
      </c>
      <c r="V46" s="47">
        <v>0</v>
      </c>
      <c r="W46" s="47">
        <v>0</v>
      </c>
      <c r="X46" s="47">
        <v>0</v>
      </c>
      <c r="Y46" s="47">
        <v>0</v>
      </c>
      <c r="Z46" s="689">
        <v>0</v>
      </c>
      <c r="AA46" s="47" t="e">
        <v>#VALUE!</v>
      </c>
      <c r="AB46" s="47">
        <v>0</v>
      </c>
      <c r="AC46" s="47">
        <v>0</v>
      </c>
      <c r="AD46" s="47">
        <v>0</v>
      </c>
      <c r="AE46" s="47">
        <v>0</v>
      </c>
      <c r="AF46" s="689">
        <v>0</v>
      </c>
      <c r="AG46" s="47" t="e">
        <v>#VALUE!</v>
      </c>
      <c r="AH46" s="47">
        <v>0</v>
      </c>
      <c r="AI46" s="47">
        <v>0</v>
      </c>
      <c r="AJ46" s="51"/>
      <c r="AK46" s="51"/>
      <c r="AL46" s="68"/>
      <c r="AM46" s="91"/>
      <c r="AN46" s="51"/>
      <c r="AO46" s="51"/>
      <c r="AP46" s="51"/>
      <c r="AQ46" s="51"/>
      <c r="AR46" s="68"/>
      <c r="AS46" s="52"/>
      <c r="AT46" s="68"/>
      <c r="AU46" s="54"/>
      <c r="AV46" s="68"/>
      <c r="AW46" s="54"/>
      <c r="AX46" s="68"/>
    </row>
    <row r="47" spans="1:50" s="55" customFormat="1" ht="14.25" customHeight="1" thickBot="1" x14ac:dyDescent="0.3">
      <c r="A47" s="73"/>
      <c r="B47" s="70" t="s">
        <v>652</v>
      </c>
      <c r="C47" s="22"/>
      <c r="D47" s="47">
        <v>1.9630000000000001</v>
      </c>
      <c r="E47" s="47">
        <v>0.49680000000000002</v>
      </c>
      <c r="F47" s="47">
        <v>2.9337</v>
      </c>
      <c r="G47" s="47">
        <v>6.3507999999999996</v>
      </c>
      <c r="H47" s="689">
        <v>11.743499999999999</v>
      </c>
      <c r="I47" s="47" t="s">
        <v>630</v>
      </c>
      <c r="J47" s="47">
        <v>5.8220000000000001</v>
      </c>
      <c r="K47" s="47">
        <v>7.3339999999999996</v>
      </c>
      <c r="L47" s="47">
        <v>11.875999999999999</v>
      </c>
      <c r="M47" s="47">
        <v>19.570900000000002</v>
      </c>
      <c r="N47" s="689">
        <v>42.441499999999998</v>
      </c>
      <c r="O47" s="47" t="s">
        <v>630</v>
      </c>
      <c r="P47" s="47">
        <v>-3.585</v>
      </c>
      <c r="Q47" s="47">
        <v>17.170999999999999</v>
      </c>
      <c r="R47" s="47">
        <v>36.529000000000003</v>
      </c>
      <c r="S47" s="47">
        <v>12.476000000000001</v>
      </c>
      <c r="T47" s="695">
        <v>58.409500000000001</v>
      </c>
      <c r="U47" s="47" t="s">
        <v>630</v>
      </c>
      <c r="V47" s="47">
        <v>6.3243999999999998</v>
      </c>
      <c r="W47" s="47">
        <v>32.956000000000003</v>
      </c>
      <c r="X47" s="47">
        <v>31.517800000000001</v>
      </c>
      <c r="Y47" s="47">
        <v>21.9621</v>
      </c>
      <c r="Z47" s="695">
        <v>99.012600000000006</v>
      </c>
      <c r="AA47" s="47" t="s">
        <v>630</v>
      </c>
      <c r="AB47" s="47">
        <v>23.926400000000001</v>
      </c>
      <c r="AC47" s="47">
        <v>30.584499999999998</v>
      </c>
      <c r="AD47" s="47">
        <v>38.123899999999999</v>
      </c>
      <c r="AE47" s="47">
        <v>36.981999999999999</v>
      </c>
      <c r="AF47" s="689">
        <v>129.75380000000001</v>
      </c>
      <c r="AG47" s="47" t="s">
        <v>630</v>
      </c>
      <c r="AH47" s="47">
        <v>25.867799999999999</v>
      </c>
      <c r="AI47" s="47">
        <v>34.070599999999999</v>
      </c>
      <c r="AJ47" s="51"/>
      <c r="AK47" s="51"/>
      <c r="AL47" s="93"/>
      <c r="AM47" s="91"/>
      <c r="AN47" s="51"/>
      <c r="AO47" s="51"/>
      <c r="AP47" s="51"/>
      <c r="AQ47" s="51"/>
      <c r="AR47" s="93"/>
      <c r="AS47" s="52"/>
      <c r="AT47" s="93"/>
      <c r="AU47" s="54"/>
      <c r="AV47" s="93"/>
      <c r="AW47" s="54"/>
      <c r="AX47" s="93"/>
    </row>
    <row r="48" spans="1:50" ht="14.25" customHeight="1" thickTop="1" x14ac:dyDescent="0.25">
      <c r="H48" s="695"/>
      <c r="N48" s="695"/>
      <c r="T48" s="689"/>
      <c r="Z48" s="689"/>
      <c r="AF48" s="695"/>
    </row>
    <row r="49" spans="1:50" s="55" customFormat="1" ht="14.25" customHeight="1" x14ac:dyDescent="0.25">
      <c r="A49" s="45" t="s">
        <v>38</v>
      </c>
      <c r="B49" s="65" t="s">
        <v>653</v>
      </c>
      <c r="C49" s="24"/>
      <c r="D49" s="47"/>
      <c r="E49" s="47"/>
      <c r="F49" s="47"/>
      <c r="G49" s="47"/>
      <c r="H49" s="689"/>
      <c r="I49" s="49"/>
      <c r="J49" s="47"/>
      <c r="K49" s="47"/>
      <c r="L49" s="47"/>
      <c r="M49" s="47"/>
      <c r="N49" s="689"/>
      <c r="O49" s="49"/>
      <c r="P49" s="47"/>
      <c r="Q49" s="47"/>
      <c r="R49" s="47"/>
      <c r="S49" s="47"/>
      <c r="T49" s="689"/>
      <c r="U49" s="49"/>
      <c r="V49" s="47"/>
      <c r="W49" s="47"/>
      <c r="X49" s="47"/>
      <c r="Y49" s="47"/>
      <c r="Z49" s="689"/>
      <c r="AA49" s="49"/>
      <c r="AB49" s="47"/>
      <c r="AC49" s="47"/>
      <c r="AD49" s="47"/>
      <c r="AE49" s="47"/>
      <c r="AF49" s="689"/>
      <c r="AG49" s="94"/>
      <c r="AH49" s="47"/>
      <c r="AI49" s="47"/>
      <c r="AJ49" s="51"/>
      <c r="AK49" s="51"/>
      <c r="AL49" s="68"/>
      <c r="AM49" s="49"/>
      <c r="AN49" s="51"/>
      <c r="AO49" s="51"/>
      <c r="AP49" s="51"/>
      <c r="AQ49" s="51"/>
      <c r="AR49" s="68"/>
      <c r="AS49" s="49"/>
      <c r="AT49" s="68"/>
      <c r="AU49" s="95"/>
      <c r="AV49" s="68"/>
      <c r="AW49" s="95"/>
      <c r="AX49" s="68"/>
    </row>
    <row r="50" spans="1:50" s="55" customFormat="1" ht="14.25" customHeight="1" x14ac:dyDescent="0.25">
      <c r="A50" s="73"/>
      <c r="B50" s="70" t="s">
        <v>654</v>
      </c>
      <c r="C50" s="22"/>
      <c r="D50" s="47">
        <v>0</v>
      </c>
      <c r="E50" s="47">
        <v>0</v>
      </c>
      <c r="F50" s="47">
        <v>0</v>
      </c>
      <c r="G50" s="47">
        <v>0</v>
      </c>
      <c r="H50" s="689">
        <v>0</v>
      </c>
      <c r="I50" s="47" t="s">
        <v>630</v>
      </c>
      <c r="J50" s="47">
        <v>0</v>
      </c>
      <c r="K50" s="47">
        <v>0</v>
      </c>
      <c r="L50" s="47">
        <v>0</v>
      </c>
      <c r="M50" s="47">
        <v>0</v>
      </c>
      <c r="N50" s="689">
        <v>0</v>
      </c>
      <c r="O50" s="47" t="s">
        <v>630</v>
      </c>
      <c r="P50" s="47">
        <v>0</v>
      </c>
      <c r="Q50" s="47">
        <v>0</v>
      </c>
      <c r="R50" s="47">
        <v>0</v>
      </c>
      <c r="S50" s="47">
        <v>0</v>
      </c>
      <c r="T50" s="689">
        <v>0</v>
      </c>
      <c r="U50" s="47" t="s">
        <v>630</v>
      </c>
      <c r="V50" s="47">
        <v>0</v>
      </c>
      <c r="W50" s="47">
        <v>0</v>
      </c>
      <c r="X50" s="47">
        <v>0</v>
      </c>
      <c r="Y50" s="47">
        <v>0</v>
      </c>
      <c r="Z50" s="689">
        <v>0</v>
      </c>
      <c r="AA50" s="47" t="s">
        <v>630</v>
      </c>
      <c r="AB50" s="47">
        <v>0</v>
      </c>
      <c r="AC50" s="47">
        <v>0</v>
      </c>
      <c r="AD50" s="47">
        <v>0</v>
      </c>
      <c r="AE50" s="47">
        <v>0</v>
      </c>
      <c r="AF50" s="689">
        <v>0</v>
      </c>
      <c r="AG50" s="47" t="s">
        <v>630</v>
      </c>
      <c r="AH50" s="47">
        <v>0</v>
      </c>
      <c r="AI50" s="47">
        <v>0</v>
      </c>
      <c r="AJ50" s="51"/>
      <c r="AK50" s="51"/>
      <c r="AL50" s="68"/>
      <c r="AM50" s="81"/>
      <c r="AN50" s="51"/>
      <c r="AO50" s="51"/>
      <c r="AP50" s="51"/>
      <c r="AQ50" s="51"/>
      <c r="AR50" s="68"/>
      <c r="AS50" s="81"/>
      <c r="AT50" s="68"/>
      <c r="AU50" s="83"/>
      <c r="AV50" s="68"/>
      <c r="AW50" s="83"/>
      <c r="AX50" s="68"/>
    </row>
    <row r="51" spans="1:50" s="55" customFormat="1" ht="14.25" customHeight="1" x14ac:dyDescent="0.25">
      <c r="A51" s="56"/>
      <c r="B51" s="70" t="s">
        <v>655</v>
      </c>
      <c r="C51" s="24"/>
      <c r="D51" s="47">
        <v>0.25800000000000001</v>
      </c>
      <c r="E51" s="47">
        <v>0.57699999999999996</v>
      </c>
      <c r="F51" s="47">
        <v>1.393</v>
      </c>
      <c r="G51" s="47">
        <v>0.66900000000000004</v>
      </c>
      <c r="H51" s="689">
        <v>2.8969999999999998</v>
      </c>
      <c r="I51" s="47" t="s">
        <v>630</v>
      </c>
      <c r="J51" s="47">
        <v>0.35199999999999998</v>
      </c>
      <c r="K51" s="47">
        <v>0.76700000000000002</v>
      </c>
      <c r="L51" s="47">
        <v>0.995</v>
      </c>
      <c r="M51" s="47">
        <v>3.05</v>
      </c>
      <c r="N51" s="689">
        <v>5.1639999999999997</v>
      </c>
      <c r="O51" s="47" t="s">
        <v>630</v>
      </c>
      <c r="P51" s="47">
        <v>-1.657</v>
      </c>
      <c r="Q51" s="47">
        <v>4.5119999999999996</v>
      </c>
      <c r="R51" s="47">
        <v>6.0720000000000001</v>
      </c>
      <c r="S51" s="47">
        <v>2.3740000000000001</v>
      </c>
      <c r="T51" s="689">
        <v>11.301</v>
      </c>
      <c r="U51" s="47" t="s">
        <v>630</v>
      </c>
      <c r="V51" s="47">
        <v>1.8180000000000001</v>
      </c>
      <c r="W51" s="47">
        <v>6.7720000000000002</v>
      </c>
      <c r="X51" s="47">
        <v>5.3150000000000004</v>
      </c>
      <c r="Y51" s="47">
        <v>5.5979999999999999</v>
      </c>
      <c r="Z51" s="689">
        <v>19.503</v>
      </c>
      <c r="AA51" s="47" t="s">
        <v>630</v>
      </c>
      <c r="AB51" s="47">
        <v>4.6589999999999998</v>
      </c>
      <c r="AC51" s="47">
        <v>7.1890000000000001</v>
      </c>
      <c r="AD51" s="47">
        <v>7.7679999999999998</v>
      </c>
      <c r="AE51" s="47">
        <v>8.0259999999999998</v>
      </c>
      <c r="AF51" s="689">
        <v>27.641999999999999</v>
      </c>
      <c r="AG51" s="47" t="s">
        <v>630</v>
      </c>
      <c r="AH51" s="47">
        <v>4.633</v>
      </c>
      <c r="AI51" s="47">
        <v>6.51</v>
      </c>
      <c r="AJ51" s="51"/>
      <c r="AK51" s="51"/>
      <c r="AL51" s="75"/>
      <c r="AM51" s="49"/>
      <c r="AN51" s="51"/>
      <c r="AO51" s="51"/>
      <c r="AP51" s="51"/>
      <c r="AQ51" s="51"/>
      <c r="AR51" s="75"/>
      <c r="AS51" s="49"/>
      <c r="AT51" s="75"/>
      <c r="AU51" s="95"/>
      <c r="AV51" s="75"/>
      <c r="AW51" s="95"/>
      <c r="AX51" s="75"/>
    </row>
    <row r="52" spans="1:50" s="55" customFormat="1" ht="14.25" customHeight="1" thickBot="1" x14ac:dyDescent="0.3">
      <c r="A52" s="73"/>
      <c r="B52" s="76" t="s">
        <v>656</v>
      </c>
      <c r="C52" s="22"/>
      <c r="D52" s="47">
        <v>1.7050000000000001</v>
      </c>
      <c r="E52" s="47">
        <v>-8.0199999999999994E-2</v>
      </c>
      <c r="F52" s="47">
        <v>1.5407</v>
      </c>
      <c r="G52" s="47">
        <v>5.6818</v>
      </c>
      <c r="H52" s="689">
        <v>8.8465000000000007</v>
      </c>
      <c r="I52" s="47" t="s">
        <v>630</v>
      </c>
      <c r="J52" s="47">
        <v>5.47</v>
      </c>
      <c r="K52" s="47">
        <v>6.5670000000000002</v>
      </c>
      <c r="L52" s="47">
        <v>10.881</v>
      </c>
      <c r="M52" s="47">
        <v>16.520900000000001</v>
      </c>
      <c r="N52" s="689">
        <v>37.277500000000003</v>
      </c>
      <c r="O52" s="47" t="s">
        <v>630</v>
      </c>
      <c r="P52" s="47">
        <v>-1.9279999999999999</v>
      </c>
      <c r="Q52" s="47">
        <v>12.659000000000001</v>
      </c>
      <c r="R52" s="47">
        <v>30.457000000000001</v>
      </c>
      <c r="S52" s="47">
        <v>10.102</v>
      </c>
      <c r="T52" s="689">
        <v>47.108499999999999</v>
      </c>
      <c r="U52" s="47" t="s">
        <v>630</v>
      </c>
      <c r="V52" s="47">
        <v>4.5064000000000002</v>
      </c>
      <c r="W52" s="47">
        <v>26.184000000000001</v>
      </c>
      <c r="X52" s="47">
        <v>26.2028</v>
      </c>
      <c r="Y52" s="47">
        <v>16.364100000000001</v>
      </c>
      <c r="Z52" s="689">
        <v>79.509600000000006</v>
      </c>
      <c r="AA52" s="47" t="s">
        <v>630</v>
      </c>
      <c r="AB52" s="47">
        <v>19.267399999999999</v>
      </c>
      <c r="AC52" s="47">
        <v>23.395499999999998</v>
      </c>
      <c r="AD52" s="47">
        <v>30.355899999999998</v>
      </c>
      <c r="AE52" s="47">
        <v>28.956</v>
      </c>
      <c r="AF52" s="689">
        <v>102.1118</v>
      </c>
      <c r="AG52" s="47" t="s">
        <v>630</v>
      </c>
      <c r="AH52" s="47">
        <v>21.2348</v>
      </c>
      <c r="AI52" s="47">
        <v>27.560600000000001</v>
      </c>
      <c r="AJ52" s="51"/>
      <c r="AK52" s="51"/>
      <c r="AL52" s="93"/>
      <c r="AM52" s="49"/>
      <c r="AN52" s="51"/>
      <c r="AO52" s="51"/>
      <c r="AP52" s="51"/>
      <c r="AQ52" s="51"/>
      <c r="AR52" s="93"/>
      <c r="AS52" s="49"/>
      <c r="AT52" s="93"/>
      <c r="AU52" s="95"/>
      <c r="AV52" s="93"/>
      <c r="AW52" s="95"/>
      <c r="AX52" s="93"/>
    </row>
    <row r="53" spans="1:50" s="55" customFormat="1" ht="14.25" customHeight="1" thickTop="1" x14ac:dyDescent="0.25">
      <c r="A53" s="56"/>
      <c r="B53" s="96"/>
      <c r="C53" s="24"/>
      <c r="D53" s="47"/>
      <c r="E53" s="47"/>
      <c r="F53" s="47"/>
      <c r="G53" s="47"/>
      <c r="H53" s="689"/>
      <c r="I53" s="49"/>
      <c r="J53" s="47"/>
      <c r="K53" s="47"/>
      <c r="L53" s="47"/>
      <c r="M53" s="47"/>
      <c r="N53" s="689"/>
      <c r="O53" s="49"/>
      <c r="P53" s="47"/>
      <c r="Q53" s="47"/>
      <c r="R53" s="47"/>
      <c r="S53" s="47"/>
      <c r="T53" s="689"/>
      <c r="U53" s="49"/>
      <c r="V53" s="47"/>
      <c r="W53" s="47"/>
      <c r="X53" s="47"/>
      <c r="Y53" s="47"/>
      <c r="Z53" s="689"/>
      <c r="AA53" s="49"/>
      <c r="AB53" s="47"/>
      <c r="AC53" s="47"/>
      <c r="AD53" s="47"/>
      <c r="AE53" s="47"/>
      <c r="AF53" s="689"/>
      <c r="AG53" s="94"/>
      <c r="AH53" s="47"/>
      <c r="AI53" s="47"/>
      <c r="AJ53" s="51"/>
      <c r="AK53" s="51"/>
      <c r="AL53" s="68"/>
      <c r="AM53" s="49"/>
      <c r="AN53" s="51"/>
      <c r="AO53" s="51"/>
      <c r="AP53" s="51"/>
      <c r="AQ53" s="51"/>
      <c r="AR53" s="68"/>
      <c r="AS53" s="49"/>
      <c r="AT53" s="68"/>
      <c r="AU53" s="95"/>
      <c r="AV53" s="68"/>
      <c r="AW53" s="95"/>
      <c r="AX53" s="68"/>
    </row>
    <row r="54" spans="1:50" s="55" customFormat="1" ht="14.25" customHeight="1" x14ac:dyDescent="0.25">
      <c r="A54" s="45" t="s">
        <v>38</v>
      </c>
      <c r="B54" s="65" t="s">
        <v>657</v>
      </c>
      <c r="C54" s="22"/>
      <c r="D54" s="47"/>
      <c r="E54" s="47"/>
      <c r="F54" s="47"/>
      <c r="G54" s="47"/>
      <c r="H54" s="689"/>
      <c r="I54" s="49"/>
      <c r="J54" s="47"/>
      <c r="K54" s="47"/>
      <c r="L54" s="47"/>
      <c r="M54" s="47"/>
      <c r="N54" s="689"/>
      <c r="O54" s="49"/>
      <c r="P54" s="47"/>
      <c r="Q54" s="47"/>
      <c r="R54" s="47"/>
      <c r="S54" s="47"/>
      <c r="T54" s="696"/>
      <c r="U54" s="49"/>
      <c r="V54" s="47"/>
      <c r="W54" s="47"/>
      <c r="X54" s="47"/>
      <c r="Y54" s="47"/>
      <c r="Z54" s="696"/>
      <c r="AA54" s="49"/>
      <c r="AB54" s="47"/>
      <c r="AC54" s="47"/>
      <c r="AD54" s="47"/>
      <c r="AE54" s="47"/>
      <c r="AF54" s="689"/>
      <c r="AG54" s="94"/>
      <c r="AH54" s="47"/>
      <c r="AI54" s="47"/>
      <c r="AJ54" s="51"/>
      <c r="AK54" s="51"/>
      <c r="AL54" s="68"/>
      <c r="AM54" s="49"/>
      <c r="AN54" s="51"/>
      <c r="AO54" s="51"/>
      <c r="AP54" s="51"/>
      <c r="AQ54" s="51"/>
      <c r="AR54" s="68"/>
      <c r="AS54" s="49"/>
      <c r="AT54" s="68"/>
      <c r="AU54" s="95"/>
      <c r="AV54" s="68"/>
      <c r="AW54" s="95"/>
      <c r="AX54" s="68"/>
    </row>
    <row r="55" spans="1:50" s="55" customFormat="1" ht="14.25" customHeight="1" x14ac:dyDescent="0.25">
      <c r="A55" s="56"/>
      <c r="B55" s="76" t="s">
        <v>658</v>
      </c>
      <c r="C55" s="24"/>
      <c r="D55" s="97">
        <v>0.03</v>
      </c>
      <c r="E55" s="97">
        <v>-1.5E-3</v>
      </c>
      <c r="F55" s="97">
        <v>2.8199999999999999E-2</v>
      </c>
      <c r="G55" s="97">
        <v>0.1021</v>
      </c>
      <c r="H55" s="696">
        <v>0.16170000000000001</v>
      </c>
      <c r="I55" s="97" t="s">
        <v>630</v>
      </c>
      <c r="J55" s="97">
        <v>9.6699999999999994E-2</v>
      </c>
      <c r="K55" s="97">
        <v>0.1133</v>
      </c>
      <c r="L55" s="97">
        <v>0.1867</v>
      </c>
      <c r="M55" s="97">
        <v>0.28199999999999997</v>
      </c>
      <c r="N55" s="696">
        <v>0.64659999999999995</v>
      </c>
      <c r="O55" s="97" t="s">
        <v>630</v>
      </c>
      <c r="P55" s="97">
        <v>-3.2800000000000003E-2</v>
      </c>
      <c r="Q55" s="97">
        <v>0.21390000000000001</v>
      </c>
      <c r="R55" s="97">
        <v>0.5131</v>
      </c>
      <c r="S55" s="97">
        <v>0.1704</v>
      </c>
      <c r="T55" s="696">
        <v>1.3214999999999999</v>
      </c>
      <c r="U55" s="97" t="s">
        <v>630</v>
      </c>
      <c r="V55" s="97">
        <v>7.5399999999999995E-2</v>
      </c>
      <c r="W55" s="97">
        <v>0.43709999999999999</v>
      </c>
      <c r="X55" s="97">
        <v>0.43509999999999999</v>
      </c>
      <c r="Y55" s="97">
        <v>0.26919999999999999</v>
      </c>
      <c r="Z55" s="696">
        <v>1.3214999999999999</v>
      </c>
      <c r="AA55" s="97" t="s">
        <v>630</v>
      </c>
      <c r="AB55" s="97">
        <v>0.314</v>
      </c>
      <c r="AC55" s="97">
        <v>0.37630000000000002</v>
      </c>
      <c r="AD55" s="97">
        <v>0.48570000000000002</v>
      </c>
      <c r="AE55" s="97">
        <v>0.46110000000000001</v>
      </c>
      <c r="AF55" s="696">
        <v>1.6413</v>
      </c>
      <c r="AG55" s="97" t="s">
        <v>630</v>
      </c>
      <c r="AH55" s="97">
        <v>0.33560000000000001</v>
      </c>
      <c r="AI55" s="97">
        <v>0.43080000000000002</v>
      </c>
      <c r="AJ55" s="99"/>
      <c r="AK55" s="99"/>
      <c r="AL55" s="100"/>
      <c r="AM55" s="98"/>
      <c r="AN55" s="99"/>
      <c r="AO55" s="99"/>
      <c r="AP55" s="99"/>
      <c r="AQ55" s="99"/>
      <c r="AR55" s="100"/>
      <c r="AS55" s="98"/>
      <c r="AT55" s="100"/>
      <c r="AU55" s="101"/>
      <c r="AV55" s="100"/>
      <c r="AW55" s="101"/>
      <c r="AX55" s="100"/>
    </row>
    <row r="56" spans="1:50" s="55" customFormat="1" ht="14.25" customHeight="1" x14ac:dyDescent="0.25">
      <c r="A56" s="73"/>
      <c r="B56" s="76" t="s">
        <v>659</v>
      </c>
      <c r="C56" s="22"/>
      <c r="D56" s="97">
        <v>2.6700000000000002E-2</v>
      </c>
      <c r="E56" s="97">
        <v>-1.5E-3</v>
      </c>
      <c r="F56" s="97">
        <v>2.3699999999999999E-2</v>
      </c>
      <c r="G56" s="97">
        <v>8.6499999999999994E-2</v>
      </c>
      <c r="H56" s="696">
        <v>0.1404</v>
      </c>
      <c r="I56" s="97" t="s">
        <v>630</v>
      </c>
      <c r="J56" s="97">
        <v>8.3299999999999999E-2</v>
      </c>
      <c r="K56" s="97">
        <v>0.1</v>
      </c>
      <c r="L56" s="97">
        <v>0.1643</v>
      </c>
      <c r="M56" s="97">
        <v>0.2477</v>
      </c>
      <c r="N56" s="696">
        <v>0.56930000000000003</v>
      </c>
      <c r="O56" s="97" t="s">
        <v>630</v>
      </c>
      <c r="P56" s="97">
        <v>-4.1500000000000002E-2</v>
      </c>
      <c r="Q56" s="97">
        <v>0.1865</v>
      </c>
      <c r="R56" s="97">
        <v>0.46410000000000001</v>
      </c>
      <c r="S56" s="97">
        <v>0.15340000000000001</v>
      </c>
      <c r="T56" s="689">
        <v>0.71009999999999995</v>
      </c>
      <c r="U56" s="97" t="s">
        <v>630</v>
      </c>
      <c r="V56" s="97">
        <v>6.9400000000000003E-2</v>
      </c>
      <c r="W56" s="97">
        <v>0.40010000000000001</v>
      </c>
      <c r="X56" s="97">
        <v>0.39800000000000002</v>
      </c>
      <c r="Y56" s="97">
        <v>0.2397</v>
      </c>
      <c r="Z56" s="689">
        <v>1.1933</v>
      </c>
      <c r="AA56" s="97" t="s">
        <v>630</v>
      </c>
      <c r="AB56" s="97">
        <v>0.28770000000000001</v>
      </c>
      <c r="AC56" s="97">
        <v>0.33789999999999998</v>
      </c>
      <c r="AD56" s="97">
        <v>0.44180000000000003</v>
      </c>
      <c r="AE56" s="97">
        <v>0.42809999999999998</v>
      </c>
      <c r="AF56" s="696">
        <v>1.5071000000000001</v>
      </c>
      <c r="AG56" s="97" t="s">
        <v>630</v>
      </c>
      <c r="AH56" s="97">
        <v>0.31280000000000002</v>
      </c>
      <c r="AI56" s="97">
        <v>0.40739999999999998</v>
      </c>
      <c r="AJ56" s="99"/>
      <c r="AK56" s="99"/>
      <c r="AL56" s="100"/>
      <c r="AM56" s="98"/>
      <c r="AN56" s="99"/>
      <c r="AO56" s="99"/>
      <c r="AP56" s="99"/>
      <c r="AQ56" s="99"/>
      <c r="AR56" s="100"/>
      <c r="AS56" s="98"/>
      <c r="AT56" s="100"/>
      <c r="AU56" s="101"/>
      <c r="AV56" s="100"/>
      <c r="AW56" s="101"/>
      <c r="AX56" s="100"/>
    </row>
    <row r="57" spans="1:50" s="55" customFormat="1" ht="14.25" customHeight="1" x14ac:dyDescent="0.25">
      <c r="A57" s="56"/>
      <c r="B57" s="96"/>
      <c r="C57" s="24"/>
      <c r="D57" s="47"/>
      <c r="E57" s="47"/>
      <c r="F57" s="47"/>
      <c r="G57" s="47"/>
      <c r="H57" s="689"/>
      <c r="I57" s="49"/>
      <c r="J57" s="47"/>
      <c r="K57" s="47"/>
      <c r="L57" s="47"/>
      <c r="M57" s="47"/>
      <c r="N57" s="689"/>
      <c r="O57" s="49"/>
      <c r="P57" s="47"/>
      <c r="Q57" s="47"/>
      <c r="R57" s="47"/>
      <c r="S57" s="47"/>
      <c r="T57" s="689"/>
      <c r="U57" s="49"/>
      <c r="V57" s="47"/>
      <c r="W57" s="47"/>
      <c r="X57" s="47"/>
      <c r="Y57" s="47"/>
      <c r="Z57" s="689"/>
      <c r="AA57" s="49"/>
      <c r="AB57" s="47"/>
      <c r="AC57" s="47"/>
      <c r="AD57" s="47"/>
      <c r="AE57" s="47"/>
      <c r="AF57" s="689"/>
      <c r="AG57" s="94"/>
      <c r="AH57" s="47"/>
      <c r="AI57" s="47"/>
      <c r="AJ57" s="51"/>
      <c r="AK57" s="51"/>
      <c r="AL57" s="68"/>
      <c r="AM57" s="49"/>
      <c r="AN57" s="51"/>
      <c r="AO57" s="51"/>
      <c r="AP57" s="51"/>
      <c r="AQ57" s="51"/>
      <c r="AR57" s="68"/>
      <c r="AS57" s="49"/>
      <c r="AT57" s="68"/>
      <c r="AU57" s="95"/>
      <c r="AV57" s="68"/>
      <c r="AW57" s="95"/>
      <c r="AX57" s="68"/>
    </row>
    <row r="58" spans="1:50" s="55" customFormat="1" ht="14.25" customHeight="1" x14ac:dyDescent="0.25">
      <c r="A58" s="45" t="s">
        <v>38</v>
      </c>
      <c r="B58" s="65" t="s">
        <v>660</v>
      </c>
      <c r="C58" s="22"/>
      <c r="D58" s="47"/>
      <c r="E58" s="47"/>
      <c r="F58" s="47"/>
      <c r="G58" s="47"/>
      <c r="H58" s="689"/>
      <c r="I58" s="49"/>
      <c r="J58" s="47"/>
      <c r="K58" s="47"/>
      <c r="L58" s="47"/>
      <c r="M58" s="47"/>
      <c r="N58" s="689"/>
      <c r="O58" s="49"/>
      <c r="P58" s="47"/>
      <c r="Q58" s="47"/>
      <c r="R58" s="47"/>
      <c r="S58" s="47"/>
      <c r="T58" s="697"/>
      <c r="U58" s="49"/>
      <c r="V58" s="47"/>
      <c r="W58" s="47"/>
      <c r="X58" s="47"/>
      <c r="Y58" s="47"/>
      <c r="Z58" s="697"/>
      <c r="AA58" s="49"/>
      <c r="AB58" s="47"/>
      <c r="AC58" s="47"/>
      <c r="AD58" s="47"/>
      <c r="AE58" s="47"/>
      <c r="AF58" s="689"/>
      <c r="AG58" s="94"/>
      <c r="AH58" s="47"/>
      <c r="AI58" s="47"/>
      <c r="AJ58" s="51"/>
      <c r="AK58" s="51"/>
      <c r="AL58" s="68"/>
      <c r="AM58" s="49"/>
      <c r="AN58" s="51"/>
      <c r="AO58" s="51"/>
      <c r="AP58" s="51"/>
      <c r="AQ58" s="51"/>
      <c r="AR58" s="68"/>
      <c r="AS58" s="49"/>
      <c r="AT58" s="68"/>
      <c r="AU58" s="95"/>
      <c r="AV58" s="68"/>
      <c r="AW58" s="95"/>
      <c r="AX58" s="68"/>
    </row>
    <row r="59" spans="1:50" s="55" customFormat="1" ht="14.25" customHeight="1" x14ac:dyDescent="0.25">
      <c r="A59" s="96"/>
      <c r="B59" s="70" t="s">
        <v>661</v>
      </c>
      <c r="C59" s="24"/>
      <c r="D59" s="305">
        <v>54.3611</v>
      </c>
      <c r="E59" s="305">
        <v>54.152500000000003</v>
      </c>
      <c r="F59" s="305">
        <v>54.605800000000002</v>
      </c>
      <c r="G59" s="305">
        <v>55.671300000000002</v>
      </c>
      <c r="H59" s="697">
        <v>54.700099999999999</v>
      </c>
      <c r="I59" s="305" t="s">
        <v>630</v>
      </c>
      <c r="J59" s="305">
        <v>56.360599999999998</v>
      </c>
      <c r="K59" s="305">
        <v>57.371000000000002</v>
      </c>
      <c r="L59" s="305">
        <v>58.267600000000002</v>
      </c>
      <c r="M59" s="305">
        <v>58.5884</v>
      </c>
      <c r="N59" s="697">
        <v>57.654699999999998</v>
      </c>
      <c r="O59" s="305" t="s">
        <v>630</v>
      </c>
      <c r="P59" s="305">
        <v>58.827399999999997</v>
      </c>
      <c r="Q59" s="305">
        <v>59.177599999999998</v>
      </c>
      <c r="R59" s="305">
        <v>59.360799999999998</v>
      </c>
      <c r="S59" s="305">
        <v>59.268599999999999</v>
      </c>
      <c r="T59" s="697">
        <v>59.235999999999997</v>
      </c>
      <c r="U59" s="305" t="s">
        <v>630</v>
      </c>
      <c r="V59" s="305">
        <v>59.736800000000002</v>
      </c>
      <c r="W59" s="305">
        <v>59.898099999999999</v>
      </c>
      <c r="X59" s="305">
        <v>60.219200000000001</v>
      </c>
      <c r="Y59" s="305">
        <v>60.792299999999997</v>
      </c>
      <c r="Z59" s="697">
        <v>60.164700000000003</v>
      </c>
      <c r="AA59" s="305" t="s">
        <v>630</v>
      </c>
      <c r="AB59" s="305">
        <v>61.367199999999997</v>
      </c>
      <c r="AC59" s="305">
        <v>62.178400000000003</v>
      </c>
      <c r="AD59" s="305">
        <v>62.500900000000001</v>
      </c>
      <c r="AE59" s="305">
        <v>62.7943</v>
      </c>
      <c r="AF59" s="697">
        <v>62.212600000000002</v>
      </c>
      <c r="AG59" s="305" t="s">
        <v>630</v>
      </c>
      <c r="AH59" s="305">
        <v>63.267800000000001</v>
      </c>
      <c r="AI59" s="305">
        <v>63.968800000000002</v>
      </c>
      <c r="AJ59" s="317">
        <v>132.45345781347311</v>
      </c>
      <c r="AK59" s="317">
        <v>132.46591513317782</v>
      </c>
      <c r="AL59" s="343">
        <v>132.46284323666274</v>
      </c>
      <c r="AM59" s="316"/>
      <c r="AN59" s="317">
        <v>132.47511232291367</v>
      </c>
      <c r="AO59" s="317">
        <v>132.48185249976638</v>
      </c>
      <c r="AP59" s="317">
        <v>132.48951150796154</v>
      </c>
      <c r="AQ59" s="317">
        <v>132.49671202489131</v>
      </c>
      <c r="AR59" s="343">
        <v>132.48579708888323</v>
      </c>
      <c r="AS59" s="49"/>
      <c r="AT59" s="343">
        <v>132.52551565794019</v>
      </c>
      <c r="AU59" s="95"/>
      <c r="AV59" s="343">
        <v>132.51460698359148</v>
      </c>
      <c r="AW59" s="95"/>
      <c r="AX59" s="343">
        <v>132.5543231811975</v>
      </c>
    </row>
    <row r="60" spans="1:50" s="55" customFormat="1" ht="14.25" customHeight="1" x14ac:dyDescent="0.25">
      <c r="A60" s="96"/>
      <c r="B60" s="70" t="s">
        <v>662</v>
      </c>
      <c r="C60" s="24"/>
      <c r="D60" s="305">
        <v>63.1999</v>
      </c>
      <c r="E60" s="305">
        <v>64.548500000000004</v>
      </c>
      <c r="F60" s="305">
        <v>64.665899999999993</v>
      </c>
      <c r="G60" s="305">
        <v>65.382599999999996</v>
      </c>
      <c r="H60" s="697">
        <v>63.550400000000003</v>
      </c>
      <c r="I60" s="305" t="s">
        <v>630</v>
      </c>
      <c r="J60" s="305">
        <v>65.604799999999997</v>
      </c>
      <c r="K60" s="305">
        <v>65.423199999999994</v>
      </c>
      <c r="L60" s="305">
        <v>66.127499999999998</v>
      </c>
      <c r="M60" s="305">
        <v>66.325800000000001</v>
      </c>
      <c r="N60" s="697">
        <v>65.356700000000004</v>
      </c>
      <c r="O60" s="305" t="s">
        <v>630</v>
      </c>
      <c r="P60" s="305">
        <v>65.950900000000004</v>
      </c>
      <c r="Q60" s="305">
        <v>65.478700000000003</v>
      </c>
      <c r="R60" s="305">
        <v>65.612700000000004</v>
      </c>
      <c r="S60" s="305">
        <v>64.198300000000003</v>
      </c>
      <c r="T60" s="695">
        <v>65.341800000000006</v>
      </c>
      <c r="U60" s="305" t="s">
        <v>630</v>
      </c>
      <c r="V60" s="305">
        <v>65.058800000000005</v>
      </c>
      <c r="W60" s="305">
        <v>64.929599999999994</v>
      </c>
      <c r="X60" s="305">
        <v>65.450900000000004</v>
      </c>
      <c r="Y60" s="305">
        <v>65.911900000000003</v>
      </c>
      <c r="Z60" s="695">
        <v>64.870500000000007</v>
      </c>
      <c r="AA60" s="305" t="s">
        <v>630</v>
      </c>
      <c r="AB60" s="305">
        <v>66.2423</v>
      </c>
      <c r="AC60" s="305">
        <v>67.0578</v>
      </c>
      <c r="AD60" s="305">
        <v>66.671499999999995</v>
      </c>
      <c r="AE60" s="305">
        <v>66.518699999999995</v>
      </c>
      <c r="AF60" s="697">
        <v>66.237399999999994</v>
      </c>
      <c r="AG60" s="305" t="s">
        <v>630</v>
      </c>
      <c r="AH60" s="305">
        <v>66.952799999999996</v>
      </c>
      <c r="AI60" s="305">
        <v>67.4649</v>
      </c>
      <c r="AJ60" s="317">
        <v>133.13900000000001</v>
      </c>
      <c r="AK60" s="317">
        <v>133.13900000000001</v>
      </c>
      <c r="AL60" s="343">
        <v>133.26050000000001</v>
      </c>
      <c r="AM60" s="316"/>
      <c r="AN60" s="317">
        <v>133.13900000000001</v>
      </c>
      <c r="AO60" s="317">
        <v>133.13900000000001</v>
      </c>
      <c r="AP60" s="317">
        <v>133.13900000000001</v>
      </c>
      <c r="AQ60" s="317">
        <v>133.13900000000001</v>
      </c>
      <c r="AR60" s="343">
        <v>133.13900000000001</v>
      </c>
      <c r="AS60" s="49"/>
      <c r="AT60" s="343">
        <v>133.13900000000001</v>
      </c>
      <c r="AU60" s="95"/>
      <c r="AV60" s="343">
        <v>133.13900000000001</v>
      </c>
      <c r="AW60" s="95"/>
      <c r="AX60" s="343">
        <v>133.13900000000001</v>
      </c>
    </row>
    <row r="61" spans="1:50" ht="14.25" customHeight="1" x14ac:dyDescent="0.25">
      <c r="H61" s="695"/>
      <c r="N61" s="695"/>
      <c r="T61" s="698"/>
      <c r="Z61" s="698"/>
      <c r="AF61" s="695"/>
      <c r="AG61" s="191"/>
    </row>
    <row r="62" spans="1:50" ht="14.25" customHeight="1" x14ac:dyDescent="0.25">
      <c r="B62" s="64" t="s">
        <v>663</v>
      </c>
      <c r="C62" s="112"/>
      <c r="D62" s="110"/>
      <c r="E62" s="110"/>
      <c r="F62" s="110"/>
      <c r="G62" s="110"/>
      <c r="H62" s="110"/>
      <c r="I62" s="112"/>
      <c r="J62" s="110"/>
      <c r="K62" s="110"/>
      <c r="L62" s="110"/>
      <c r="M62" s="110"/>
      <c r="N62" s="698"/>
      <c r="O62" s="112"/>
      <c r="P62" s="110"/>
      <c r="Q62" s="110"/>
      <c r="R62" s="110"/>
      <c r="S62" s="110"/>
      <c r="T62" s="110"/>
      <c r="U62" s="112"/>
      <c r="V62" s="110"/>
      <c r="W62" s="110"/>
      <c r="X62" s="110"/>
      <c r="Y62" s="110"/>
      <c r="Z62" s="698"/>
      <c r="AA62" s="112"/>
      <c r="AB62" s="110"/>
      <c r="AC62" s="110"/>
      <c r="AD62" s="110"/>
      <c r="AE62" s="110"/>
      <c r="AF62" s="698"/>
      <c r="AG62" s="345"/>
      <c r="AH62" s="110"/>
      <c r="AI62" s="110"/>
      <c r="AJ62" s="110"/>
      <c r="AK62" s="110"/>
      <c r="AL62" s="110"/>
      <c r="AM62" s="112"/>
      <c r="AN62" s="110"/>
      <c r="AO62" s="110"/>
      <c r="AP62" s="110"/>
      <c r="AQ62" s="110"/>
    </row>
    <row r="63" spans="1:50" ht="14.25" customHeight="1" x14ac:dyDescent="0.25">
      <c r="B63" s="64"/>
      <c r="C63" s="112"/>
      <c r="D63" s="110"/>
      <c r="E63" s="110"/>
      <c r="F63" s="110"/>
      <c r="G63" s="110"/>
      <c r="H63" s="110"/>
      <c r="I63" s="112"/>
      <c r="J63" s="110"/>
      <c r="K63" s="110"/>
      <c r="L63" s="110"/>
      <c r="M63" s="110"/>
      <c r="N63" s="110"/>
      <c r="O63" s="112"/>
      <c r="P63" s="110"/>
      <c r="Q63" s="110"/>
      <c r="R63" s="110"/>
      <c r="S63" s="110"/>
      <c r="T63" s="110"/>
      <c r="U63" s="112"/>
      <c r="V63" s="110"/>
      <c r="W63" s="110"/>
      <c r="X63" s="110"/>
      <c r="Y63" s="110"/>
      <c r="Z63" s="687"/>
      <c r="AA63" s="112"/>
      <c r="AB63" s="110"/>
      <c r="AC63" s="110"/>
      <c r="AD63" s="110"/>
      <c r="AE63" s="110"/>
      <c r="AF63" s="698"/>
      <c r="AG63" s="345"/>
      <c r="AH63" s="110"/>
      <c r="AI63" s="110"/>
      <c r="AJ63" s="110"/>
      <c r="AK63" s="110"/>
      <c r="AL63" s="110"/>
      <c r="AM63" s="112"/>
      <c r="AN63" s="110"/>
      <c r="AO63" s="110"/>
      <c r="AP63" s="110"/>
      <c r="AQ63" s="110"/>
    </row>
    <row r="64" spans="1:50" ht="14.25" customHeight="1" x14ac:dyDescent="0.3">
      <c r="B64" s="111" t="s">
        <v>664</v>
      </c>
      <c r="C64" s="18"/>
      <c r="D64" s="61"/>
      <c r="E64" s="61"/>
      <c r="F64" s="61"/>
      <c r="G64" s="61"/>
      <c r="H64" s="66"/>
      <c r="I64" s="21"/>
      <c r="J64" s="61"/>
      <c r="K64" s="61"/>
      <c r="L64" s="61"/>
      <c r="M64" s="61"/>
      <c r="N64" s="66"/>
      <c r="O64" s="21"/>
      <c r="P64" s="61"/>
      <c r="Q64" s="61"/>
      <c r="R64" s="61"/>
      <c r="S64" s="61"/>
      <c r="T64" s="66"/>
      <c r="U64" s="21"/>
      <c r="V64" s="61"/>
      <c r="W64" s="61"/>
      <c r="X64" s="61"/>
      <c r="Y64" s="61"/>
      <c r="Z64" s="66"/>
      <c r="AA64" s="21"/>
      <c r="AB64" s="61"/>
      <c r="AC64" s="61"/>
      <c r="AD64" s="61"/>
      <c r="AE64" s="61"/>
      <c r="AF64" s="687"/>
      <c r="AG64" s="137"/>
      <c r="AH64" s="61"/>
      <c r="AI64" s="61"/>
      <c r="AJ64" s="47"/>
      <c r="AK64" s="47"/>
      <c r="AL64" s="66"/>
      <c r="AM64" s="21"/>
      <c r="AN64" s="47"/>
      <c r="AO64" s="47"/>
      <c r="AP64" s="47"/>
      <c r="AQ64" s="47"/>
    </row>
    <row r="65" spans="2:2" ht="14.25" customHeight="1" x14ac:dyDescent="0.25">
      <c r="B65" s="111" t="s">
        <v>665</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95"/>
  <sheetViews>
    <sheetView showGridLines="0" zoomScale="52" zoomScaleNormal="100" workbookViewId="0">
      <selection activeCell="B44" sqref="B44"/>
    </sheetView>
  </sheetViews>
  <sheetFormatPr defaultColWidth="9" defaultRowHeight="15" customHeight="1" outlineLevelCol="1" x14ac:dyDescent="0.3"/>
  <cols>
    <col min="1" max="1" width="2" style="42" customWidth="1"/>
    <col min="2" max="2" width="50.5" style="42" customWidth="1"/>
    <col min="3" max="3" width="3.296875" style="18" customWidth="1"/>
    <col min="4" max="7" width="9.5" style="42" customWidth="1" outlineLevel="1"/>
    <col min="8" max="8" width="11.5" style="42" customWidth="1"/>
    <col min="9" max="9" width="1.5" style="18" customWidth="1"/>
    <col min="10" max="13" width="9.5" style="42" customWidth="1" outlineLevel="1"/>
    <col min="14" max="14" width="11.5" style="42" customWidth="1"/>
    <col min="15" max="15" width="1.5" style="18" customWidth="1"/>
    <col min="16" max="19" width="9.5" style="42" customWidth="1" outlineLevel="1"/>
    <col min="20" max="20" width="11.5" style="42" customWidth="1"/>
    <col min="21" max="21" width="1.5" style="18" customWidth="1"/>
    <col min="22" max="25" width="9.5" style="42" customWidth="1" outlineLevel="1"/>
    <col min="26" max="26" width="11.5" style="42" customWidth="1"/>
    <col min="27" max="27" width="1.5" style="18" customWidth="1"/>
    <col min="28" max="31" width="9.5" style="42" customWidth="1" outlineLevel="1"/>
    <col min="32" max="32" width="11.5" style="42" customWidth="1"/>
    <col min="33" max="33" width="1.5" style="18" customWidth="1"/>
    <col min="34" max="37" width="9.5" style="42" customWidth="1" outlineLevel="1"/>
    <col min="38" max="38" width="11.5" style="42" customWidth="1"/>
    <col min="39" max="39" width="1.5" style="18" customWidth="1"/>
    <col min="40" max="43" width="9.5" style="42" customWidth="1" outlineLevel="1"/>
    <col min="44" max="44" width="11.5" style="42" customWidth="1"/>
    <col min="45" max="45" width="1.5" style="18" customWidth="1"/>
    <col min="46" max="46" width="11.5" style="42" customWidth="1"/>
    <col min="47" max="47" width="1.5" style="18" customWidth="1"/>
    <col min="48" max="48" width="11.5" style="43" customWidth="1"/>
    <col min="49" max="49" width="1.5" style="42" customWidth="1"/>
    <col min="50" max="50" width="11.5" style="42" customWidth="1"/>
    <col min="51" max="16384" width="9" style="42"/>
  </cols>
  <sheetData>
    <row r="1" spans="1:50" s="569" customFormat="1" ht="15" customHeight="1" x14ac:dyDescent="0.25">
      <c r="AH1" s="569">
        <v>0</v>
      </c>
    </row>
    <row r="2" spans="1:50" s="569" customFormat="1" ht="15" customHeight="1" x14ac:dyDescent="0.25"/>
    <row r="3" spans="1:50" s="569" customFormat="1" ht="15" customHeight="1" x14ac:dyDescent="0.25"/>
    <row r="4" spans="1:50" s="569" customFormat="1" ht="15" customHeight="1" x14ac:dyDescent="0.25"/>
    <row r="5" spans="1:50" s="565" customFormat="1" ht="4.05" customHeight="1" x14ac:dyDescent="0.3">
      <c r="C5" s="566"/>
      <c r="I5" s="566"/>
      <c r="O5" s="566"/>
      <c r="U5" s="566"/>
      <c r="AA5" s="566"/>
      <c r="AG5" s="566"/>
      <c r="AM5" s="566"/>
      <c r="AS5" s="566"/>
      <c r="AU5" s="566"/>
      <c r="AV5" s="567"/>
    </row>
    <row r="7" spans="1:50" ht="15" customHeight="1" x14ac:dyDescent="0.3">
      <c r="B7" s="147" t="s">
        <v>454</v>
      </c>
      <c r="C7" s="19"/>
      <c r="D7" s="188">
        <v>2020</v>
      </c>
      <c r="E7" s="188">
        <v>2020</v>
      </c>
      <c r="F7" s="188">
        <v>2020</v>
      </c>
      <c r="G7" s="188">
        <v>2020</v>
      </c>
      <c r="H7" s="188">
        <v>2020</v>
      </c>
      <c r="I7" s="19"/>
      <c r="J7" s="188">
        <v>2021</v>
      </c>
      <c r="K7" s="188">
        <v>2021</v>
      </c>
      <c r="L7" s="188">
        <v>2021</v>
      </c>
      <c r="M7" s="188">
        <v>2021</v>
      </c>
      <c r="N7" s="188">
        <v>2021</v>
      </c>
      <c r="O7" s="155"/>
      <c r="P7" s="188">
        <v>2022</v>
      </c>
      <c r="Q7" s="188">
        <v>2022</v>
      </c>
      <c r="R7" s="188">
        <v>2022</v>
      </c>
      <c r="S7" s="188">
        <v>2022</v>
      </c>
      <c r="T7" s="188">
        <v>2022</v>
      </c>
      <c r="U7" s="155"/>
      <c r="V7" s="188">
        <v>2023</v>
      </c>
      <c r="W7" s="188">
        <v>2023</v>
      </c>
      <c r="X7" s="188">
        <v>2023</v>
      </c>
      <c r="Y7" s="188">
        <v>2023</v>
      </c>
      <c r="Z7" s="188">
        <v>2023</v>
      </c>
      <c r="AA7" s="156"/>
      <c r="AB7" s="188">
        <v>2024</v>
      </c>
      <c r="AC7" s="188">
        <v>2024</v>
      </c>
      <c r="AD7" s="188">
        <v>2024</v>
      </c>
      <c r="AE7" s="188">
        <v>2024</v>
      </c>
      <c r="AF7" s="188">
        <v>2024</v>
      </c>
      <c r="AG7" s="156"/>
      <c r="AH7" s="188">
        <v>2025</v>
      </c>
      <c r="AI7" s="188">
        <v>2025</v>
      </c>
      <c r="AJ7" s="189">
        <v>2025</v>
      </c>
      <c r="AK7" s="188">
        <v>2025</v>
      </c>
      <c r="AL7" s="188">
        <v>2025</v>
      </c>
      <c r="AM7" s="157"/>
      <c r="AN7" s="188">
        <v>2025</v>
      </c>
      <c r="AO7" s="188">
        <v>2025</v>
      </c>
      <c r="AP7" s="189">
        <v>2025</v>
      </c>
      <c r="AQ7" s="188">
        <v>2025</v>
      </c>
      <c r="AR7" s="188">
        <v>2025</v>
      </c>
      <c r="AS7" s="19"/>
      <c r="AT7" s="148"/>
      <c r="AU7" s="19"/>
      <c r="AV7" s="149"/>
      <c r="AW7" s="19"/>
      <c r="AX7" s="149"/>
    </row>
    <row r="8" spans="1:50" ht="15" customHeight="1" x14ac:dyDescent="0.3">
      <c r="B8" s="150"/>
      <c r="C8" s="19"/>
      <c r="D8" s="803">
        <v>2020</v>
      </c>
      <c r="E8" s="803"/>
      <c r="F8" s="803"/>
      <c r="G8" s="803"/>
      <c r="H8" s="803"/>
      <c r="I8" s="155"/>
      <c r="J8" s="803">
        <v>2021</v>
      </c>
      <c r="K8" s="803"/>
      <c r="L8" s="803"/>
      <c r="M8" s="803"/>
      <c r="N8" s="803"/>
      <c r="O8" s="155"/>
      <c r="P8" s="803">
        <v>2022</v>
      </c>
      <c r="Q8" s="803"/>
      <c r="R8" s="803"/>
      <c r="S8" s="803"/>
      <c r="T8" s="803"/>
      <c r="U8" s="155"/>
      <c r="V8" s="803">
        <v>2023</v>
      </c>
      <c r="W8" s="803"/>
      <c r="X8" s="803"/>
      <c r="Y8" s="803"/>
      <c r="Z8" s="803"/>
      <c r="AA8" s="155"/>
      <c r="AB8" s="803">
        <v>2024</v>
      </c>
      <c r="AC8" s="803"/>
      <c r="AD8" s="803"/>
      <c r="AE8" s="803"/>
      <c r="AF8" s="803"/>
      <c r="AG8" s="155"/>
      <c r="AH8" s="802">
        <v>2025</v>
      </c>
      <c r="AI8" s="802"/>
      <c r="AJ8" s="802"/>
      <c r="AK8" s="802"/>
      <c r="AL8" s="802"/>
      <c r="AM8" s="155"/>
      <c r="AN8" s="802">
        <v>2026</v>
      </c>
      <c r="AO8" s="802"/>
      <c r="AP8" s="802"/>
      <c r="AQ8" s="802"/>
      <c r="AR8" s="802"/>
      <c r="AS8" s="157"/>
      <c r="AT8" s="152">
        <v>2027</v>
      </c>
      <c r="AU8" s="153"/>
      <c r="AV8" s="152">
        <v>2028</v>
      </c>
      <c r="AW8" s="153"/>
      <c r="AX8" s="152">
        <v>2029</v>
      </c>
    </row>
    <row r="9" spans="1:50" ht="15" customHeight="1" x14ac:dyDescent="0.3">
      <c r="B9" s="150"/>
      <c r="C9" s="19"/>
      <c r="D9" s="154" t="s">
        <v>219</v>
      </c>
      <c r="E9" s="154" t="s">
        <v>220</v>
      </c>
      <c r="F9" s="154" t="s">
        <v>221</v>
      </c>
      <c r="G9" s="154" t="s">
        <v>222</v>
      </c>
      <c r="H9" s="154" t="s">
        <v>223</v>
      </c>
      <c r="I9" s="19"/>
      <c r="J9" s="154" t="s">
        <v>219</v>
      </c>
      <c r="K9" s="154" t="s">
        <v>220</v>
      </c>
      <c r="L9" s="154" t="s">
        <v>221</v>
      </c>
      <c r="M9" s="154" t="s">
        <v>222</v>
      </c>
      <c r="N9" s="154" t="s">
        <v>223</v>
      </c>
      <c r="O9" s="151"/>
      <c r="P9" s="154" t="s">
        <v>219</v>
      </c>
      <c r="Q9" s="154" t="s">
        <v>220</v>
      </c>
      <c r="R9" s="154" t="s">
        <v>221</v>
      </c>
      <c r="S9" s="154" t="s">
        <v>222</v>
      </c>
      <c r="T9" s="154" t="s">
        <v>223</v>
      </c>
      <c r="U9" s="151"/>
      <c r="V9" s="154" t="s">
        <v>219</v>
      </c>
      <c r="W9" s="154" t="s">
        <v>220</v>
      </c>
      <c r="X9" s="154" t="s">
        <v>221</v>
      </c>
      <c r="Y9" s="154" t="s">
        <v>222</v>
      </c>
      <c r="Z9" s="154" t="s">
        <v>223</v>
      </c>
      <c r="AA9" s="151"/>
      <c r="AB9" s="154" t="s">
        <v>219</v>
      </c>
      <c r="AC9" s="154" t="s">
        <v>220</v>
      </c>
      <c r="AD9" s="154" t="s">
        <v>221</v>
      </c>
      <c r="AE9" s="154" t="s">
        <v>222</v>
      </c>
      <c r="AF9" s="154" t="s">
        <v>223</v>
      </c>
      <c r="AG9" s="151"/>
      <c r="AH9" s="154" t="s">
        <v>219</v>
      </c>
      <c r="AI9" s="154" t="s">
        <v>220</v>
      </c>
      <c r="AJ9" s="154" t="s">
        <v>221</v>
      </c>
      <c r="AK9" s="154" t="s">
        <v>222</v>
      </c>
      <c r="AL9" s="154" t="s">
        <v>223</v>
      </c>
      <c r="AM9" s="151"/>
      <c r="AN9" s="154" t="s">
        <v>219</v>
      </c>
      <c r="AO9" s="154" t="s">
        <v>220</v>
      </c>
      <c r="AP9" s="154" t="s">
        <v>221</v>
      </c>
      <c r="AQ9" s="154" t="s">
        <v>222</v>
      </c>
      <c r="AR9" s="154" t="s">
        <v>223</v>
      </c>
      <c r="AS9" s="151"/>
      <c r="AT9" s="154" t="s">
        <v>223</v>
      </c>
      <c r="AU9" s="151"/>
      <c r="AV9" s="154" t="s">
        <v>223</v>
      </c>
      <c r="AW9" s="151"/>
      <c r="AX9" s="154" t="s">
        <v>223</v>
      </c>
    </row>
    <row r="10" spans="1:50" ht="4.05" customHeight="1" x14ac:dyDescent="0.3">
      <c r="A10" s="44"/>
      <c r="B10" s="162"/>
      <c r="C10" s="36"/>
      <c r="D10" s="163"/>
      <c r="E10" s="163"/>
      <c r="F10" s="163"/>
      <c r="G10" s="163"/>
      <c r="H10" s="163"/>
      <c r="I10" s="36"/>
      <c r="J10" s="163"/>
      <c r="K10" s="163"/>
      <c r="L10" s="163"/>
      <c r="M10" s="163"/>
      <c r="N10" s="163"/>
      <c r="O10" s="164"/>
      <c r="P10" s="163"/>
      <c r="Q10" s="163"/>
      <c r="R10" s="163"/>
      <c r="S10" s="163"/>
      <c r="T10" s="163"/>
      <c r="U10" s="164"/>
      <c r="V10" s="163"/>
      <c r="W10" s="163"/>
      <c r="X10" s="163"/>
      <c r="Y10" s="163"/>
      <c r="Z10" s="163"/>
      <c r="AA10" s="164"/>
      <c r="AB10" s="163"/>
      <c r="AC10" s="163"/>
      <c r="AD10" s="163"/>
      <c r="AE10" s="163"/>
      <c r="AF10" s="163"/>
      <c r="AG10" s="164"/>
      <c r="AH10" s="163"/>
      <c r="AI10" s="163"/>
      <c r="AJ10" s="163"/>
      <c r="AK10" s="163"/>
      <c r="AL10" s="165"/>
      <c r="AM10" s="166"/>
      <c r="AN10" s="165"/>
      <c r="AO10" s="165"/>
      <c r="AP10" s="165"/>
      <c r="AQ10" s="165"/>
      <c r="AR10" s="165"/>
      <c r="AS10" s="166"/>
      <c r="AT10" s="165"/>
      <c r="AU10" s="166"/>
      <c r="AV10" s="165"/>
      <c r="AW10" s="166"/>
      <c r="AX10" s="165"/>
    </row>
    <row r="11" spans="1:50" ht="4.05" customHeight="1" x14ac:dyDescent="0.3">
      <c r="A11" s="44"/>
      <c r="B11" s="158"/>
      <c r="C11" s="20"/>
      <c r="D11" s="159"/>
      <c r="E11" s="159"/>
      <c r="F11" s="159"/>
      <c r="G11" s="159"/>
      <c r="H11" s="159"/>
      <c r="I11" s="20"/>
      <c r="J11" s="159"/>
      <c r="K11" s="159"/>
      <c r="L11" s="159"/>
      <c r="M11" s="159"/>
      <c r="N11" s="159"/>
      <c r="O11" s="160"/>
      <c r="P11" s="159"/>
      <c r="Q11" s="159"/>
      <c r="R11" s="159"/>
      <c r="S11" s="159"/>
      <c r="T11" s="159"/>
      <c r="U11" s="160"/>
      <c r="V11" s="159"/>
      <c r="W11" s="159"/>
      <c r="X11" s="159"/>
      <c r="Y11" s="159"/>
      <c r="Z11" s="159"/>
      <c r="AA11" s="160"/>
      <c r="AB11" s="159"/>
      <c r="AC11" s="159"/>
      <c r="AD11" s="159"/>
      <c r="AE11" s="159"/>
      <c r="AF11" s="159"/>
      <c r="AG11" s="190"/>
      <c r="AH11" s="159"/>
      <c r="AI11" s="159"/>
      <c r="AJ11" s="159"/>
      <c r="AK11" s="159"/>
      <c r="AL11" s="161"/>
      <c r="AM11" s="35"/>
      <c r="AN11" s="161"/>
      <c r="AO11" s="161"/>
      <c r="AP11" s="161"/>
      <c r="AQ11" s="161"/>
      <c r="AR11" s="161"/>
      <c r="AS11" s="35"/>
      <c r="AT11" s="161"/>
      <c r="AU11" s="35"/>
      <c r="AV11" s="161"/>
      <c r="AW11" s="35"/>
      <c r="AX11" s="161"/>
    </row>
    <row r="12" spans="1:50" ht="15" customHeight="1" x14ac:dyDescent="0.3">
      <c r="A12" s="45"/>
      <c r="B12" s="103" t="s">
        <v>666</v>
      </c>
      <c r="D12" s="47"/>
      <c r="E12" s="47"/>
      <c r="F12" s="47"/>
      <c r="G12" s="47"/>
      <c r="H12" s="58"/>
      <c r="I12" s="21"/>
      <c r="J12" s="104"/>
      <c r="K12" s="104"/>
      <c r="L12" s="104"/>
      <c r="M12" s="104"/>
      <c r="N12" s="66"/>
      <c r="O12" s="105"/>
      <c r="P12" s="104"/>
      <c r="Q12" s="104"/>
      <c r="R12" s="104"/>
      <c r="S12" s="104"/>
      <c r="T12" s="105"/>
      <c r="U12" s="105"/>
      <c r="V12" s="104"/>
      <c r="W12" s="104"/>
      <c r="X12" s="104"/>
      <c r="Y12" s="104"/>
      <c r="Z12" s="66"/>
      <c r="AA12" s="105"/>
      <c r="AB12" s="106"/>
      <c r="AC12" s="106"/>
      <c r="AD12" s="106"/>
      <c r="AE12" s="106"/>
      <c r="AF12" s="105"/>
      <c r="AG12" s="107"/>
      <c r="AH12" s="108"/>
      <c r="AI12" s="108"/>
      <c r="AJ12" s="108"/>
      <c r="AK12" s="108"/>
      <c r="AL12" s="105"/>
      <c r="AM12" s="109"/>
      <c r="AN12" s="108"/>
      <c r="AO12" s="108"/>
      <c r="AP12" s="108"/>
      <c r="AQ12" s="108"/>
      <c r="AR12" s="105"/>
      <c r="AS12" s="109"/>
      <c r="AT12" s="105"/>
      <c r="AU12" s="109"/>
      <c r="AV12" s="105"/>
    </row>
    <row r="13" spans="1:50" s="110" customFormat="1" ht="15" customHeight="1" x14ac:dyDescent="0.3">
      <c r="B13" s="111"/>
      <c r="C13" s="112"/>
      <c r="D13" s="47"/>
      <c r="E13" s="47"/>
      <c r="F13" s="47"/>
      <c r="G13" s="47"/>
      <c r="H13" s="66"/>
      <c r="I13" s="66"/>
      <c r="J13" s="104"/>
      <c r="K13" s="104"/>
      <c r="L13" s="104"/>
      <c r="M13" s="104"/>
      <c r="N13" s="66"/>
      <c r="O13" s="113"/>
      <c r="P13" s="104"/>
      <c r="Q13" s="104"/>
      <c r="R13" s="104"/>
      <c r="S13" s="104"/>
      <c r="T13" s="66"/>
      <c r="U13" s="113"/>
      <c r="V13" s="104"/>
      <c r="W13" s="104"/>
      <c r="X13" s="104"/>
      <c r="Y13" s="104"/>
      <c r="Z13" s="66"/>
      <c r="AA13" s="114"/>
      <c r="AB13" s="106"/>
      <c r="AC13" s="106"/>
      <c r="AD13" s="106"/>
      <c r="AE13" s="106"/>
      <c r="AF13" s="66"/>
      <c r="AG13" s="115"/>
      <c r="AH13" s="116"/>
      <c r="AI13" s="116"/>
      <c r="AJ13" s="116"/>
      <c r="AK13" s="116"/>
      <c r="AL13" s="105"/>
      <c r="AM13" s="117"/>
      <c r="AN13" s="116"/>
      <c r="AO13" s="116"/>
      <c r="AP13" s="116"/>
      <c r="AQ13" s="116"/>
      <c r="AR13" s="105"/>
      <c r="AS13" s="117"/>
      <c r="AT13" s="105"/>
      <c r="AU13" s="117"/>
      <c r="AV13" s="105"/>
    </row>
    <row r="14" spans="1:50" ht="15" customHeight="1" x14ac:dyDescent="0.3">
      <c r="A14" s="45" t="s">
        <v>38</v>
      </c>
      <c r="B14" s="111" t="s">
        <v>667</v>
      </c>
      <c r="D14" s="47"/>
      <c r="E14" s="47"/>
      <c r="F14" s="47"/>
      <c r="G14" s="47"/>
      <c r="H14" s="66"/>
      <c r="I14" s="66"/>
      <c r="J14" s="118"/>
      <c r="K14" s="118"/>
      <c r="L14" s="118"/>
      <c r="M14" s="118"/>
      <c r="N14" s="66"/>
      <c r="O14" s="66"/>
      <c r="P14" s="118"/>
      <c r="Q14" s="118"/>
      <c r="R14" s="118"/>
      <c r="S14" s="118"/>
      <c r="T14" s="66"/>
      <c r="U14" s="66"/>
      <c r="V14" s="118"/>
      <c r="W14" s="118"/>
      <c r="X14" s="118"/>
      <c r="Y14" s="118"/>
      <c r="Z14" s="66"/>
      <c r="AA14" s="66"/>
      <c r="AB14" s="119"/>
      <c r="AC14" s="119"/>
      <c r="AD14" s="119"/>
      <c r="AE14" s="119"/>
      <c r="AF14" s="66"/>
      <c r="AG14" s="66"/>
      <c r="AH14" s="120"/>
      <c r="AI14" s="120"/>
      <c r="AJ14" s="120"/>
      <c r="AK14" s="120"/>
      <c r="AL14" s="105"/>
      <c r="AM14" s="121"/>
      <c r="AN14" s="120"/>
      <c r="AO14" s="120"/>
      <c r="AP14" s="120"/>
      <c r="AQ14" s="120"/>
      <c r="AR14" s="105"/>
      <c r="AS14" s="121"/>
      <c r="AT14" s="105"/>
      <c r="AU14" s="121"/>
      <c r="AV14" s="105"/>
    </row>
    <row r="15" spans="1:50" ht="15" customHeight="1" x14ac:dyDescent="0.3">
      <c r="A15" s="45"/>
      <c r="B15" s="122" t="s">
        <v>668</v>
      </c>
      <c r="D15" s="61">
        <v>52.283000000000001</v>
      </c>
      <c r="E15" s="61">
        <v>86.397000000000006</v>
      </c>
      <c r="F15" s="61">
        <v>116.09099999999999</v>
      </c>
      <c r="G15" s="61">
        <v>100.005</v>
      </c>
      <c r="H15" s="66">
        <v>100.005</v>
      </c>
      <c r="I15" s="66"/>
      <c r="J15" s="61">
        <v>105.79900000000001</v>
      </c>
      <c r="K15" s="61">
        <v>101.46599999999999</v>
      </c>
      <c r="L15" s="61">
        <v>95.254999999999995</v>
      </c>
      <c r="M15" s="61">
        <v>592.56500000000005</v>
      </c>
      <c r="N15" s="66">
        <v>592.56500000000005</v>
      </c>
      <c r="O15" s="66"/>
      <c r="P15" s="61">
        <v>480.108</v>
      </c>
      <c r="Q15" s="61">
        <v>417.64</v>
      </c>
      <c r="R15" s="61">
        <v>416.61500000000001</v>
      </c>
      <c r="S15" s="61">
        <v>338.65199999999999</v>
      </c>
      <c r="T15" s="66">
        <v>338.65199999999999</v>
      </c>
      <c r="U15" s="66"/>
      <c r="V15" s="61">
        <v>276.11900000000003</v>
      </c>
      <c r="W15" s="61">
        <v>269.79500000000002</v>
      </c>
      <c r="X15" s="61">
        <v>304.596</v>
      </c>
      <c r="Y15" s="61">
        <v>283.92599999999999</v>
      </c>
      <c r="Z15" s="66">
        <v>283.92599999999999</v>
      </c>
      <c r="AA15" s="66"/>
      <c r="AB15" s="61">
        <v>278.31700000000001</v>
      </c>
      <c r="AC15" s="61">
        <v>370.81099999999998</v>
      </c>
      <c r="AD15" s="61">
        <v>374.12700000000001</v>
      </c>
      <c r="AE15" s="61">
        <v>444.09500000000003</v>
      </c>
      <c r="AF15" s="66">
        <v>444.09500000000003</v>
      </c>
      <c r="AG15" s="66"/>
      <c r="AH15" s="61">
        <v>492.76100000000002</v>
      </c>
      <c r="AI15" s="61">
        <v>494.22199999999998</v>
      </c>
      <c r="AJ15" s="683"/>
      <c r="AK15" s="120"/>
      <c r="AL15" s="105"/>
      <c r="AM15" s="121"/>
      <c r="AN15" s="120"/>
      <c r="AO15" s="120"/>
      <c r="AP15" s="120"/>
      <c r="AQ15" s="120"/>
      <c r="AR15" s="105"/>
      <c r="AS15" s="121"/>
      <c r="AT15" s="105"/>
      <c r="AU15" s="121"/>
      <c r="AV15" s="105"/>
    </row>
    <row r="16" spans="1:50" ht="15" customHeight="1" x14ac:dyDescent="0.3">
      <c r="A16" s="45"/>
      <c r="B16" s="129" t="s">
        <v>669</v>
      </c>
      <c r="D16" s="61">
        <v>0</v>
      </c>
      <c r="E16" s="61">
        <v>0</v>
      </c>
      <c r="F16" s="61">
        <v>23.888000000000002</v>
      </c>
      <c r="G16" s="61">
        <v>28.239000000000001</v>
      </c>
      <c r="H16" s="66">
        <v>28.239000000000001</v>
      </c>
      <c r="I16" s="66"/>
      <c r="J16" s="61">
        <v>27.003</v>
      </c>
      <c r="K16" s="61">
        <v>31.257000000000001</v>
      </c>
      <c r="L16" s="61">
        <v>30.219000000000001</v>
      </c>
      <c r="M16" s="61">
        <v>29.498000000000001</v>
      </c>
      <c r="N16" s="66">
        <v>29.498000000000001</v>
      </c>
      <c r="O16" s="66"/>
      <c r="P16" s="61">
        <v>99.796999999999997</v>
      </c>
      <c r="Q16" s="61">
        <v>93.924000000000007</v>
      </c>
      <c r="R16" s="61">
        <v>80.34</v>
      </c>
      <c r="S16" s="61">
        <v>90.700999999999993</v>
      </c>
      <c r="T16" s="66">
        <v>90.700999999999993</v>
      </c>
      <c r="U16" s="66"/>
      <c r="V16" s="61">
        <v>15.731999999999999</v>
      </c>
      <c r="W16" s="61">
        <v>12.375</v>
      </c>
      <c r="X16" s="61">
        <v>97.495000000000005</v>
      </c>
      <c r="Y16" s="61">
        <v>101.836</v>
      </c>
      <c r="Z16" s="66">
        <v>101.836</v>
      </c>
      <c r="AA16" s="66"/>
      <c r="AB16" s="61">
        <v>67.012</v>
      </c>
      <c r="AC16" s="61">
        <v>46.78</v>
      </c>
      <c r="AD16" s="61">
        <v>40.655000000000001</v>
      </c>
      <c r="AE16" s="61">
        <v>36.65</v>
      </c>
      <c r="AF16" s="66">
        <v>36.65</v>
      </c>
      <c r="AG16" s="66"/>
      <c r="AH16" s="61">
        <v>35.521000000000001</v>
      </c>
      <c r="AI16" s="61">
        <v>52.134</v>
      </c>
      <c r="AJ16" s="683" t="e">
        <f ca="1">_xll.BDH(Inputs!$D$15,"BS_MKT_SEC_OTHER_ST_INVEST","F"&amp;AJ$9&amp;AJ$7,"F"&amp;AJ$9&amp;AJ$7,"Currency="&amp;Inputs!$D$13,"Period=FQ","BEST_FPERIOD_OVERRIDE=FQ","FILING_STATUS=MR","SCALING_FORMAT="&amp;Inputs!$D$14,"FA_ADJUSTED=Adjusted","Sort=A","Dates=H","DateFormat=P","Fill=0","Direction=H","UseDPDF=Y")</f>
        <v>#NAME?</v>
      </c>
      <c r="AK16" s="120"/>
      <c r="AL16" s="105"/>
      <c r="AM16" s="121"/>
      <c r="AN16" s="120"/>
      <c r="AO16" s="120"/>
      <c r="AP16" s="120"/>
      <c r="AQ16" s="120"/>
      <c r="AR16" s="105"/>
      <c r="AS16" s="121"/>
      <c r="AT16" s="105"/>
      <c r="AU16" s="121"/>
      <c r="AV16" s="105"/>
    </row>
    <row r="17" spans="1:48" s="110" customFormat="1" ht="15" customHeight="1" x14ac:dyDescent="0.3">
      <c r="B17" s="129" t="s">
        <v>670</v>
      </c>
      <c r="C17" s="112"/>
      <c r="D17" s="61">
        <v>52.283000000000001</v>
      </c>
      <c r="E17" s="61">
        <v>86.397000000000006</v>
      </c>
      <c r="F17" s="61">
        <v>92.203000000000003</v>
      </c>
      <c r="G17" s="61">
        <v>71.766000000000005</v>
      </c>
      <c r="H17" s="66">
        <v>71.766000000000005</v>
      </c>
      <c r="I17" s="66"/>
      <c r="J17" s="61">
        <v>78.796000000000006</v>
      </c>
      <c r="K17" s="61">
        <v>70.209000000000003</v>
      </c>
      <c r="L17" s="61">
        <v>65.036000000000001</v>
      </c>
      <c r="M17" s="61">
        <v>563.06700000000001</v>
      </c>
      <c r="N17" s="66">
        <v>563.06700000000001</v>
      </c>
      <c r="O17" s="66"/>
      <c r="P17" s="61">
        <v>380.31099999999998</v>
      </c>
      <c r="Q17" s="61">
        <v>323.71600000000001</v>
      </c>
      <c r="R17" s="61">
        <v>336.27499999999998</v>
      </c>
      <c r="S17" s="61">
        <v>247.95099999999999</v>
      </c>
      <c r="T17" s="66">
        <v>247.95099999999999</v>
      </c>
      <c r="U17" s="66"/>
      <c r="V17" s="61">
        <v>260.387</v>
      </c>
      <c r="W17" s="61">
        <v>257.42</v>
      </c>
      <c r="X17" s="61">
        <v>207.101</v>
      </c>
      <c r="Y17" s="61">
        <v>182.09</v>
      </c>
      <c r="Z17" s="66">
        <v>182.09</v>
      </c>
      <c r="AA17" s="66"/>
      <c r="AB17" s="61">
        <v>211.30500000000001</v>
      </c>
      <c r="AC17" s="61">
        <v>324.03100000000001</v>
      </c>
      <c r="AD17" s="61">
        <v>333.47199999999998</v>
      </c>
      <c r="AE17" s="61">
        <v>407.44499999999999</v>
      </c>
      <c r="AF17" s="66">
        <v>407.44499999999999</v>
      </c>
      <c r="AG17" s="66"/>
      <c r="AH17" s="61">
        <v>457.24</v>
      </c>
      <c r="AI17" s="61">
        <v>442.08800000000002</v>
      </c>
      <c r="AJ17" s="683" t="e">
        <f ca="1">_xll.BDH(Inputs!$D$15,"BS_CASH_NEAR_CASH_ITEM","F"&amp;AJ$9&amp;AJ$7,"F"&amp;AJ$9&amp;AJ$7,"Currency="&amp;Inputs!$D$13,"Period=FQ","BEST_FPERIOD_OVERRIDE=FQ","FILING_STATUS=MR","SCALING_FORMAT="&amp;Inputs!$D$14,"FA_ADJUSTED=Adjusted","Sort=A","Dates=H","DateFormat=P","Fill=0","Direction=H","UseDPDF=Y")</f>
        <v>#NAME?</v>
      </c>
      <c r="AK17" s="120"/>
      <c r="AL17" s="58"/>
      <c r="AM17" s="123"/>
      <c r="AN17" s="47"/>
      <c r="AO17" s="47"/>
      <c r="AP17" s="47"/>
      <c r="AQ17" s="47"/>
      <c r="AR17" s="58"/>
      <c r="AS17" s="123"/>
      <c r="AT17" s="58"/>
      <c r="AU17" s="123"/>
      <c r="AV17" s="58"/>
    </row>
    <row r="18" spans="1:48" s="110" customFormat="1" ht="15" customHeight="1" x14ac:dyDescent="0.25">
      <c r="B18" s="122" t="s">
        <v>671</v>
      </c>
      <c r="C18" s="112"/>
      <c r="D18" s="61">
        <v>37.26</v>
      </c>
      <c r="E18" s="61">
        <v>58.902999999999999</v>
      </c>
      <c r="F18" s="61">
        <v>59.795999999999999</v>
      </c>
      <c r="G18" s="61">
        <v>56.441000000000003</v>
      </c>
      <c r="H18" s="66">
        <v>56.441000000000003</v>
      </c>
      <c r="I18" s="66"/>
      <c r="J18" s="61">
        <v>60.393999999999998</v>
      </c>
      <c r="K18" s="61">
        <v>71.356999999999999</v>
      </c>
      <c r="L18" s="61">
        <v>84.787000000000006</v>
      </c>
      <c r="M18" s="61">
        <v>105.553</v>
      </c>
      <c r="N18" s="66">
        <v>105.553</v>
      </c>
      <c r="O18" s="66"/>
      <c r="P18" s="61">
        <v>106.351</v>
      </c>
      <c r="Q18" s="61">
        <v>154.62700000000001</v>
      </c>
      <c r="R18" s="61">
        <v>188.34100000000001</v>
      </c>
      <c r="S18" s="61">
        <v>182.93600000000001</v>
      </c>
      <c r="T18" s="66">
        <v>182.93600000000001</v>
      </c>
      <c r="U18" s="66"/>
      <c r="V18" s="61">
        <v>186.13</v>
      </c>
      <c r="W18" s="61">
        <v>200.745</v>
      </c>
      <c r="X18" s="61">
        <v>248.477</v>
      </c>
      <c r="Y18" s="61">
        <v>283.18599999999998</v>
      </c>
      <c r="Z18" s="66">
        <v>283.18599999999998</v>
      </c>
      <c r="AA18" s="66"/>
      <c r="AB18" s="61">
        <v>296.37099999999998</v>
      </c>
      <c r="AC18" s="61">
        <v>293.49900000000002</v>
      </c>
      <c r="AD18" s="61">
        <v>370.589</v>
      </c>
      <c r="AE18" s="61">
        <v>387.04500000000002</v>
      </c>
      <c r="AF18" s="66">
        <v>387.04500000000002</v>
      </c>
      <c r="AG18" s="66"/>
      <c r="AH18" s="61">
        <v>387.84899999999999</v>
      </c>
      <c r="AI18" s="61">
        <v>433.66199999999998</v>
      </c>
      <c r="AJ18" s="683" t="e">
        <f ca="1">_xll.BDH(Inputs!$D$15,"BS_ACCT_NOTE_RCV","F"&amp;AJ$9&amp;AJ$7,"F"&amp;AJ$9&amp;AJ$7,"Currency="&amp;Inputs!$D$13,"Period=FQ","BEST_FPERIOD_OVERRIDE=FQ","FILING_STATUS=MR","SCALING_FORMAT="&amp;Inputs!$D$14,"FA_ADJUSTED=Adjusted","Sort=A","Dates=H","DateFormat=P","Fill=0","Direction=H","UseDPDF=Y")</f>
        <v>#NAME?</v>
      </c>
      <c r="AK18" s="51">
        <v>13586.95652173913</v>
      </c>
      <c r="AL18" s="59">
        <v>13586.95652173913</v>
      </c>
      <c r="AM18" s="123"/>
      <c r="AN18" s="51">
        <v>12222.222222222223</v>
      </c>
      <c r="AO18" s="51">
        <v>12087.912087912087</v>
      </c>
      <c r="AP18" s="51">
        <v>11956.521739130434</v>
      </c>
      <c r="AQ18" s="51">
        <v>11956.521739130434</v>
      </c>
      <c r="AR18" s="59">
        <v>11956.521739130434</v>
      </c>
      <c r="AS18" s="123"/>
      <c r="AT18" s="59">
        <v>12328.767123287671</v>
      </c>
      <c r="AU18" s="123"/>
      <c r="AV18" s="59">
        <v>11885.245901639344</v>
      </c>
    </row>
    <row r="19" spans="1:48" ht="15" customHeight="1" x14ac:dyDescent="0.3">
      <c r="A19" s="44"/>
      <c r="B19" s="122" t="s">
        <v>485</v>
      </c>
      <c r="D19" s="61">
        <v>44.987000000000002</v>
      </c>
      <c r="E19" s="61">
        <v>49.771999999999998</v>
      </c>
      <c r="F19" s="61">
        <v>64.182000000000002</v>
      </c>
      <c r="G19" s="61">
        <v>88.638999999999996</v>
      </c>
      <c r="H19" s="66">
        <v>88.638999999999996</v>
      </c>
      <c r="I19" s="66"/>
      <c r="J19" s="61">
        <v>103.226</v>
      </c>
      <c r="K19" s="61">
        <v>136.852</v>
      </c>
      <c r="L19" s="61">
        <v>176.60900000000001</v>
      </c>
      <c r="M19" s="61">
        <v>218.11600000000001</v>
      </c>
      <c r="N19" s="66">
        <v>218.11600000000001</v>
      </c>
      <c r="O19" s="66"/>
      <c r="P19" s="61">
        <v>271.53800000000001</v>
      </c>
      <c r="Q19" s="61">
        <v>288.08</v>
      </c>
      <c r="R19" s="61">
        <v>327.79199999999997</v>
      </c>
      <c r="S19" s="61">
        <v>393.17200000000003</v>
      </c>
      <c r="T19" s="66">
        <v>393.17200000000003</v>
      </c>
      <c r="U19" s="66"/>
      <c r="V19" s="61">
        <v>473.29899999999998</v>
      </c>
      <c r="W19" s="61">
        <v>471.09399999999999</v>
      </c>
      <c r="X19" s="61">
        <v>507.43099999999998</v>
      </c>
      <c r="Y19" s="61">
        <v>545.39499999999998</v>
      </c>
      <c r="Z19" s="66">
        <v>545.39499999999998</v>
      </c>
      <c r="AA19" s="66"/>
      <c r="AB19" s="61">
        <v>581.14</v>
      </c>
      <c r="AC19" s="61">
        <v>602.92700000000002</v>
      </c>
      <c r="AD19" s="61">
        <v>628.72</v>
      </c>
      <c r="AE19" s="61">
        <v>597.98400000000004</v>
      </c>
      <c r="AF19" s="66">
        <v>597.98400000000004</v>
      </c>
      <c r="AG19" s="66"/>
      <c r="AH19" s="61">
        <v>609.56700000000001</v>
      </c>
      <c r="AI19" s="61">
        <v>648.27800000000002</v>
      </c>
      <c r="AJ19" s="683" t="e">
        <f ca="1">_xll.BDH(Inputs!$D$15,"BS_INVENTORIES","F"&amp;AJ$9&amp;AJ$7,"F"&amp;AJ$9&amp;AJ$7,"Currency="&amp;Inputs!$D$13,"Period=FQ","BEST_FPERIOD_OVERRIDE=FQ","FILING_STATUS=MR","SCALING_FORMAT="&amp;Inputs!$D$14,"FA_ADJUSTED=Adjusted","Sort=A","Dates=H","DateFormat=P","Fill=0","Direction=H","UseDPDF=Y")</f>
        <v>#NAME?</v>
      </c>
      <c r="AK19" s="51">
        <v>15489.130434782608</v>
      </c>
      <c r="AL19" s="59">
        <v>15489.130434782608</v>
      </c>
      <c r="AM19" s="121"/>
      <c r="AN19" s="51">
        <v>11836.95652173913</v>
      </c>
      <c r="AO19" s="51">
        <v>12913.04347826087</v>
      </c>
      <c r="AP19" s="51">
        <v>12195.652173913046</v>
      </c>
      <c r="AQ19" s="51">
        <v>10043.478260869566</v>
      </c>
      <c r="AR19" s="59">
        <v>10043.478260869566</v>
      </c>
      <c r="AS19" s="121"/>
      <c r="AT19" s="59">
        <v>13315.068493150686</v>
      </c>
      <c r="AU19" s="121"/>
      <c r="AV19" s="59">
        <v>10696.72131147541</v>
      </c>
    </row>
    <row r="20" spans="1:48" s="110" customFormat="1" ht="15" customHeight="1" x14ac:dyDescent="0.25">
      <c r="B20" s="122" t="s">
        <v>672</v>
      </c>
      <c r="C20" s="112"/>
      <c r="D20" s="47">
        <v>1.9850000000000001</v>
      </c>
      <c r="E20" s="47">
        <v>3.157</v>
      </c>
      <c r="F20" s="47">
        <v>5.5309999999999997</v>
      </c>
      <c r="G20" s="47">
        <v>5.8920000000000003</v>
      </c>
      <c r="H20" s="66">
        <f>G20</f>
        <v>5.8920000000000003</v>
      </c>
      <c r="I20" s="66"/>
      <c r="J20" s="47">
        <v>5.9169999999999998</v>
      </c>
      <c r="K20" s="47">
        <v>8.9529999999999994</v>
      </c>
      <c r="L20" s="47">
        <v>7.5309999999999997</v>
      </c>
      <c r="M20" s="47">
        <v>16.638999999999999</v>
      </c>
      <c r="N20" s="66">
        <f>M20</f>
        <v>16.638999999999999</v>
      </c>
      <c r="O20" s="66"/>
      <c r="P20" s="47">
        <v>21.771000000000001</v>
      </c>
      <c r="Q20" s="47">
        <v>18.850999999999999</v>
      </c>
      <c r="R20" s="47">
        <v>17.771000000000001</v>
      </c>
      <c r="S20" s="47">
        <v>15.606999999999999</v>
      </c>
      <c r="T20" s="66">
        <f>S20</f>
        <v>15.606999999999999</v>
      </c>
      <c r="U20" s="66"/>
      <c r="V20" s="47">
        <v>19.318999999999999</v>
      </c>
      <c r="W20" s="47">
        <v>18.97</v>
      </c>
      <c r="X20" s="47">
        <v>17.54</v>
      </c>
      <c r="Y20" s="47">
        <v>20.023</v>
      </c>
      <c r="Z20" s="66">
        <f>Y20</f>
        <v>20.023</v>
      </c>
      <c r="AA20" s="66"/>
      <c r="AB20" s="47">
        <v>20.065999999999999</v>
      </c>
      <c r="AC20" s="47">
        <v>18.594000000000001</v>
      </c>
      <c r="AD20" s="47">
        <v>10.794</v>
      </c>
      <c r="AE20" s="47">
        <v>7.5069999999999997</v>
      </c>
      <c r="AF20" s="66">
        <f>AE20</f>
        <v>7.5069999999999997</v>
      </c>
      <c r="AG20" s="66"/>
      <c r="AH20" s="47">
        <v>10.677</v>
      </c>
      <c r="AI20" s="47">
        <v>14.303000000000001</v>
      </c>
      <c r="AJ20" s="47" t="e">
        <f ca="1">AJ21-AJ15-AJ18-AJ19</f>
        <v>#NAME?</v>
      </c>
      <c r="AK20" s="51">
        <v>1250</v>
      </c>
      <c r="AL20" s="75">
        <v>1250</v>
      </c>
      <c r="AM20" s="124"/>
      <c r="AN20" s="51">
        <v>1100</v>
      </c>
      <c r="AO20" s="51">
        <v>1100</v>
      </c>
      <c r="AP20" s="51">
        <v>1100</v>
      </c>
      <c r="AQ20" s="51">
        <v>1100</v>
      </c>
      <c r="AR20" s="75">
        <v>1100</v>
      </c>
      <c r="AS20" s="124"/>
      <c r="AT20" s="75">
        <v>4500</v>
      </c>
      <c r="AU20" s="124"/>
      <c r="AV20" s="75">
        <v>4350</v>
      </c>
    </row>
    <row r="21" spans="1:48" s="126" customFormat="1" ht="15" customHeight="1" x14ac:dyDescent="0.25">
      <c r="A21" s="84"/>
      <c r="B21" s="60" t="s">
        <v>673</v>
      </c>
      <c r="C21" s="27"/>
      <c r="D21" s="61">
        <v>198.477</v>
      </c>
      <c r="E21" s="61">
        <v>205.88</v>
      </c>
      <c r="F21" s="61">
        <v>251.77699999999999</v>
      </c>
      <c r="G21" s="61">
        <v>260.65600000000001</v>
      </c>
      <c r="H21" s="66">
        <v>260.65600000000001</v>
      </c>
      <c r="I21" s="66"/>
      <c r="J21" s="61">
        <v>286.55200000000002</v>
      </c>
      <c r="K21" s="61">
        <v>329.36099999999999</v>
      </c>
      <c r="L21" s="61">
        <v>377.34699999999998</v>
      </c>
      <c r="M21" s="61">
        <v>952.93399999999997</v>
      </c>
      <c r="N21" s="66">
        <v>952.93399999999997</v>
      </c>
      <c r="O21" s="66"/>
      <c r="P21" s="61">
        <v>904.97699999999998</v>
      </c>
      <c r="Q21" s="61">
        <v>900.62800000000004</v>
      </c>
      <c r="R21" s="61">
        <v>971.24199999999996</v>
      </c>
      <c r="S21" s="61">
        <v>963.80600000000004</v>
      </c>
      <c r="T21" s="66">
        <v>963.80600000000004</v>
      </c>
      <c r="U21" s="66"/>
      <c r="V21" s="61">
        <v>993.81100000000004</v>
      </c>
      <c r="W21" s="61">
        <v>996.83199999999999</v>
      </c>
      <c r="X21" s="61">
        <v>1115.894</v>
      </c>
      <c r="Y21" s="61">
        <v>1176.1099999999999</v>
      </c>
      <c r="Z21" s="66">
        <v>1176.1099999999999</v>
      </c>
      <c r="AA21" s="66"/>
      <c r="AB21" s="61">
        <v>1229.356</v>
      </c>
      <c r="AC21" s="61">
        <v>1343.162</v>
      </c>
      <c r="AD21" s="61">
        <v>1445.3140000000001</v>
      </c>
      <c r="AE21" s="61">
        <v>1483.3789999999999</v>
      </c>
      <c r="AF21" s="66">
        <v>1483.3789999999999</v>
      </c>
      <c r="AG21" s="66"/>
      <c r="AH21" s="61">
        <v>1547.874</v>
      </c>
      <c r="AI21" s="61">
        <v>1645.653</v>
      </c>
      <c r="AJ21" s="683" t="e">
        <f ca="1">_xll.BDH(Inputs!$D$15,"BS_CUR_ASSET_REPORT","F"&amp;AJ$9&amp;AJ$7,"F"&amp;AJ$9&amp;AJ$7,"Currency="&amp;Inputs!$D$13,"Period=FQ","BEST_FPERIOD_OVERRIDE=FQ","FILING_STATUS=MR","SCALING_FORMAT="&amp;Inputs!$D$14,"FA_ADJUSTED=Adjusted","Sort=A","Dates=H","DateFormat=P","Fill=0","Direction=H","UseDPDF=Y")</f>
        <v>#NAME?</v>
      </c>
      <c r="AK21" s="51"/>
      <c r="AL21" s="78"/>
      <c r="AM21" s="125"/>
      <c r="AN21" s="51"/>
      <c r="AO21" s="51"/>
      <c r="AP21" s="51"/>
      <c r="AQ21" s="51"/>
      <c r="AR21" s="78"/>
      <c r="AS21" s="125"/>
      <c r="AT21" s="78"/>
      <c r="AU21" s="125"/>
      <c r="AV21" s="78"/>
    </row>
    <row r="22" spans="1:48" ht="15" customHeight="1" x14ac:dyDescent="0.3">
      <c r="A22" s="44"/>
      <c r="B22" s="127"/>
      <c r="D22" s="47"/>
      <c r="E22" s="47"/>
      <c r="F22" s="47"/>
      <c r="G22" s="47"/>
      <c r="H22" s="66"/>
      <c r="I22" s="66"/>
      <c r="J22" s="47"/>
      <c r="K22" s="47"/>
      <c r="L22" s="47"/>
      <c r="M22" s="47"/>
      <c r="N22" s="66"/>
      <c r="O22" s="66"/>
      <c r="P22" s="47"/>
      <c r="Q22" s="47"/>
      <c r="R22" s="47"/>
      <c r="S22" s="47"/>
      <c r="T22" s="66"/>
      <c r="U22" s="66"/>
      <c r="V22" s="47"/>
      <c r="W22" s="47"/>
      <c r="X22" s="47"/>
      <c r="Y22" s="47"/>
      <c r="Z22" s="66"/>
      <c r="AA22" s="66"/>
      <c r="AB22" s="47"/>
      <c r="AC22" s="47"/>
      <c r="AD22" s="47"/>
      <c r="AE22" s="47"/>
      <c r="AF22" s="66"/>
      <c r="AG22" s="66"/>
      <c r="AH22" s="47"/>
      <c r="AI22" s="47"/>
      <c r="AJ22" s="47"/>
      <c r="AK22" s="51"/>
      <c r="AL22" s="68"/>
      <c r="AM22" s="121"/>
      <c r="AN22" s="51"/>
      <c r="AO22" s="51"/>
      <c r="AP22" s="51"/>
      <c r="AQ22" s="51"/>
      <c r="AR22" s="68"/>
      <c r="AS22" s="121"/>
      <c r="AT22" s="68"/>
      <c r="AU22" s="121"/>
      <c r="AV22" s="68"/>
    </row>
    <row r="23" spans="1:48" s="110" customFormat="1" ht="15" customHeight="1" x14ac:dyDescent="0.25">
      <c r="A23" s="45" t="s">
        <v>38</v>
      </c>
      <c r="B23" s="46" t="s">
        <v>674</v>
      </c>
      <c r="C23" s="112"/>
      <c r="D23" s="47"/>
      <c r="E23" s="47"/>
      <c r="F23" s="47"/>
      <c r="G23" s="47"/>
      <c r="H23" s="66"/>
      <c r="I23" s="66"/>
      <c r="J23" s="47"/>
      <c r="K23" s="47"/>
      <c r="L23" s="47"/>
      <c r="M23" s="47"/>
      <c r="N23" s="66"/>
      <c r="O23" s="66"/>
      <c r="P23" s="47"/>
      <c r="Q23" s="47"/>
      <c r="R23" s="47"/>
      <c r="S23" s="47"/>
      <c r="T23" s="66"/>
      <c r="U23" s="66"/>
      <c r="V23" s="47"/>
      <c r="W23" s="47"/>
      <c r="X23" s="47"/>
      <c r="Y23" s="47"/>
      <c r="Z23" s="66"/>
      <c r="AA23" s="66"/>
      <c r="AB23" s="47"/>
      <c r="AC23" s="47"/>
      <c r="AD23" s="47"/>
      <c r="AE23" s="47"/>
      <c r="AF23" s="66"/>
      <c r="AG23" s="66"/>
      <c r="AH23" s="47"/>
      <c r="AI23" s="47"/>
      <c r="AJ23" s="47"/>
      <c r="AK23" s="51"/>
      <c r="AL23" s="68"/>
      <c r="AM23" s="124"/>
      <c r="AN23" s="51"/>
      <c r="AO23" s="51"/>
      <c r="AP23" s="51"/>
      <c r="AQ23" s="51"/>
      <c r="AR23" s="68"/>
      <c r="AS23" s="124"/>
      <c r="AT23" s="68"/>
      <c r="AU23" s="124"/>
      <c r="AV23" s="68"/>
    </row>
    <row r="24" spans="1:48" ht="15" customHeight="1" x14ac:dyDescent="0.3">
      <c r="A24" s="44"/>
      <c r="B24" s="122" t="s">
        <v>488</v>
      </c>
      <c r="D24" s="61">
        <v>7.0419999999999998</v>
      </c>
      <c r="E24" s="61">
        <v>8.6039999999999992</v>
      </c>
      <c r="F24" s="61">
        <v>19.826000000000001</v>
      </c>
      <c r="G24" s="61">
        <v>22.135000000000002</v>
      </c>
      <c r="H24" s="66">
        <v>22.135000000000002</v>
      </c>
      <c r="I24" s="66"/>
      <c r="J24" s="61">
        <v>23.65</v>
      </c>
      <c r="K24" s="61">
        <v>23.835999999999999</v>
      </c>
      <c r="L24" s="61">
        <v>24.16</v>
      </c>
      <c r="M24" s="61">
        <v>27.890999999999998</v>
      </c>
      <c r="N24" s="66">
        <v>27.890999999999998</v>
      </c>
      <c r="O24" s="66"/>
      <c r="P24" s="61">
        <v>71.369</v>
      </c>
      <c r="Q24" s="61">
        <v>69.835999999999999</v>
      </c>
      <c r="R24" s="61">
        <v>77.664000000000001</v>
      </c>
      <c r="S24" s="61">
        <v>94.055999999999997</v>
      </c>
      <c r="T24" s="66">
        <v>94.055999999999997</v>
      </c>
      <c r="U24" s="66"/>
      <c r="V24" s="61">
        <v>166.07300000000001</v>
      </c>
      <c r="W24" s="61">
        <v>175.11199999999999</v>
      </c>
      <c r="X24" s="61">
        <v>206.36500000000001</v>
      </c>
      <c r="Y24" s="61">
        <v>217.24100000000001</v>
      </c>
      <c r="Z24" s="66">
        <v>217.24100000000001</v>
      </c>
      <c r="AA24" s="66"/>
      <c r="AB24" s="61">
        <v>233.625</v>
      </c>
      <c r="AC24" s="61">
        <v>243.208</v>
      </c>
      <c r="AD24" s="61">
        <v>264.09899999999999</v>
      </c>
      <c r="AE24" s="61">
        <v>283.31</v>
      </c>
      <c r="AF24" s="66">
        <v>283.31</v>
      </c>
      <c r="AG24" s="66"/>
      <c r="AH24" s="61">
        <v>294.81200000000001</v>
      </c>
      <c r="AI24" s="61">
        <v>308.22899999999998</v>
      </c>
      <c r="AJ24" s="683" t="e">
        <f ca="1">_xll.BDH(Inputs!$D$15,"BS_NET_FIX_ASSET
","F"&amp;AJ$9&amp;AJ$7,"F"&amp;AJ$9&amp;AJ$7,"Currency="&amp;Inputs!$D$13,"Period=FQ","BEST_FPERIOD_OVERRIDE=FQ","FILING_STATUS=MR","SCALING_FORMAT="&amp;Inputs!$D$14,"FA_ADJUSTED=Adjusted","Sort=A","Dates=H","DateFormat=P","Fill=0","Direction=H","UseDPDF=Y")</f>
        <v>#NAME?</v>
      </c>
      <c r="AK24" s="51">
        <v>7772.8752550000008</v>
      </c>
      <c r="AL24" s="59">
        <v>7772.8752550000008</v>
      </c>
      <c r="AM24" s="121"/>
      <c r="AN24" s="51">
        <v>9859.2314922500027</v>
      </c>
      <c r="AO24" s="51">
        <v>11724.669917637502</v>
      </c>
      <c r="AP24" s="51">
        <v>13514.436421755629</v>
      </c>
      <c r="AQ24" s="51">
        <v>14996.914600667849</v>
      </c>
      <c r="AR24" s="59">
        <v>14996.914600667849</v>
      </c>
      <c r="AS24" s="121"/>
      <c r="AT24" s="59">
        <v>20475.068870634459</v>
      </c>
      <c r="AU24" s="121"/>
      <c r="AV24" s="59">
        <v>27977.315427102738</v>
      </c>
    </row>
    <row r="25" spans="1:48" s="110" customFormat="1" ht="15" customHeight="1" x14ac:dyDescent="0.25">
      <c r="B25" s="129" t="s">
        <v>675</v>
      </c>
      <c r="C25" s="112"/>
      <c r="D25" s="61">
        <v>10.308</v>
      </c>
      <c r="E25" s="61">
        <v>12.051</v>
      </c>
      <c r="F25" s="61">
        <v>23.577000000000002</v>
      </c>
      <c r="G25" s="61">
        <v>25.88</v>
      </c>
      <c r="H25" s="66">
        <v>25.88</v>
      </c>
      <c r="I25" s="66"/>
      <c r="J25" s="61">
        <v>27.699000000000002</v>
      </c>
      <c r="K25" s="61">
        <v>28.516999999999999</v>
      </c>
      <c r="L25" s="61">
        <v>29.28</v>
      </c>
      <c r="M25" s="61">
        <v>33.790999999999997</v>
      </c>
      <c r="N25" s="66">
        <v>33.790999999999997</v>
      </c>
      <c r="O25" s="66"/>
      <c r="P25" s="61">
        <v>78.206000000000003</v>
      </c>
      <c r="Q25" s="61">
        <v>77.45</v>
      </c>
      <c r="R25" s="61">
        <v>86.174999999999997</v>
      </c>
      <c r="S25" s="61">
        <v>104.10299999999999</v>
      </c>
      <c r="T25" s="66">
        <v>104.10299999999999</v>
      </c>
      <c r="U25" s="66"/>
      <c r="V25" s="61">
        <v>177.77</v>
      </c>
      <c r="W25" s="61">
        <v>188.21199999999999</v>
      </c>
      <c r="X25" s="61">
        <v>221.488</v>
      </c>
      <c r="Y25" s="61">
        <v>234.744</v>
      </c>
      <c r="Z25" s="66">
        <v>234.744</v>
      </c>
      <c r="AA25" s="66"/>
      <c r="AB25" s="61">
        <v>253.15600000000001</v>
      </c>
      <c r="AC25" s="61">
        <v>264.40199999999999</v>
      </c>
      <c r="AD25" s="61">
        <v>287.73</v>
      </c>
      <c r="AE25" s="61">
        <v>308.19200000000001</v>
      </c>
      <c r="AF25" s="66">
        <v>308.19200000000001</v>
      </c>
      <c r="AG25" s="66"/>
      <c r="AH25" s="61">
        <v>322.214</v>
      </c>
      <c r="AI25" s="61">
        <v>339.01499999999999</v>
      </c>
      <c r="AJ25" s="683" t="e">
        <f ca="1">_xll.BDH(Inputs!$D$15,"BS_GROSS_FIX_ASSET
","F"&amp;AJ$9&amp;AJ$7,"F"&amp;AJ$9&amp;AJ$7,"Currency="&amp;Inputs!$D$13,"Period=FQ","BEST_FPERIOD_OVERRIDE=FQ","FILING_STATUS=MR","SCALING_FORMAT="&amp;Inputs!$D$14,"FA_ADJUSTED=Adjusted","Sort=A","Dates=H","DateFormat=P","Fill=0","Direction=H","UseDPDF=Y")</f>
        <v>#NAME?</v>
      </c>
      <c r="AK25" s="51"/>
      <c r="AL25" s="59"/>
      <c r="AM25" s="124"/>
      <c r="AN25" s="51"/>
      <c r="AO25" s="51"/>
      <c r="AP25" s="51"/>
      <c r="AQ25" s="51"/>
      <c r="AR25" s="59"/>
      <c r="AS25" s="124"/>
      <c r="AT25" s="59"/>
      <c r="AU25" s="124"/>
      <c r="AV25" s="59"/>
    </row>
    <row r="26" spans="1:48" ht="15" customHeight="1" x14ac:dyDescent="0.3">
      <c r="A26" s="44"/>
      <c r="B26" s="129" t="s">
        <v>676</v>
      </c>
      <c r="D26" s="61">
        <v>3.266</v>
      </c>
      <c r="E26" s="61">
        <v>3.4470000000000001</v>
      </c>
      <c r="F26" s="61">
        <v>3.7509999999999999</v>
      </c>
      <c r="G26" s="61">
        <v>3.7450000000000001</v>
      </c>
      <c r="H26" s="66">
        <v>3.7450000000000001</v>
      </c>
      <c r="I26" s="66"/>
      <c r="J26" s="61">
        <v>4.0490000000000004</v>
      </c>
      <c r="K26" s="61">
        <v>4.681</v>
      </c>
      <c r="L26" s="61">
        <v>5.12</v>
      </c>
      <c r="M26" s="61">
        <v>5.9</v>
      </c>
      <c r="N26" s="66">
        <v>5.9</v>
      </c>
      <c r="O26" s="66"/>
      <c r="P26" s="61">
        <v>6.8369999999999997</v>
      </c>
      <c r="Q26" s="61">
        <v>7.6139999999999999</v>
      </c>
      <c r="R26" s="61">
        <v>8.5109999999999992</v>
      </c>
      <c r="S26" s="61">
        <v>10.047000000000001</v>
      </c>
      <c r="T26" s="66">
        <v>10.047000000000001</v>
      </c>
      <c r="U26" s="66"/>
      <c r="V26" s="61">
        <v>11.696999999999999</v>
      </c>
      <c r="W26" s="61">
        <v>13.1</v>
      </c>
      <c r="X26" s="61">
        <v>15.122999999999999</v>
      </c>
      <c r="Y26" s="61">
        <v>17.503</v>
      </c>
      <c r="Z26" s="66">
        <v>17.503</v>
      </c>
      <c r="AA26" s="66"/>
      <c r="AB26" s="61">
        <v>19.530999999999999</v>
      </c>
      <c r="AC26" s="61">
        <v>21.193999999999999</v>
      </c>
      <c r="AD26" s="61">
        <v>23.631</v>
      </c>
      <c r="AE26" s="61">
        <v>24.882000000000001</v>
      </c>
      <c r="AF26" s="66">
        <v>24.882000000000001</v>
      </c>
      <c r="AG26" s="66"/>
      <c r="AH26" s="61">
        <v>27.402000000000001</v>
      </c>
      <c r="AI26" s="61">
        <v>30.786000000000001</v>
      </c>
      <c r="AJ26" s="683" t="e">
        <f ca="1">_xll.BDH(Inputs!$D$15,"BS_ACCUM_DEPR
","F"&amp;AJ$9&amp;AJ$7,"F"&amp;AJ$9&amp;AJ$7,"Currency="&amp;Inputs!$D$13,"Period=FQ","BEST_FPERIOD_OVERRIDE=FQ","FILING_STATUS=MR","SCALING_FORMAT="&amp;Inputs!$D$14,"FA_ADJUSTED=Adjusted","Sort=A","Dates=H","DateFormat=P","Fill=0","Direction=H","UseDPDF=Y")</f>
        <v>#NAME?</v>
      </c>
      <c r="AK26" s="51"/>
      <c r="AL26" s="59"/>
      <c r="AM26" s="121"/>
      <c r="AN26" s="51"/>
      <c r="AO26" s="51"/>
      <c r="AP26" s="51"/>
      <c r="AQ26" s="51"/>
      <c r="AR26" s="59"/>
      <c r="AS26" s="121"/>
      <c r="AT26" s="59"/>
      <c r="AU26" s="121"/>
      <c r="AV26" s="59"/>
    </row>
    <row r="27" spans="1:48" ht="15" customHeight="1" x14ac:dyDescent="0.3">
      <c r="A27" s="44"/>
      <c r="B27" s="122" t="s">
        <v>490</v>
      </c>
      <c r="D27" s="61">
        <v>0</v>
      </c>
      <c r="E27" s="61">
        <v>0</v>
      </c>
      <c r="F27" s="61">
        <v>0</v>
      </c>
      <c r="G27" s="61">
        <v>0</v>
      </c>
      <c r="H27" s="66">
        <v>0</v>
      </c>
      <c r="I27" s="66"/>
      <c r="J27" s="61">
        <v>0</v>
      </c>
      <c r="K27" s="61">
        <v>0</v>
      </c>
      <c r="L27" s="61">
        <v>0</v>
      </c>
      <c r="M27" s="61">
        <v>0</v>
      </c>
      <c r="N27" s="66">
        <v>0</v>
      </c>
      <c r="O27" s="66"/>
      <c r="P27" s="61">
        <v>0.748</v>
      </c>
      <c r="Q27" s="61">
        <v>0.66100000000000003</v>
      </c>
      <c r="R27" s="61">
        <v>0.873</v>
      </c>
      <c r="S27" s="61">
        <v>1.2549999999999999</v>
      </c>
      <c r="T27" s="66">
        <v>1.3</v>
      </c>
      <c r="U27" s="66"/>
      <c r="V27" s="61">
        <v>1.2330000000000001</v>
      </c>
      <c r="W27" s="61">
        <v>2.1070000000000002</v>
      </c>
      <c r="X27" s="61">
        <v>2.1629999999999998</v>
      </c>
      <c r="Y27" s="61">
        <v>2.5379999999999998</v>
      </c>
      <c r="Z27" s="66">
        <v>3</v>
      </c>
      <c r="AA27" s="66"/>
      <c r="AB27" s="61">
        <v>2.8359999999999999</v>
      </c>
      <c r="AC27" s="61">
        <v>2.8380000000000001</v>
      </c>
      <c r="AD27" s="61">
        <v>3.4609999999999999</v>
      </c>
      <c r="AE27" s="61">
        <v>2.9969999999999999</v>
      </c>
      <c r="AF27" s="284">
        <v>3.5</v>
      </c>
      <c r="AG27" s="66"/>
      <c r="AH27" s="61">
        <v>2.9969999999999999</v>
      </c>
      <c r="AI27" s="61">
        <v>2.8490000000000002</v>
      </c>
      <c r="AJ27" s="683" t="e">
        <f ca="1">_xll.BDH(Inputs!$D$15,"OTHER_INTANGIBLE_ASSETS_DETAILED
","F"&amp;AJ$9&amp;AJ$7,"F"&amp;AJ$9&amp;AJ$7,"Currency="&amp;Inputs!$D$13,"Period=FQ","BEST_FPERIOD_OVERRIDE=FQ","FILING_STATUS=MR","SCALING_FORMAT="&amp;$D$9,"FA_ADJUSTED=Adjusted","Sort=A","Dates=H","DateFormat=P","Fill=0","Direction=H","UseDPDF=Y")</f>
        <v>#NAME?</v>
      </c>
      <c r="AK27" s="51"/>
      <c r="AL27" s="59"/>
      <c r="AM27" s="121"/>
      <c r="AN27" s="51"/>
      <c r="AO27" s="51"/>
      <c r="AP27" s="51"/>
      <c r="AQ27" s="51"/>
      <c r="AR27" s="59"/>
      <c r="AS27" s="121"/>
      <c r="AT27" s="59"/>
      <c r="AU27" s="121"/>
      <c r="AV27" s="59"/>
    </row>
    <row r="28" spans="1:48" ht="15" customHeight="1" x14ac:dyDescent="0.3">
      <c r="A28" s="44"/>
      <c r="B28" s="122" t="s">
        <v>677</v>
      </c>
      <c r="D28" s="61">
        <v>0</v>
      </c>
      <c r="E28" s="61">
        <v>0</v>
      </c>
      <c r="F28" s="61">
        <v>0</v>
      </c>
      <c r="G28" s="61">
        <v>0</v>
      </c>
      <c r="H28" s="66">
        <v>0</v>
      </c>
      <c r="I28" s="66"/>
      <c r="J28" s="61">
        <v>0</v>
      </c>
      <c r="K28" s="61">
        <v>0</v>
      </c>
      <c r="L28" s="61">
        <v>0</v>
      </c>
      <c r="M28" s="61">
        <v>0</v>
      </c>
      <c r="N28" s="66">
        <v>0</v>
      </c>
      <c r="O28" s="66"/>
      <c r="P28" s="61">
        <v>0</v>
      </c>
      <c r="Q28" s="61">
        <v>0</v>
      </c>
      <c r="R28" s="61">
        <v>0</v>
      </c>
      <c r="S28" s="61">
        <v>0</v>
      </c>
      <c r="T28" s="66"/>
      <c r="U28" s="66"/>
      <c r="V28" s="61">
        <v>0</v>
      </c>
      <c r="W28" s="61">
        <v>0</v>
      </c>
      <c r="X28" s="61">
        <v>0</v>
      </c>
      <c r="Y28" s="61">
        <v>0</v>
      </c>
      <c r="Z28" s="66">
        <v>0</v>
      </c>
      <c r="AA28" s="66"/>
      <c r="AB28" s="61">
        <v>0</v>
      </c>
      <c r="AC28" s="61">
        <v>0</v>
      </c>
      <c r="AD28" s="61">
        <v>0</v>
      </c>
      <c r="AE28" s="61">
        <v>0</v>
      </c>
      <c r="AF28" s="66">
        <v>0</v>
      </c>
      <c r="AG28" s="66"/>
      <c r="AH28" s="61">
        <v>0</v>
      </c>
      <c r="AI28" s="61">
        <v>0</v>
      </c>
      <c r="AJ28" s="683" t="e">
        <f ca="1">_xll.BDH(Inputs!$D$15,"BS_GOODWILL
","F"&amp;AJ$9&amp;AJ$7,"F"&amp;AJ$9&amp;AJ$7,"Currency="&amp;Inputs!$D$13,"Period=FQ","BEST_FPERIOD_OVERRIDE=FQ","FILING_STATUS=MR","SCALING_FORMAT="&amp;Inputs!$D$14,"FA_ADJUSTED=Adjusted","Sort=A","Dates=H","DateFormat=P","Fill=0","Direction=H","UseDPDF=Y")</f>
        <v>#NAME?</v>
      </c>
      <c r="AK28" s="51"/>
      <c r="AL28" s="59"/>
      <c r="AM28" s="128"/>
      <c r="AN28" s="51"/>
      <c r="AO28" s="51"/>
      <c r="AP28" s="51"/>
      <c r="AQ28" s="51"/>
      <c r="AR28" s="59"/>
      <c r="AS28" s="128"/>
      <c r="AT28" s="59"/>
      <c r="AU28" s="128"/>
      <c r="AV28" s="59"/>
    </row>
    <row r="29" spans="1:48" ht="15" customHeight="1" x14ac:dyDescent="0.3">
      <c r="A29" s="44"/>
      <c r="B29" s="122" t="s">
        <v>579</v>
      </c>
      <c r="D29" s="61">
        <v>0</v>
      </c>
      <c r="E29" s="61">
        <v>0</v>
      </c>
      <c r="F29" s="61">
        <v>0</v>
      </c>
      <c r="G29" s="61">
        <v>0</v>
      </c>
      <c r="H29" s="66">
        <v>0</v>
      </c>
      <c r="I29" s="66"/>
      <c r="J29" s="61">
        <v>0</v>
      </c>
      <c r="K29" s="61">
        <v>0</v>
      </c>
      <c r="L29" s="61">
        <v>0</v>
      </c>
      <c r="M29" s="61">
        <v>0</v>
      </c>
      <c r="N29" s="66">
        <v>0</v>
      </c>
      <c r="O29" s="66"/>
      <c r="P29" s="714" t="e">
        <f ca="1">_xll.BDH("ACMR US Equity","OTHER_INTANGIBLE_ASSETS_DETAILED","FQ1 2022","FQ1 2022","Currency=USD","Period=FQ","BEST_FPERIOD_OVERRIDE=FQ","FILING_STATUS=MR","SCALING_FORMAT=MLN","Sort=A","Dates=H","DateFormat=P","Fill=—","Direction=H","UseDPDF=Y")</f>
        <v>#NAME?</v>
      </c>
      <c r="Q29" s="714" t="e">
        <f ca="1">_xll.BDH("ACMR US Equity","OTHER_INTANGIBLE_ASSETS_DETAILED","FQ2 2022","FQ2 2022","Currency=USD","Period=FQ","BEST_FPERIOD_OVERRIDE=FQ","FILING_STATUS=MR","SCALING_FORMAT=MLN","Sort=A","Dates=H","DateFormat=P","Fill=—","Direction=H","UseDPDF=Y")</f>
        <v>#NAME?</v>
      </c>
      <c r="R29" s="714" t="e">
        <f ca="1">_xll.BDH("ACMR US Equity","OTHER_INTANGIBLE_ASSETS_DETAILED","FQ3 2022","FQ3 2022","Currency=USD","Period=FQ","BEST_FPERIOD_OVERRIDE=FQ","FILING_STATUS=MR","SCALING_FORMAT=MLN","Sort=A","Dates=H","DateFormat=P","Fill=—","Direction=H","UseDPDF=Y")</f>
        <v>#NAME?</v>
      </c>
      <c r="S29" s="714" t="e">
        <f ca="1">_xll.BDH("ACMR US Equity","OTHER_INTANGIBLE_ASSETS_DETAILED","FQ4 2022","FQ4 2022","Currency=USD","Period=FQ","BEST_FPERIOD_OVERRIDE=FQ","FILING_STATUS=MR","SCALING_FORMAT=MLN","Sort=A","Dates=H","DateFormat=P","Fill=—","Direction=H","UseDPDF=Y")</f>
        <v>#NAME?</v>
      </c>
      <c r="T29" s="66">
        <v>0</v>
      </c>
      <c r="U29" s="66"/>
      <c r="V29" s="61">
        <v>1.2330000000000001</v>
      </c>
      <c r="W29" s="61">
        <v>2.1070000000000002</v>
      </c>
      <c r="X29" s="61">
        <v>2.1629999999999998</v>
      </c>
      <c r="Y29" s="61">
        <v>2.5379999999999998</v>
      </c>
      <c r="Z29" s="66">
        <v>0</v>
      </c>
      <c r="AA29" s="66"/>
      <c r="AB29" s="61">
        <v>2.8029999999999999</v>
      </c>
      <c r="AC29" s="61">
        <v>2.8359999999999999</v>
      </c>
      <c r="AD29" s="61">
        <v>2.8380000000000001</v>
      </c>
      <c r="AE29" s="61">
        <v>3.4609999999999999</v>
      </c>
      <c r="AF29" s="66">
        <v>0</v>
      </c>
      <c r="AG29" s="66"/>
      <c r="AH29" s="61">
        <v>2.9969999999999999</v>
      </c>
      <c r="AI29" s="61">
        <v>2.8490000000000002</v>
      </c>
      <c r="AJ29" s="683" t="e">
        <f ca="1">_xll.BDH(Inputs!$D$15,"OTHER_INTANGIBLE_ASSETS_DETAILED
","F"&amp;AJ$9&amp;AJ$7,"F"&amp;AJ$9&amp;AJ$7,"Currency="&amp;Inputs!$D$13,"Period=FQ","BEST_FPERIOD_OVERRIDE=FQ","FILING_STATUS=MR","SCALING_FORMAT="&amp;$D$9,"FA_ADJUSTED=Adjusted","Sort=A","Dates=H","DateFormat=P","Fill=0","Direction=H","UseDPDF=Y")</f>
        <v>#NAME?</v>
      </c>
      <c r="AK29" s="51">
        <v>3664.0224100000005</v>
      </c>
      <c r="AL29" s="59">
        <v>3664.0224100000005</v>
      </c>
      <c r="AM29" s="121"/>
      <c r="AN29" s="51">
        <v>3623.9769690000007</v>
      </c>
      <c r="AO29" s="51">
        <v>3610.0803921000011</v>
      </c>
      <c r="AP29" s="51">
        <v>3576.0341528900017</v>
      </c>
      <c r="AQ29" s="51">
        <v>3517.9088176010014</v>
      </c>
      <c r="AR29" s="59">
        <v>3517.9088176010014</v>
      </c>
      <c r="AS29" s="121"/>
      <c r="AT29" s="59">
        <v>4420.2139358409022</v>
      </c>
      <c r="AU29" s="121"/>
      <c r="AV29" s="59">
        <v>5196.2621422568127</v>
      </c>
    </row>
    <row r="30" spans="1:48" s="110" customFormat="1" ht="15" customHeight="1" x14ac:dyDescent="0.25">
      <c r="B30" s="122" t="s">
        <v>678</v>
      </c>
      <c r="C30" s="112"/>
      <c r="D30" s="61">
        <v>11.689000000000002</v>
      </c>
      <c r="E30" s="61">
        <v>42.917999999999999</v>
      </c>
      <c r="F30" s="61">
        <v>25.015999999999998</v>
      </c>
      <c r="G30" s="61">
        <v>58.465999999999994</v>
      </c>
      <c r="H30" s="66">
        <v>58.465999999999994</v>
      </c>
      <c r="I30" s="66"/>
      <c r="J30" s="61">
        <v>61.616999999999997</v>
      </c>
      <c r="K30" s="61">
        <v>65.760999999999996</v>
      </c>
      <c r="L30" s="61">
        <v>68.00200000000001</v>
      </c>
      <c r="M30" s="61">
        <v>71.354000000000013</v>
      </c>
      <c r="N30" s="66">
        <v>71.354000000000013</v>
      </c>
      <c r="O30" s="66"/>
      <c r="P30" s="61">
        <v>111.02600000000001</v>
      </c>
      <c r="Q30" s="61">
        <v>101.05999999999999</v>
      </c>
      <c r="R30" s="61">
        <v>98.76</v>
      </c>
      <c r="S30" s="61">
        <v>177.63800000000003</v>
      </c>
      <c r="T30" s="66">
        <v>177.63800000000003</v>
      </c>
      <c r="U30" s="66"/>
      <c r="V30" s="61">
        <v>152.86699999999999</v>
      </c>
      <c r="W30" s="61">
        <v>144.97</v>
      </c>
      <c r="X30" s="61">
        <v>87.988999999999976</v>
      </c>
      <c r="Y30" s="61">
        <v>97.556999999999988</v>
      </c>
      <c r="Z30" s="66">
        <v>97.556999999999988</v>
      </c>
      <c r="AA30" s="66"/>
      <c r="AB30" s="61">
        <v>93.767999999999972</v>
      </c>
      <c r="AC30" s="61">
        <v>81.205000000000013</v>
      </c>
      <c r="AD30" s="61">
        <v>84.762</v>
      </c>
      <c r="AE30" s="61">
        <v>89.031999999999982</v>
      </c>
      <c r="AF30" s="66">
        <v>89.031999999999982</v>
      </c>
      <c r="AG30" s="66"/>
      <c r="AH30" s="61">
        <v>91.081999999999994</v>
      </c>
      <c r="AI30" s="61">
        <v>85.833000000000027</v>
      </c>
      <c r="AJ30" s="683" t="e">
        <f ca="1">AJ31-AJ24-AJ27</f>
        <v>#NAME?</v>
      </c>
      <c r="AK30" s="51"/>
      <c r="AL30" s="75"/>
      <c r="AM30" s="124"/>
      <c r="AN30" s="51"/>
      <c r="AO30" s="51"/>
      <c r="AP30" s="51"/>
      <c r="AQ30" s="51"/>
      <c r="AR30" s="75"/>
      <c r="AS30" s="124"/>
      <c r="AT30" s="75"/>
      <c r="AU30" s="124"/>
      <c r="AV30" s="75"/>
    </row>
    <row r="31" spans="1:48" ht="15" customHeight="1" x14ac:dyDescent="0.3">
      <c r="A31" s="44"/>
      <c r="B31" s="129" t="s">
        <v>679</v>
      </c>
      <c r="D31" s="61">
        <v>18.731000000000002</v>
      </c>
      <c r="E31" s="61">
        <v>51.521999999999998</v>
      </c>
      <c r="F31" s="61">
        <v>44.841999999999999</v>
      </c>
      <c r="G31" s="61">
        <v>80.600999999999999</v>
      </c>
      <c r="H31" s="66">
        <v>80.600999999999999</v>
      </c>
      <c r="I31" s="66"/>
      <c r="J31" s="61">
        <v>85.266999999999996</v>
      </c>
      <c r="K31" s="61">
        <v>89.596999999999994</v>
      </c>
      <c r="L31" s="61">
        <v>92.162000000000006</v>
      </c>
      <c r="M31" s="61">
        <v>99.245000000000005</v>
      </c>
      <c r="N31" s="66">
        <v>99.245000000000005</v>
      </c>
      <c r="O31" s="66"/>
      <c r="P31" s="61">
        <v>182.39500000000001</v>
      </c>
      <c r="Q31" s="61">
        <v>170.89599999999999</v>
      </c>
      <c r="R31" s="61">
        <v>176.42400000000001</v>
      </c>
      <c r="S31" s="61">
        <v>271.69400000000002</v>
      </c>
      <c r="T31" s="66">
        <v>271.69400000000002</v>
      </c>
      <c r="U31" s="66"/>
      <c r="V31" s="61">
        <v>318.94</v>
      </c>
      <c r="W31" s="61">
        <v>320.08199999999999</v>
      </c>
      <c r="X31" s="61">
        <v>294.35399999999998</v>
      </c>
      <c r="Y31" s="61">
        <v>314.798</v>
      </c>
      <c r="Z31" s="66">
        <v>314.798</v>
      </c>
      <c r="AA31" s="66"/>
      <c r="AB31" s="61">
        <v>327.39299999999997</v>
      </c>
      <c r="AC31" s="61">
        <v>324.41300000000001</v>
      </c>
      <c r="AD31" s="61">
        <v>348.86099999999999</v>
      </c>
      <c r="AE31" s="61">
        <v>372.34199999999998</v>
      </c>
      <c r="AF31" s="66">
        <v>372.34199999999998</v>
      </c>
      <c r="AG31" s="66"/>
      <c r="AH31" s="61">
        <v>385.89400000000001</v>
      </c>
      <c r="AI31" s="61">
        <v>394.06200000000001</v>
      </c>
      <c r="AJ31" s="683" t="e">
        <f ca="1">_xll.BDH(Inputs!$D$15,"BS_TOT_NON_CUR_ASSET
","F"&amp;AJ$9&amp;AJ$7,"F"&amp;AJ$9&amp;AJ$7,"Currency="&amp;Inputs!$D$13,"Period=FQ","BEST_FPERIOD_OVERRIDE=FQ","FILING_STATUS=MR","SCALING_FORMAT="&amp;Inputs!$D$14,"FA_ADJUSTED=Adjusted","Sort=A","Dates=H","DateFormat=P","Fill=0","Direction=H","UseDPDF=Y")</f>
        <v>#NAME?</v>
      </c>
      <c r="AK31" s="51"/>
      <c r="AL31" s="75"/>
      <c r="AM31" s="130"/>
      <c r="AN31" s="51"/>
      <c r="AO31" s="51"/>
      <c r="AP31" s="51"/>
      <c r="AQ31" s="51"/>
      <c r="AR31" s="75"/>
      <c r="AS31" s="130"/>
      <c r="AT31" s="75"/>
      <c r="AU31" s="130"/>
      <c r="AV31" s="75"/>
    </row>
    <row r="32" spans="1:48" s="110" customFormat="1" ht="15" customHeight="1" thickBot="1" x14ac:dyDescent="0.3">
      <c r="B32" s="131" t="s">
        <v>680</v>
      </c>
      <c r="C32" s="112"/>
      <c r="D32" s="61">
        <v>217.208</v>
      </c>
      <c r="E32" s="61">
        <v>257.40199999999999</v>
      </c>
      <c r="F32" s="61">
        <v>296.61900000000003</v>
      </c>
      <c r="G32" s="61">
        <v>341.25700000000001</v>
      </c>
      <c r="H32" s="66">
        <v>341.25700000000001</v>
      </c>
      <c r="I32" s="66"/>
      <c r="J32" s="61">
        <v>371.81900000000002</v>
      </c>
      <c r="K32" s="61">
        <v>418.95800000000003</v>
      </c>
      <c r="L32" s="61">
        <v>469.50900000000001</v>
      </c>
      <c r="M32" s="61">
        <v>1052.1790000000001</v>
      </c>
      <c r="N32" s="66">
        <v>1052.1790000000001</v>
      </c>
      <c r="O32" s="66"/>
      <c r="P32" s="61">
        <v>1087.3720000000001</v>
      </c>
      <c r="Q32" s="61">
        <v>1071.5239999999999</v>
      </c>
      <c r="R32" s="61">
        <v>1147.6659999999999</v>
      </c>
      <c r="S32" s="61">
        <v>1235.5</v>
      </c>
      <c r="T32" s="66">
        <v>1235.5</v>
      </c>
      <c r="U32" s="66"/>
      <c r="V32" s="61">
        <v>1312.751</v>
      </c>
      <c r="W32" s="61">
        <v>1316.914</v>
      </c>
      <c r="X32" s="61">
        <v>1410.248</v>
      </c>
      <c r="Y32" s="61">
        <v>1490.9079999999999</v>
      </c>
      <c r="Z32" s="66">
        <v>1490.9079999999999</v>
      </c>
      <c r="AA32" s="66" t="s">
        <v>630</v>
      </c>
      <c r="AB32" s="61">
        <v>1556.749</v>
      </c>
      <c r="AC32" s="61">
        <v>1667.575</v>
      </c>
      <c r="AD32" s="61">
        <v>1794.175</v>
      </c>
      <c r="AE32" s="61">
        <v>1855.721</v>
      </c>
      <c r="AF32" s="66">
        <v>1855.721</v>
      </c>
      <c r="AG32" s="66"/>
      <c r="AH32" s="61">
        <v>1933.768</v>
      </c>
      <c r="AI32" s="61">
        <v>2039.7149999999999</v>
      </c>
      <c r="AJ32" s="683" t="e">
        <f ca="1">_xll.BDH(Inputs!$D$15,"BS_TOT_NON_CUR_ASSET
","F"&amp;AJ$9&amp;AJ$7,"F"&amp;AJ$9&amp;AJ$7,"Currency="&amp;Inputs!$D$13,"Period=FQ","BEST_FPERIOD_OVERRIDE=FQ","FILING_STATUS=MR","SCALING_FORMAT="&amp;Inputs!$D$14,"FA_ADJUSTED=Adjusted","Sort=A","Dates=H","DateFormat=P","Fill=0","Direction=H","UseDPDF=Y")</f>
        <v>#NAME?</v>
      </c>
      <c r="AK32" s="51"/>
      <c r="AL32" s="93"/>
      <c r="AM32" s="124"/>
      <c r="AN32" s="51"/>
      <c r="AO32" s="51"/>
      <c r="AP32" s="51"/>
      <c r="AQ32" s="51"/>
      <c r="AR32" s="93"/>
      <c r="AS32" s="124"/>
      <c r="AT32" s="93"/>
      <c r="AU32" s="124"/>
      <c r="AV32" s="93"/>
    </row>
    <row r="33" spans="1:48" ht="15" customHeight="1" thickTop="1" x14ac:dyDescent="0.3">
      <c r="H33" s="66"/>
      <c r="I33" s="66"/>
      <c r="N33" s="66"/>
      <c r="O33" s="66"/>
      <c r="T33" s="66"/>
      <c r="U33" s="66"/>
      <c r="Z33" s="66"/>
      <c r="AA33" s="66"/>
      <c r="AF33" s="66"/>
      <c r="AG33" s="66"/>
    </row>
    <row r="34" spans="1:48" s="110" customFormat="1" ht="15" customHeight="1" x14ac:dyDescent="0.25">
      <c r="A34" s="45"/>
      <c r="B34" s="64" t="s">
        <v>681</v>
      </c>
      <c r="C34" s="112"/>
      <c r="D34" s="47"/>
      <c r="E34" s="47"/>
      <c r="F34" s="47"/>
      <c r="G34" s="47"/>
      <c r="H34" s="66"/>
      <c r="I34" s="66"/>
      <c r="J34" s="47"/>
      <c r="K34" s="47"/>
      <c r="L34" s="47"/>
      <c r="M34" s="47"/>
      <c r="N34" s="66"/>
      <c r="O34" s="66"/>
      <c r="P34" s="47"/>
      <c r="Q34" s="47"/>
      <c r="R34" s="47"/>
      <c r="S34" s="47"/>
      <c r="T34" s="66"/>
      <c r="U34" s="66"/>
      <c r="V34" s="47"/>
      <c r="W34" s="47"/>
      <c r="X34" s="47"/>
      <c r="Y34" s="47"/>
      <c r="Z34" s="66"/>
      <c r="AA34" s="66"/>
      <c r="AB34" s="47"/>
      <c r="AC34" s="47"/>
      <c r="AD34" s="47"/>
      <c r="AE34" s="47"/>
      <c r="AF34" s="66"/>
      <c r="AG34" s="66"/>
      <c r="AH34" s="47"/>
      <c r="AI34" s="47"/>
      <c r="AJ34" s="47"/>
      <c r="AK34" s="51"/>
      <c r="AL34" s="68"/>
      <c r="AM34" s="114"/>
      <c r="AN34" s="51"/>
      <c r="AO34" s="51"/>
      <c r="AP34" s="51"/>
      <c r="AQ34" s="51"/>
      <c r="AR34" s="68"/>
      <c r="AS34" s="114"/>
      <c r="AT34" s="68"/>
      <c r="AU34" s="114"/>
      <c r="AV34" s="68"/>
    </row>
    <row r="35" spans="1:48" s="134" customFormat="1" ht="15" customHeight="1" x14ac:dyDescent="0.3">
      <c r="A35" s="132"/>
      <c r="B35" s="133"/>
      <c r="C35" s="28"/>
      <c r="D35" s="47"/>
      <c r="E35" s="47"/>
      <c r="F35" s="47"/>
      <c r="G35" s="47"/>
      <c r="H35" s="66"/>
      <c r="I35" s="66"/>
      <c r="J35" s="47"/>
      <c r="K35" s="47"/>
      <c r="L35" s="47"/>
      <c r="M35" s="47"/>
      <c r="N35" s="66"/>
      <c r="O35" s="66"/>
      <c r="P35" s="47"/>
      <c r="Q35" s="47"/>
      <c r="R35" s="47"/>
      <c r="S35" s="47"/>
      <c r="T35" s="66"/>
      <c r="U35" s="66"/>
      <c r="V35" s="47"/>
      <c r="W35" s="47"/>
      <c r="X35" s="47"/>
      <c r="Y35" s="47"/>
      <c r="Z35" s="66"/>
      <c r="AA35" s="66"/>
      <c r="AB35" s="47"/>
      <c r="AC35" s="47"/>
      <c r="AD35" s="47"/>
      <c r="AE35" s="47"/>
      <c r="AF35" s="66"/>
      <c r="AG35" s="66"/>
      <c r="AH35" s="47"/>
      <c r="AI35" s="47"/>
      <c r="AJ35" s="47"/>
      <c r="AK35" s="51"/>
      <c r="AL35" s="68"/>
      <c r="AM35" s="135"/>
      <c r="AN35" s="51"/>
      <c r="AO35" s="51"/>
      <c r="AP35" s="51"/>
      <c r="AQ35" s="51"/>
      <c r="AR35" s="68"/>
      <c r="AS35" s="130"/>
      <c r="AT35" s="68"/>
      <c r="AU35" s="130"/>
      <c r="AV35" s="68"/>
    </row>
    <row r="36" spans="1:48" s="110" customFormat="1" ht="15" customHeight="1" x14ac:dyDescent="0.25">
      <c r="A36" s="45" t="s">
        <v>38</v>
      </c>
      <c r="B36" s="111" t="s">
        <v>682</v>
      </c>
      <c r="C36" s="112"/>
      <c r="D36" s="47"/>
      <c r="E36" s="47"/>
      <c r="F36" s="47"/>
      <c r="G36" s="47"/>
      <c r="H36" s="66"/>
      <c r="I36" s="66"/>
      <c r="J36" s="47"/>
      <c r="K36" s="47"/>
      <c r="L36" s="47"/>
      <c r="M36" s="47"/>
      <c r="N36" s="66"/>
      <c r="O36" s="66"/>
      <c r="P36" s="47"/>
      <c r="Q36" s="47"/>
      <c r="R36" s="47"/>
      <c r="S36" s="47"/>
      <c r="T36" s="66"/>
      <c r="U36" s="66"/>
      <c r="V36" s="47"/>
      <c r="W36" s="47"/>
      <c r="X36" s="47"/>
      <c r="Y36" s="47"/>
      <c r="Z36" s="66"/>
      <c r="AA36" s="66"/>
      <c r="AB36" s="47"/>
      <c r="AC36" s="47"/>
      <c r="AD36" s="47"/>
      <c r="AE36" s="47"/>
      <c r="AF36" s="66"/>
      <c r="AG36" s="66"/>
      <c r="AH36" s="47"/>
      <c r="AI36" s="47"/>
      <c r="AJ36" s="47"/>
      <c r="AK36" s="51"/>
      <c r="AL36" s="68"/>
      <c r="AM36" s="136"/>
      <c r="AN36" s="51"/>
      <c r="AO36" s="51"/>
      <c r="AP36" s="51"/>
      <c r="AQ36" s="51"/>
      <c r="AR36" s="68"/>
      <c r="AS36" s="114"/>
      <c r="AT36" s="68"/>
      <c r="AU36" s="114"/>
      <c r="AV36" s="68"/>
    </row>
    <row r="37" spans="1:48" ht="15" customHeight="1" x14ac:dyDescent="0.3">
      <c r="A37" s="44"/>
      <c r="B37" s="122" t="s">
        <v>683</v>
      </c>
      <c r="D37" s="61">
        <v>36.293999999999997</v>
      </c>
      <c r="E37" s="61">
        <v>45.012</v>
      </c>
      <c r="F37" s="61">
        <v>57.722000000000001</v>
      </c>
      <c r="G37" s="61">
        <v>54.439</v>
      </c>
      <c r="H37" s="66">
        <v>54.439</v>
      </c>
      <c r="I37" s="66"/>
      <c r="J37" s="61">
        <v>66.710999999999999</v>
      </c>
      <c r="K37" s="61">
        <v>89.384</v>
      </c>
      <c r="L37" s="61">
        <v>120.008</v>
      </c>
      <c r="M37" s="61">
        <v>133.339</v>
      </c>
      <c r="N37" s="66">
        <v>133.339</v>
      </c>
      <c r="O37" s="66"/>
      <c r="P37" s="61">
        <v>145.59700000000001</v>
      </c>
      <c r="Q37" s="61">
        <v>144.191</v>
      </c>
      <c r="R37" s="61">
        <v>147.75899999999999</v>
      </c>
      <c r="S37" s="61">
        <v>171.87299999999999</v>
      </c>
      <c r="T37" s="66">
        <v>171.87299999999999</v>
      </c>
      <c r="U37" s="66"/>
      <c r="V37" s="61">
        <v>196.45699999999999</v>
      </c>
      <c r="W37" s="61">
        <v>189.06100000000001</v>
      </c>
      <c r="X37" s="61">
        <v>235.82</v>
      </c>
      <c r="Y37" s="61">
        <v>262.57299999999998</v>
      </c>
      <c r="Z37" s="66">
        <v>262.57299999999998</v>
      </c>
      <c r="AA37" s="66"/>
      <c r="AB37" s="61">
        <v>270.24299999999999</v>
      </c>
      <c r="AC37" s="61">
        <v>286.50599999999997</v>
      </c>
      <c r="AD37" s="61">
        <v>308.38600000000002</v>
      </c>
      <c r="AE37" s="61">
        <v>289.863</v>
      </c>
      <c r="AF37" s="66">
        <v>289.863</v>
      </c>
      <c r="AG37" s="66"/>
      <c r="AH37" s="61">
        <v>260.70800000000003</v>
      </c>
      <c r="AI37" s="61">
        <v>295.64699999999999</v>
      </c>
      <c r="AJ37" s="683"/>
      <c r="AK37" s="51">
        <v>9293.4782608695659</v>
      </c>
      <c r="AL37" s="59">
        <v>9293.4782608695659</v>
      </c>
      <c r="AM37" s="21"/>
      <c r="AN37" s="51">
        <v>7260</v>
      </c>
      <c r="AO37" s="51">
        <v>7832.9670329670325</v>
      </c>
      <c r="AP37" s="51">
        <v>7317.3913043478269</v>
      </c>
      <c r="AQ37" s="51">
        <v>6026.0869565217408</v>
      </c>
      <c r="AR37" s="59">
        <v>6026.0869565217408</v>
      </c>
      <c r="AS37" s="21"/>
      <c r="AT37" s="59">
        <v>7989.0410958904113</v>
      </c>
      <c r="AU37" s="21"/>
      <c r="AV37" s="59">
        <v>6418.0327868852455</v>
      </c>
    </row>
    <row r="38" spans="1:48" ht="15" customHeight="1" x14ac:dyDescent="0.3">
      <c r="A38" s="44"/>
      <c r="B38" s="122" t="s">
        <v>684</v>
      </c>
      <c r="D38" s="61">
        <v>3.8919999999999999</v>
      </c>
      <c r="E38" s="61">
        <v>25.771999999999998</v>
      </c>
      <c r="F38" s="61">
        <v>28.327000000000002</v>
      </c>
      <c r="G38" s="61">
        <v>27.738</v>
      </c>
      <c r="H38" s="66">
        <v>27.738</v>
      </c>
      <c r="I38" s="66" t="e">
        <v>#VALUE!</v>
      </c>
      <c r="J38" s="61">
        <v>25.087999999999997</v>
      </c>
      <c r="K38" s="61">
        <v>23.960999999999999</v>
      </c>
      <c r="L38" s="61">
        <v>17.552</v>
      </c>
      <c r="M38" s="61">
        <v>12.000999999999999</v>
      </c>
      <c r="N38" s="66">
        <v>12.000999999999999</v>
      </c>
      <c r="O38" s="66"/>
      <c r="P38" s="61">
        <v>12.041</v>
      </c>
      <c r="Q38" s="61">
        <v>7.2259999999999991</v>
      </c>
      <c r="R38" s="61">
        <v>52.948</v>
      </c>
      <c r="S38" s="61">
        <v>58.326000000000001</v>
      </c>
      <c r="T38" s="66">
        <v>58.326000000000001</v>
      </c>
      <c r="U38" s="66"/>
      <c r="V38" s="61">
        <v>59.113999999999997</v>
      </c>
      <c r="W38" s="61">
        <v>57.214999999999996</v>
      </c>
      <c r="X38" s="61">
        <v>40.628</v>
      </c>
      <c r="Y38" s="61">
        <v>38.118000000000002</v>
      </c>
      <c r="Z38" s="66">
        <v>38.118000000000002</v>
      </c>
      <c r="AA38" s="66" t="e">
        <v>#VALUE!</v>
      </c>
      <c r="AB38" s="61">
        <v>61.255000000000003</v>
      </c>
      <c r="AC38" s="61">
        <v>74.11</v>
      </c>
      <c r="AD38" s="61">
        <v>64.465000000000003</v>
      </c>
      <c r="AE38" s="61">
        <v>77.286000000000001</v>
      </c>
      <c r="AF38" s="66">
        <v>77.286000000000001</v>
      </c>
      <c r="AG38" s="66"/>
      <c r="AH38" s="61">
        <v>92.885999999999996</v>
      </c>
      <c r="AI38" s="61">
        <v>115.108</v>
      </c>
      <c r="AJ38" s="683" t="e">
        <f ca="1">_xll.BDH(Inputs!$D$15,"BS_CURR_PORTION_LT_DEBT
","F"&amp;AJ$9&amp;AJ$7,"F"&amp;AJ$9&amp;AJ$7,"Currency="&amp;Inputs!$D$13,"Period=FQ","BEST_FPERIOD_OVERRIDE=FQ","FILING_STATUS=MR","SCALING_FORMAT="&amp;Inputs!$D$14,"FA_ADJUSTED=Adjusted","Sort=A","Dates=H","DateFormat=P","Fill=0","Direction=H","UseDPDF=Y")+_xll.BDH(Inputs!$D$15,"SHORT_TERM_DEBT_DETAILED
","F"&amp;AJ$9&amp;AJ$7,"F"&amp;AJ$9&amp;AJ$7,"Currency="&amp;Inputs!$D$13,"Period=FQ","BEST_FPERIOD_OVERRIDE=FQ","FILING_STATUS=MR","SCALING_FORMAT="&amp;Inputs!$D$14,"FA_ADJUSTED=Adjusted","Sort=A","Dates=H","DateFormat=P","Fill=0","Direction=H","UseDPDF=Y")</f>
        <v>#NAME?</v>
      </c>
      <c r="AK38" s="51"/>
      <c r="AL38" s="59"/>
      <c r="AM38" s="138"/>
      <c r="AN38" s="51"/>
      <c r="AO38" s="51"/>
      <c r="AP38" s="51"/>
      <c r="AQ38" s="51"/>
      <c r="AR38" s="59"/>
      <c r="AS38" s="138"/>
      <c r="AT38" s="59"/>
      <c r="AU38" s="138"/>
      <c r="AV38" s="59"/>
    </row>
    <row r="39" spans="1:48" s="110" customFormat="1" ht="15" customHeight="1" x14ac:dyDescent="0.25">
      <c r="B39" s="122" t="s">
        <v>685</v>
      </c>
      <c r="C39" s="112"/>
      <c r="D39" s="61">
        <v>1.345</v>
      </c>
      <c r="E39" s="61">
        <v>1.331</v>
      </c>
      <c r="F39" s="61">
        <v>1.3879999999999999</v>
      </c>
      <c r="G39" s="61">
        <v>1.417</v>
      </c>
      <c r="H39" s="66">
        <v>1.417</v>
      </c>
      <c r="I39" s="66"/>
      <c r="J39" s="61">
        <v>2.1709999999999998</v>
      </c>
      <c r="K39" s="61">
        <v>2.4369999999999998</v>
      </c>
      <c r="L39" s="61">
        <v>2.48</v>
      </c>
      <c r="M39" s="61">
        <v>2.3130000000000002</v>
      </c>
      <c r="N39" s="66">
        <v>2.3130000000000002</v>
      </c>
      <c r="O39" s="66"/>
      <c r="P39" s="61">
        <v>2.0760000000000001</v>
      </c>
      <c r="Q39" s="61">
        <v>1.774</v>
      </c>
      <c r="R39" s="61">
        <v>1.32</v>
      </c>
      <c r="S39" s="61">
        <v>1.3819999999999999</v>
      </c>
      <c r="T39" s="66">
        <v>1.3819999999999999</v>
      </c>
      <c r="U39" s="66"/>
      <c r="V39" s="61">
        <v>3.0129999999999999</v>
      </c>
      <c r="W39" s="61">
        <v>3.0419999999999998</v>
      </c>
      <c r="X39" s="61">
        <v>2.8759999999999999</v>
      </c>
      <c r="Y39" s="61">
        <v>2.7639999999999998</v>
      </c>
      <c r="Z39" s="66">
        <v>2.7639999999999998</v>
      </c>
      <c r="AA39" s="66"/>
      <c r="AB39" s="61">
        <v>2.6680000000000001</v>
      </c>
      <c r="AC39" s="61">
        <v>2.573</v>
      </c>
      <c r="AD39" s="61">
        <v>2.3769999999999998</v>
      </c>
      <c r="AE39" s="61">
        <v>2.1320000000000001</v>
      </c>
      <c r="AF39" s="66">
        <v>2.1320000000000001</v>
      </c>
      <c r="AG39" s="66"/>
      <c r="AH39" s="61">
        <v>3.5640000000000001</v>
      </c>
      <c r="AI39" s="61">
        <v>3.778</v>
      </c>
      <c r="AJ39" s="683" t="e">
        <f ca="1">_xll.BDH([1]Inputs!$D$15,"ST_CAPITALIZED_LEASE_LIABILITIES
","F"&amp;AJ$9&amp;AJ$7,"F"&amp;AJ$9&amp;AJ$7,"Currency="&amp;[1]Inputs!$D$13,"Period=FQ","BEST_FPERIOD_OVERRIDE=FQ","FILING_STATUS=MR","SCALING_FORMAT="&amp;[1]Inputs!$D$14,"FA_ADJUSTED=Adjusted","Sort=A","Dates=H","DateFormat=P","Fill=0","Direction=H","UseDPDF=Y")</f>
        <v>#NAME?</v>
      </c>
      <c r="AK39" s="51"/>
      <c r="AL39" s="59"/>
      <c r="AM39" s="124"/>
      <c r="AN39" s="51"/>
      <c r="AO39" s="51"/>
      <c r="AP39" s="51"/>
      <c r="AQ39" s="51"/>
      <c r="AR39" s="59"/>
      <c r="AS39" s="124"/>
      <c r="AT39" s="59"/>
      <c r="AU39" s="124"/>
      <c r="AV39" s="59"/>
    </row>
    <row r="40" spans="1:48" ht="15" customHeight="1" x14ac:dyDescent="0.3">
      <c r="A40" s="44"/>
      <c r="B40" s="122" t="s">
        <v>686</v>
      </c>
      <c r="D40" s="61">
        <v>9.236000000000006</v>
      </c>
      <c r="E40" s="61">
        <v>24.401000000000007</v>
      </c>
      <c r="F40" s="61">
        <v>8.829999999999993</v>
      </c>
      <c r="G40" s="61">
        <v>19.314</v>
      </c>
      <c r="H40" s="66">
        <v>19.314</v>
      </c>
      <c r="I40" s="66"/>
      <c r="J40" s="61">
        <v>34.065000000000005</v>
      </c>
      <c r="K40" s="61">
        <v>46.275999999999996</v>
      </c>
      <c r="L40" s="61">
        <v>55.167000000000002</v>
      </c>
      <c r="M40" s="61">
        <v>58.285999999999994</v>
      </c>
      <c r="N40" s="66">
        <v>58.285999999999994</v>
      </c>
      <c r="O40" s="66"/>
      <c r="P40" s="61">
        <v>84.735000000000014</v>
      </c>
      <c r="Q40" s="61">
        <v>99.542000000000002</v>
      </c>
      <c r="R40" s="61">
        <v>143.57499999999999</v>
      </c>
      <c r="S40" s="61">
        <v>164.63300000000001</v>
      </c>
      <c r="T40" s="66">
        <v>164.63300000000001</v>
      </c>
      <c r="U40" s="66"/>
      <c r="V40" s="61">
        <v>191.62700000000001</v>
      </c>
      <c r="W40" s="61">
        <v>206.98099999999994</v>
      </c>
      <c r="X40" s="61">
        <v>202.62700000000004</v>
      </c>
      <c r="Y40" s="61">
        <v>197.20400000000001</v>
      </c>
      <c r="Z40" s="66">
        <v>197.20400000000001</v>
      </c>
      <c r="AA40" s="66"/>
      <c r="AB40" s="61">
        <v>199.08300000000003</v>
      </c>
      <c r="AC40" s="61">
        <v>222.98099999999997</v>
      </c>
      <c r="AD40" s="61">
        <v>234.80699999999993</v>
      </c>
      <c r="AE40" s="61">
        <v>271.95199999999994</v>
      </c>
      <c r="AF40" s="66">
        <v>271.95199999999994</v>
      </c>
      <c r="AG40" s="66"/>
      <c r="AH40" s="61">
        <v>271.71999999999997</v>
      </c>
      <c r="AI40" s="61">
        <v>256.47899999999993</v>
      </c>
      <c r="AJ40" s="683" t="e">
        <f ca="1">AJ41-AJ37-AJ38-AJ39</f>
        <v>#NAME?</v>
      </c>
      <c r="AK40" s="51">
        <v>1000</v>
      </c>
      <c r="AL40" s="59">
        <v>1000</v>
      </c>
      <c r="AM40" s="21"/>
      <c r="AN40" s="51">
        <v>968</v>
      </c>
      <c r="AO40" s="51">
        <v>880</v>
      </c>
      <c r="AP40" s="51">
        <v>968</v>
      </c>
      <c r="AQ40" s="51">
        <v>880</v>
      </c>
      <c r="AR40" s="59">
        <v>880</v>
      </c>
      <c r="AS40" s="21"/>
      <c r="AT40" s="59">
        <v>900</v>
      </c>
      <c r="AU40" s="21"/>
      <c r="AV40" s="59">
        <v>870</v>
      </c>
    </row>
    <row r="41" spans="1:48" s="110" customFormat="1" ht="15" customHeight="1" x14ac:dyDescent="0.25">
      <c r="B41" s="129" t="s">
        <v>687</v>
      </c>
      <c r="C41" s="112"/>
      <c r="D41" s="61">
        <v>50.767000000000003</v>
      </c>
      <c r="E41" s="61">
        <v>96.516000000000005</v>
      </c>
      <c r="F41" s="61">
        <v>96.266999999999996</v>
      </c>
      <c r="G41" s="61">
        <v>102.908</v>
      </c>
      <c r="H41" s="66">
        <v>102.908</v>
      </c>
      <c r="I41" s="66"/>
      <c r="J41" s="61">
        <v>128.035</v>
      </c>
      <c r="K41" s="61">
        <v>162.05799999999999</v>
      </c>
      <c r="L41" s="61">
        <v>195.20699999999999</v>
      </c>
      <c r="M41" s="61">
        <v>205.93899999999999</v>
      </c>
      <c r="N41" s="66">
        <v>205.93899999999999</v>
      </c>
      <c r="O41" s="66"/>
      <c r="P41" s="61">
        <v>244.44900000000001</v>
      </c>
      <c r="Q41" s="61">
        <v>252.733</v>
      </c>
      <c r="R41" s="61">
        <v>345.60199999999998</v>
      </c>
      <c r="S41" s="61">
        <v>396.214</v>
      </c>
      <c r="T41" s="66">
        <v>396.214</v>
      </c>
      <c r="U41" s="66"/>
      <c r="V41" s="61">
        <v>450.21100000000001</v>
      </c>
      <c r="W41" s="61">
        <v>456.29899999999998</v>
      </c>
      <c r="X41" s="61">
        <v>481.95100000000002</v>
      </c>
      <c r="Y41" s="61">
        <v>500.65899999999999</v>
      </c>
      <c r="Z41" s="66">
        <v>500.65899999999999</v>
      </c>
      <c r="AA41" s="66"/>
      <c r="AB41" s="61">
        <v>533.24900000000002</v>
      </c>
      <c r="AC41" s="61">
        <v>586.16999999999996</v>
      </c>
      <c r="AD41" s="61">
        <v>610.03499999999997</v>
      </c>
      <c r="AE41" s="61">
        <v>641.23299999999995</v>
      </c>
      <c r="AF41" s="66">
        <v>641.23299999999995</v>
      </c>
      <c r="AG41" s="66"/>
      <c r="AH41" s="61">
        <v>628.87800000000004</v>
      </c>
      <c r="AI41" s="61">
        <v>671.01199999999994</v>
      </c>
      <c r="AJ41" s="683" t="e">
        <f ca="1">_xll.BDH(Inputs!$D$15,"BS_CUR_LIAB
","F"&amp;AJ$9&amp;AJ$7,"F"&amp;AJ$9&amp;AJ$7,"Currency="&amp;Inputs!$D$13,"Period=FQ","BEST_FPERIOD_OVERRIDE=FQ","FILING_STATUS=MR","SCALING_FORMAT="&amp;Inputs!$D$14,"FA_ADJUSTED=Adjusted","Sort=A","Dates=H","DateFormat=P","Fill=0","Direction=H","UseDPDF=Y")</f>
        <v>#NAME?</v>
      </c>
      <c r="AK41" s="47"/>
      <c r="AL41" s="77"/>
      <c r="AM41" s="124"/>
      <c r="AN41" s="47"/>
      <c r="AO41" s="47"/>
      <c r="AP41" s="47"/>
      <c r="AQ41" s="47"/>
      <c r="AR41" s="77"/>
      <c r="AS41" s="124"/>
      <c r="AT41" s="77"/>
      <c r="AU41" s="124"/>
      <c r="AV41" s="77"/>
    </row>
    <row r="42" spans="1:48" ht="15" customHeight="1" x14ac:dyDescent="0.3">
      <c r="A42" s="44"/>
      <c r="B42" s="139"/>
      <c r="D42" s="47"/>
      <c r="E42" s="47"/>
      <c r="F42" s="47"/>
      <c r="G42" s="47"/>
      <c r="H42" s="66">
        <v>0</v>
      </c>
      <c r="I42" s="66"/>
      <c r="J42" s="47"/>
      <c r="K42" s="47"/>
      <c r="L42" s="47"/>
      <c r="M42" s="47"/>
      <c r="N42" s="66">
        <v>0</v>
      </c>
      <c r="O42" s="66"/>
      <c r="P42" s="47"/>
      <c r="Q42" s="47"/>
      <c r="R42" s="47"/>
      <c r="S42" s="47"/>
      <c r="T42" s="66">
        <v>0</v>
      </c>
      <c r="U42" s="66"/>
      <c r="V42" s="47"/>
      <c r="W42" s="47"/>
      <c r="X42" s="47"/>
      <c r="Y42" s="47"/>
      <c r="Z42" s="66">
        <v>0</v>
      </c>
      <c r="AA42" s="66"/>
      <c r="AB42" s="47"/>
      <c r="AC42" s="47"/>
      <c r="AD42" s="47"/>
      <c r="AE42" s="47"/>
      <c r="AF42" s="66">
        <v>0</v>
      </c>
      <c r="AG42" s="66"/>
      <c r="AH42" s="47"/>
      <c r="AI42" s="47"/>
      <c r="AJ42" s="47"/>
      <c r="AK42" s="47"/>
      <c r="AL42" s="66"/>
      <c r="AM42" s="21"/>
      <c r="AN42" s="47"/>
      <c r="AO42" s="47"/>
      <c r="AP42" s="47"/>
      <c r="AQ42" s="47"/>
      <c r="AR42" s="66"/>
      <c r="AS42" s="21"/>
      <c r="AT42" s="66"/>
      <c r="AU42" s="21"/>
      <c r="AV42" s="66"/>
    </row>
    <row r="43" spans="1:48" s="110" customFormat="1" ht="15" customHeight="1" x14ac:dyDescent="0.25">
      <c r="A43" s="45" t="s">
        <v>38</v>
      </c>
      <c r="B43" s="111" t="s">
        <v>688</v>
      </c>
      <c r="C43" s="112"/>
      <c r="D43" s="47"/>
      <c r="E43" s="47"/>
      <c r="F43" s="47"/>
      <c r="G43" s="47"/>
      <c r="H43" s="66">
        <v>0</v>
      </c>
      <c r="I43" s="66"/>
      <c r="J43" s="47"/>
      <c r="K43" s="47"/>
      <c r="L43" s="47"/>
      <c r="M43" s="47"/>
      <c r="N43" s="66">
        <v>0</v>
      </c>
      <c r="O43" s="66"/>
      <c r="P43" s="47"/>
      <c r="Q43" s="47"/>
      <c r="R43" s="47"/>
      <c r="S43" s="47"/>
      <c r="T43" s="66">
        <v>0</v>
      </c>
      <c r="U43" s="66"/>
      <c r="V43" s="47"/>
      <c r="W43" s="47"/>
      <c r="X43" s="47"/>
      <c r="Y43" s="47"/>
      <c r="Z43" s="66">
        <v>0</v>
      </c>
      <c r="AA43" s="66"/>
      <c r="AB43" s="47"/>
      <c r="AC43" s="47"/>
      <c r="AD43" s="47"/>
      <c r="AE43" s="47"/>
      <c r="AF43" s="66">
        <v>0</v>
      </c>
      <c r="AG43" s="66"/>
      <c r="AH43" s="47"/>
      <c r="AI43" s="47"/>
      <c r="AJ43" s="47"/>
      <c r="AK43" s="47"/>
      <c r="AL43" s="66"/>
      <c r="AM43" s="113"/>
      <c r="AN43" s="47"/>
      <c r="AO43" s="47"/>
      <c r="AP43" s="47"/>
      <c r="AQ43" s="47"/>
      <c r="AR43" s="66"/>
      <c r="AS43" s="113"/>
      <c r="AT43" s="66"/>
      <c r="AU43" s="113"/>
      <c r="AV43" s="66"/>
    </row>
    <row r="44" spans="1:48" ht="15" customHeight="1" x14ac:dyDescent="0.3">
      <c r="A44" s="44"/>
      <c r="B44" s="122" t="s">
        <v>689</v>
      </c>
      <c r="D44" s="61">
        <v>0</v>
      </c>
      <c r="E44" s="61">
        <v>0</v>
      </c>
      <c r="F44" s="61">
        <v>0</v>
      </c>
      <c r="G44" s="61">
        <v>17.978999999999999</v>
      </c>
      <c r="H44" s="66">
        <v>17.978999999999999</v>
      </c>
      <c r="I44" s="66"/>
      <c r="J44" s="61">
        <v>17.443999999999999</v>
      </c>
      <c r="K44" s="61">
        <v>18.716999999999999</v>
      </c>
      <c r="L44" s="61">
        <v>23.08</v>
      </c>
      <c r="M44" s="61">
        <v>22.957000000000001</v>
      </c>
      <c r="N44" s="66">
        <v>22.957000000000001</v>
      </c>
      <c r="O44" s="66"/>
      <c r="P44" s="61">
        <v>22.344000000000001</v>
      </c>
      <c r="Q44" s="61">
        <v>20.641999999999999</v>
      </c>
      <c r="R44" s="61">
        <v>18.809999999999999</v>
      </c>
      <c r="S44" s="61">
        <v>18.687000000000001</v>
      </c>
      <c r="T44" s="66">
        <v>18.687000000000001</v>
      </c>
      <c r="U44" s="66"/>
      <c r="V44" s="61">
        <v>18.245000000000001</v>
      </c>
      <c r="W44" s="61">
        <v>15.898999999999999</v>
      </c>
      <c r="X44" s="61">
        <v>39.753</v>
      </c>
      <c r="Y44" s="61">
        <v>53.951999999999998</v>
      </c>
      <c r="Z44" s="66">
        <v>53.951999999999998</v>
      </c>
      <c r="AA44" s="66"/>
      <c r="AB44" s="61">
        <v>53.408000000000001</v>
      </c>
      <c r="AC44" s="61">
        <v>70.832999999999998</v>
      </c>
      <c r="AD44" s="61">
        <v>106.069</v>
      </c>
      <c r="AE44" s="61">
        <v>105.52500000000001</v>
      </c>
      <c r="AF44" s="66">
        <v>105.52500000000001</v>
      </c>
      <c r="AG44" s="66"/>
      <c r="AH44" s="61">
        <v>134.54</v>
      </c>
      <c r="AI44" s="61">
        <v>162.99100000000001</v>
      </c>
      <c r="AJ44" s="683" t="e">
        <f ca="1">_xll.BDH([1]Inputs!$D$15,"LONG_TERM_BORROWINGS_DETAILED
","F"&amp;AJ$9&amp;AJ$7,"F"&amp;AJ$9&amp;AJ$7,"Currency="&amp;[1]Inputs!$D$13,"Period=FQ","BEST_FPERIOD_OVERRIDE=FQ","FILING_STATUS=MR","SCALING_FORMAT="&amp;[1]Inputs!$D$14,"FA_ADJUSTED=Adjusted","Sort=A","Dates=H","DateFormat=P","Fill=0","Direction=H","UseDPDF=Y")</f>
        <v>#NAME?</v>
      </c>
      <c r="AK44" s="47"/>
      <c r="AL44" s="66"/>
      <c r="AM44" s="21"/>
      <c r="AN44" s="47"/>
      <c r="AO44" s="47"/>
      <c r="AP44" s="47"/>
      <c r="AQ44" s="47"/>
      <c r="AR44" s="66"/>
      <c r="AS44" s="21"/>
      <c r="AT44" s="66"/>
      <c r="AU44" s="21"/>
      <c r="AV44" s="66"/>
    </row>
    <row r="45" spans="1:48" s="110" customFormat="1" ht="15" customHeight="1" x14ac:dyDescent="0.25">
      <c r="B45" s="122" t="s">
        <v>690</v>
      </c>
      <c r="C45" s="112"/>
      <c r="D45" s="61">
        <v>2.202</v>
      </c>
      <c r="E45" s="61">
        <v>3.3170000000000002</v>
      </c>
      <c r="F45" s="61">
        <v>3.18</v>
      </c>
      <c r="G45" s="61">
        <v>2.88</v>
      </c>
      <c r="H45" s="66">
        <v>2.88</v>
      </c>
      <c r="I45" s="66"/>
      <c r="J45" s="61">
        <v>3.1779999999999999</v>
      </c>
      <c r="K45" s="61">
        <v>2.7719999999999998</v>
      </c>
      <c r="L45" s="61">
        <v>2.1190000000000002</v>
      </c>
      <c r="M45" s="61">
        <v>1.869</v>
      </c>
      <c r="N45" s="66">
        <v>1.869</v>
      </c>
      <c r="O45" s="66"/>
      <c r="P45" s="61">
        <v>1.952</v>
      </c>
      <c r="Q45" s="61">
        <v>1.704</v>
      </c>
      <c r="R45" s="61">
        <v>1.327</v>
      </c>
      <c r="S45" s="61">
        <v>1.107</v>
      </c>
      <c r="T45" s="66">
        <v>1.107</v>
      </c>
      <c r="U45" s="66"/>
      <c r="V45" s="61">
        <v>4.3949999999999996</v>
      </c>
      <c r="W45" s="61">
        <v>4.7670000000000003</v>
      </c>
      <c r="X45" s="61">
        <v>4.3079999999999998</v>
      </c>
      <c r="Y45" s="61">
        <v>4.2619999999999996</v>
      </c>
      <c r="Z45" s="66">
        <v>4.2619999999999996</v>
      </c>
      <c r="AA45" s="66"/>
      <c r="AB45" s="61">
        <v>3.83</v>
      </c>
      <c r="AC45" s="61">
        <v>3.6789999999999998</v>
      </c>
      <c r="AD45" s="61">
        <v>3.3029999999999999</v>
      </c>
      <c r="AE45" s="61">
        <v>3.84</v>
      </c>
      <c r="AF45" s="66">
        <v>3.84</v>
      </c>
      <c r="AG45" s="66"/>
      <c r="AH45" s="61">
        <v>6.149</v>
      </c>
      <c r="AI45" s="61">
        <v>5.4960000000000004</v>
      </c>
      <c r="AJ45" s="683" t="e">
        <f ca="1">_xll.BDH([1]Inputs!$D$15,"LT_CAPITALIZED_LEASE_LIABILITIES
","F"&amp;AJ$9&amp;AJ$7,"F"&amp;AJ$9&amp;AJ$7,"Currency="&amp;[1]Inputs!$D$13,"Period=FQ","BEST_FPERIOD_OVERRIDE=FQ","FILING_STATUS=MR","SCALING_FORMAT="&amp;[1]Inputs!$D$14,"FA_ADJUSTED=Adjusted","Sort=A","Dates=H","DateFormat=P","Fill=0","Direction=H","UseDPDF=Y")</f>
        <v>#NAME?</v>
      </c>
      <c r="AK45" s="47"/>
      <c r="AL45" s="66"/>
      <c r="AM45" s="113"/>
      <c r="AN45" s="47"/>
      <c r="AO45" s="47"/>
      <c r="AP45" s="47"/>
      <c r="AQ45" s="47"/>
      <c r="AR45" s="66"/>
      <c r="AS45" s="113"/>
      <c r="AT45" s="66"/>
      <c r="AU45" s="113"/>
      <c r="AV45" s="66"/>
    </row>
    <row r="46" spans="1:48" ht="15" customHeight="1" x14ac:dyDescent="0.3">
      <c r="A46" s="44"/>
      <c r="B46" s="122" t="s">
        <v>691</v>
      </c>
      <c r="D46" s="61">
        <v>5.83</v>
      </c>
      <c r="E46" s="61">
        <v>6.5839999999999996</v>
      </c>
      <c r="F46" s="61">
        <v>6.4540000000000006</v>
      </c>
      <c r="G46" s="61">
        <v>9.32</v>
      </c>
      <c r="H46" s="66">
        <v>9.32</v>
      </c>
      <c r="I46" s="66"/>
      <c r="J46" s="61">
        <v>7.915</v>
      </c>
      <c r="K46" s="61">
        <v>5.8550000000000022</v>
      </c>
      <c r="L46" s="61">
        <v>6.5960000000000036</v>
      </c>
      <c r="M46" s="61">
        <v>9.7490000000000023</v>
      </c>
      <c r="N46" s="66">
        <v>9.7490000000000023</v>
      </c>
      <c r="O46" s="66"/>
      <c r="P46" s="61">
        <v>9.8529999999999998</v>
      </c>
      <c r="Q46" s="61">
        <v>9.3000000000000007</v>
      </c>
      <c r="R46" s="61">
        <v>7.8290000000000024</v>
      </c>
      <c r="S46" s="61">
        <v>7.3209999999999971</v>
      </c>
      <c r="T46" s="66">
        <v>7.3209999999999971</v>
      </c>
      <c r="U46" s="66"/>
      <c r="V46" s="61">
        <v>7.1950000000000003</v>
      </c>
      <c r="W46" s="61">
        <v>6.5659999999999998</v>
      </c>
      <c r="X46" s="61">
        <v>6.1060000000000016</v>
      </c>
      <c r="Y46" s="61">
        <v>5.8730000000000055</v>
      </c>
      <c r="Z46" s="66">
        <v>5.8730000000000055</v>
      </c>
      <c r="AA46" s="66"/>
      <c r="AB46" s="61">
        <v>5.4689999999999994</v>
      </c>
      <c r="AC46" s="61">
        <v>5.5049999999999972</v>
      </c>
      <c r="AD46" s="61">
        <v>5.6849999999999996</v>
      </c>
      <c r="AE46" s="61">
        <v>9.2169999999999881</v>
      </c>
      <c r="AF46" s="66">
        <v>9.2169999999999881</v>
      </c>
      <c r="AG46" s="66"/>
      <c r="AH46" s="61">
        <v>8.8480000000000132</v>
      </c>
      <c r="AI46" s="61">
        <v>8.5269999999999957</v>
      </c>
      <c r="AJ46" s="683" t="e">
        <f ca="1">+AJ47-AJ44-AJ45</f>
        <v>#NAME?</v>
      </c>
      <c r="AK46" s="47"/>
      <c r="AL46" s="66"/>
      <c r="AM46" s="21"/>
      <c r="AN46" s="47"/>
      <c r="AO46" s="47"/>
      <c r="AP46" s="47"/>
      <c r="AQ46" s="47"/>
      <c r="AR46" s="66"/>
      <c r="AS46" s="21"/>
      <c r="AT46" s="66"/>
      <c r="AU46" s="21"/>
      <c r="AV46" s="66"/>
    </row>
    <row r="47" spans="1:48" s="110" customFormat="1" ht="15" customHeight="1" x14ac:dyDescent="0.25">
      <c r="B47" s="129" t="s">
        <v>692</v>
      </c>
      <c r="C47" s="112"/>
      <c r="D47" s="61">
        <v>8.032</v>
      </c>
      <c r="E47" s="61">
        <v>9.9009999999999998</v>
      </c>
      <c r="F47" s="61">
        <v>9.6340000000000003</v>
      </c>
      <c r="G47" s="61">
        <v>30.178999999999998</v>
      </c>
      <c r="H47" s="66">
        <v>30.178999999999998</v>
      </c>
      <c r="I47" s="66"/>
      <c r="J47" s="61">
        <v>28.536999999999999</v>
      </c>
      <c r="K47" s="61">
        <v>27.344000000000001</v>
      </c>
      <c r="L47" s="61">
        <v>31.795000000000002</v>
      </c>
      <c r="M47" s="61">
        <v>34.575000000000003</v>
      </c>
      <c r="N47" s="66">
        <v>34.575000000000003</v>
      </c>
      <c r="O47" s="66"/>
      <c r="P47" s="61">
        <v>34.149000000000001</v>
      </c>
      <c r="Q47" s="61">
        <v>31.646000000000001</v>
      </c>
      <c r="R47" s="61">
        <v>27.966000000000001</v>
      </c>
      <c r="S47" s="61">
        <v>27.114999999999998</v>
      </c>
      <c r="T47" s="66">
        <v>27.114999999999998</v>
      </c>
      <c r="U47" s="66"/>
      <c r="V47" s="61">
        <v>29.835000000000001</v>
      </c>
      <c r="W47" s="61">
        <v>27.231999999999999</v>
      </c>
      <c r="X47" s="61">
        <v>50.167000000000002</v>
      </c>
      <c r="Y47" s="61">
        <v>64.087000000000003</v>
      </c>
      <c r="Z47" s="66">
        <v>64.087000000000003</v>
      </c>
      <c r="AA47" s="66"/>
      <c r="AB47" s="61">
        <v>62.707000000000001</v>
      </c>
      <c r="AC47" s="61">
        <v>80.016999999999996</v>
      </c>
      <c r="AD47" s="61">
        <v>115.057</v>
      </c>
      <c r="AE47" s="61">
        <v>118.58199999999999</v>
      </c>
      <c r="AF47" s="66">
        <v>118.58199999999999</v>
      </c>
      <c r="AG47" s="66"/>
      <c r="AH47" s="61">
        <v>149.53700000000001</v>
      </c>
      <c r="AI47" s="61">
        <v>177.01400000000001</v>
      </c>
      <c r="AJ47" s="683" t="e">
        <f ca="1">_xll.BDH(Inputs!$D$15,"NON_CUR_LIAB
","F"&amp;AJ$9&amp;AJ$7,"F"&amp;AJ$9&amp;AJ$7,"Currency="&amp;Inputs!$D$13,"Period=FQ","BEST_FPERIOD_OVERRIDE=FQ","FILING_STATUS=MR","SCALING_FORMAT="&amp;Inputs!$D$14,"FA_ADJUSTED=Adjusted","Sort=A","Dates=H","DateFormat=P","Fill=0","Direction=H","UseDPDF=Y")</f>
        <v>#NAME?</v>
      </c>
      <c r="AK47" s="47"/>
      <c r="AL47" s="66"/>
      <c r="AM47" s="113"/>
      <c r="AN47" s="47"/>
      <c r="AO47" s="47"/>
      <c r="AP47" s="47"/>
      <c r="AQ47" s="47"/>
      <c r="AR47" s="66"/>
      <c r="AS47" s="113"/>
      <c r="AT47" s="66"/>
      <c r="AU47" s="113"/>
      <c r="AV47" s="66"/>
    </row>
    <row r="48" spans="1:48" ht="15" customHeight="1" x14ac:dyDescent="0.3">
      <c r="A48" s="44"/>
      <c r="B48" s="131" t="s">
        <v>693</v>
      </c>
      <c r="D48" s="61">
        <v>58.798999999999999</v>
      </c>
      <c r="E48" s="61">
        <v>106.417</v>
      </c>
      <c r="F48" s="61">
        <v>105.901</v>
      </c>
      <c r="G48" s="61">
        <v>133.08699999999999</v>
      </c>
      <c r="H48" s="66">
        <v>133.08699999999999</v>
      </c>
      <c r="I48" s="66"/>
      <c r="J48" s="61">
        <v>156.572</v>
      </c>
      <c r="K48" s="61">
        <v>189.40199999999999</v>
      </c>
      <c r="L48" s="61">
        <v>227.00200000000001</v>
      </c>
      <c r="M48" s="61">
        <v>240.51400000000001</v>
      </c>
      <c r="N48" s="66">
        <v>240.51400000000001</v>
      </c>
      <c r="O48" s="66"/>
      <c r="P48" s="61">
        <v>278.59800000000001</v>
      </c>
      <c r="Q48" s="61">
        <v>284.37900000000002</v>
      </c>
      <c r="R48" s="61">
        <v>373.56799999999998</v>
      </c>
      <c r="S48" s="61">
        <v>423.32900000000001</v>
      </c>
      <c r="T48" s="66">
        <v>423.32900000000001</v>
      </c>
      <c r="U48" s="66"/>
      <c r="V48" s="61">
        <v>480.04599999999999</v>
      </c>
      <c r="W48" s="61">
        <v>483.53100000000001</v>
      </c>
      <c r="X48" s="61">
        <v>532.11800000000005</v>
      </c>
      <c r="Y48" s="61">
        <v>564.74599999999998</v>
      </c>
      <c r="Z48" s="66">
        <v>564.74599999999998</v>
      </c>
      <c r="AA48" s="66"/>
      <c r="AB48" s="61">
        <v>595.95600000000002</v>
      </c>
      <c r="AC48" s="61">
        <v>666.18700000000001</v>
      </c>
      <c r="AD48" s="61">
        <v>725.09199999999998</v>
      </c>
      <c r="AE48" s="61">
        <v>759.81500000000005</v>
      </c>
      <c r="AF48" s="66">
        <v>759.81500000000005</v>
      </c>
      <c r="AG48" s="66"/>
      <c r="AH48" s="61">
        <v>778.41499999999996</v>
      </c>
      <c r="AI48" s="61">
        <v>848.02599999999995</v>
      </c>
      <c r="AJ48" s="683" t="e">
        <f ca="1">_xll.BDH([1]Inputs!$D$15,"BS_TOT_LIAB2
","F"&amp;AJ$9&amp;AJ$7,"F"&amp;AJ$9&amp;AJ$7,"Currency="&amp;[1]Inputs!$D$13,"Period=FQ","BEST_FPERIOD_OVERRIDE=FQ","FILING_STATUS=MR","SCALING_FORMAT="&amp;[1]Inputs!$D$14,"FA_ADJUSTED=Adjusted","Sort=A","Dates=H","DateFormat=P","Fill=0","Direction=H","UseDPDF=Y")</f>
        <v>#NAME?</v>
      </c>
      <c r="AK48" s="47"/>
      <c r="AL48" s="77"/>
      <c r="AM48" s="21"/>
      <c r="AN48" s="47"/>
      <c r="AO48" s="47"/>
      <c r="AP48" s="47"/>
      <c r="AQ48" s="47"/>
      <c r="AR48" s="77"/>
      <c r="AS48" s="21"/>
      <c r="AT48" s="77"/>
      <c r="AU48" s="21"/>
      <c r="AV48" s="77"/>
    </row>
    <row r="49" spans="1:36" ht="15" customHeight="1" x14ac:dyDescent="0.3">
      <c r="H49" s="66"/>
      <c r="I49" s="66"/>
      <c r="N49" s="66"/>
      <c r="T49" s="66"/>
      <c r="U49" s="66"/>
      <c r="Z49" s="66"/>
      <c r="AA49" s="66"/>
      <c r="AF49" s="66"/>
      <c r="AG49" s="66"/>
    </row>
    <row r="50" spans="1:36" ht="15" customHeight="1" x14ac:dyDescent="0.3">
      <c r="A50" s="45" t="s">
        <v>38</v>
      </c>
      <c r="B50" s="111" t="s">
        <v>694</v>
      </c>
      <c r="D50" s="47"/>
      <c r="E50" s="47"/>
      <c r="F50" s="47"/>
      <c r="G50" s="47"/>
      <c r="H50" s="66"/>
      <c r="I50" s="66"/>
      <c r="J50" s="47"/>
      <c r="K50" s="47"/>
      <c r="L50" s="47"/>
      <c r="M50" s="47"/>
      <c r="N50" s="66"/>
      <c r="O50" s="21"/>
      <c r="P50" s="47"/>
      <c r="Q50" s="47"/>
      <c r="R50" s="47"/>
      <c r="S50" s="47"/>
      <c r="T50" s="66"/>
      <c r="U50" s="66"/>
      <c r="V50" s="47"/>
      <c r="W50" s="47"/>
      <c r="X50" s="47"/>
      <c r="Y50" s="47"/>
      <c r="Z50" s="66"/>
      <c r="AA50" s="66"/>
      <c r="AB50" s="47"/>
      <c r="AC50" s="47"/>
      <c r="AD50" s="47"/>
      <c r="AE50" s="47"/>
      <c r="AF50" s="66"/>
      <c r="AG50" s="66"/>
      <c r="AH50" s="47"/>
      <c r="AI50" s="47"/>
      <c r="AJ50" s="47"/>
    </row>
    <row r="51" spans="1:36" ht="15" customHeight="1" x14ac:dyDescent="0.3">
      <c r="A51" s="44"/>
      <c r="B51" s="122" t="s">
        <v>695</v>
      </c>
      <c r="D51" s="61">
        <v>98.941999999999993</v>
      </c>
      <c r="E51" s="61">
        <v>89.907000000000011</v>
      </c>
      <c r="F51" s="61">
        <v>126.94199999999998</v>
      </c>
      <c r="G51" s="61">
        <v>141.14999999999998</v>
      </c>
      <c r="H51" s="66">
        <v>141.14999999999998</v>
      </c>
      <c r="I51" s="66"/>
      <c r="J51" s="61">
        <v>148.31100000000001</v>
      </c>
      <c r="K51" s="61">
        <v>160.82300000000001</v>
      </c>
      <c r="L51" s="61">
        <v>173.01600000000002</v>
      </c>
      <c r="M51" s="61">
        <v>676.20399999999995</v>
      </c>
      <c r="N51" s="66">
        <v>676.20399999999995</v>
      </c>
      <c r="O51" s="21"/>
      <c r="P51" s="61">
        <v>674.38599999999997</v>
      </c>
      <c r="Q51" s="61">
        <v>655.005</v>
      </c>
      <c r="R51" s="61">
        <v>643.01499999999999</v>
      </c>
      <c r="S51" s="61">
        <v>674.85599999999999</v>
      </c>
      <c r="T51" s="66">
        <v>674.85599999999999</v>
      </c>
      <c r="U51" s="66"/>
      <c r="V51" s="61">
        <v>691.92700000000002</v>
      </c>
      <c r="W51" s="61">
        <v>691.95400000000006</v>
      </c>
      <c r="X51" s="61">
        <v>729.05</v>
      </c>
      <c r="Y51" s="61">
        <v>767.3900000000001</v>
      </c>
      <c r="Z51" s="66">
        <v>767.3900000000001</v>
      </c>
      <c r="AA51" s="66"/>
      <c r="AB51" s="61">
        <v>796.202</v>
      </c>
      <c r="AC51" s="61">
        <v>833.1690000000001</v>
      </c>
      <c r="AD51" s="61">
        <v>888.16600000000005</v>
      </c>
      <c r="AE51" s="61">
        <v>904.625</v>
      </c>
      <c r="AF51" s="66">
        <v>904.625</v>
      </c>
      <c r="AG51" s="66"/>
      <c r="AH51" s="61">
        <v>949.14600000000007</v>
      </c>
      <c r="AI51" s="61">
        <v>986.45</v>
      </c>
      <c r="AJ51" s="683" t="e">
        <f ca="1">AJ54-AJ52-AJ53</f>
        <v>#NAME?</v>
      </c>
    </row>
    <row r="52" spans="1:36" s="110" customFormat="1" ht="15" customHeight="1" x14ac:dyDescent="0.25">
      <c r="B52" s="122" t="s">
        <v>696</v>
      </c>
      <c r="C52" s="112"/>
      <c r="D52" s="61">
        <v>0</v>
      </c>
      <c r="E52" s="61">
        <v>0</v>
      </c>
      <c r="F52" s="61">
        <v>0</v>
      </c>
      <c r="G52" s="61">
        <v>0</v>
      </c>
      <c r="H52" s="66">
        <v>0</v>
      </c>
      <c r="I52" s="66"/>
      <c r="J52" s="61">
        <v>0</v>
      </c>
      <c r="K52" s="61">
        <v>0</v>
      </c>
      <c r="L52" s="61">
        <v>0</v>
      </c>
      <c r="M52" s="61">
        <v>0</v>
      </c>
      <c r="N52" s="66">
        <v>0</v>
      </c>
      <c r="O52" s="683"/>
      <c r="P52" s="61">
        <v>0</v>
      </c>
      <c r="Q52" s="61">
        <v>0</v>
      </c>
      <c r="R52" s="61">
        <v>0</v>
      </c>
      <c r="S52" s="61">
        <v>0</v>
      </c>
      <c r="T52" s="66">
        <v>0</v>
      </c>
      <c r="U52" s="66"/>
      <c r="V52" s="61">
        <v>0</v>
      </c>
      <c r="W52" s="61">
        <v>0</v>
      </c>
      <c r="X52" s="61">
        <v>0</v>
      </c>
      <c r="Y52" s="61">
        <v>0</v>
      </c>
      <c r="Z52" s="66">
        <v>0</v>
      </c>
      <c r="AA52" s="66"/>
      <c r="AB52" s="61">
        <v>0</v>
      </c>
      <c r="AC52" s="61">
        <v>0</v>
      </c>
      <c r="AD52" s="61">
        <v>0</v>
      </c>
      <c r="AE52" s="61">
        <v>0</v>
      </c>
      <c r="AF52" s="66">
        <v>0</v>
      </c>
      <c r="AG52" s="66"/>
      <c r="AH52" s="61">
        <v>0</v>
      </c>
      <c r="AI52" s="61">
        <v>0</v>
      </c>
      <c r="AJ52" s="683" t="e">
        <f ca="1">_xll.BDH(Inputs!$D$15,"PFD_EQTY_HYBRID_CAPITAL
","F"&amp;AJ$9&amp;AJ$7,"F"&amp;AJ$9&amp;AJ$7,"Currency="&amp;Inputs!$D$13,"Period=FQ","BEST_FPERIOD_OVERRIDE=FQ","FILING_STATUS=MR","SCALING_FORMAT="&amp;Inputs!$D$14,"FA_ADJUSTED=Adjusted","Sort=A","Dates=H","DateFormat=P","Fill=0","Direction=H","UseDPDF=Y")</f>
        <v>#NAME?</v>
      </c>
    </row>
    <row r="53" spans="1:36" ht="15" customHeight="1" x14ac:dyDescent="0.3">
      <c r="A53" s="44"/>
      <c r="B53" s="122" t="s">
        <v>697</v>
      </c>
      <c r="D53" s="61">
        <v>59.466999999999999</v>
      </c>
      <c r="E53" s="61">
        <v>61.078000000000003</v>
      </c>
      <c r="F53" s="61">
        <v>63.776000000000003</v>
      </c>
      <c r="G53" s="61">
        <v>67.02</v>
      </c>
      <c r="H53" s="66">
        <v>67.02</v>
      </c>
      <c r="I53" s="66"/>
      <c r="J53" s="61">
        <v>66.936000000000007</v>
      </c>
      <c r="K53" s="61">
        <v>68.733000000000004</v>
      </c>
      <c r="L53" s="61">
        <v>69.491</v>
      </c>
      <c r="M53" s="61">
        <v>135.46100000000001</v>
      </c>
      <c r="N53" s="66">
        <v>135.46100000000001</v>
      </c>
      <c r="O53" s="683"/>
      <c r="P53" s="61">
        <v>134.38800000000001</v>
      </c>
      <c r="Q53" s="61">
        <v>132.13999999999999</v>
      </c>
      <c r="R53" s="61">
        <v>131.083</v>
      </c>
      <c r="S53" s="61">
        <v>137.315</v>
      </c>
      <c r="T53" s="66">
        <v>137.315</v>
      </c>
      <c r="U53" s="66"/>
      <c r="V53" s="61">
        <v>140.77799999999999</v>
      </c>
      <c r="W53" s="61">
        <v>141.429</v>
      </c>
      <c r="X53" s="61">
        <v>149.08000000000001</v>
      </c>
      <c r="Y53" s="61">
        <v>158.77199999999999</v>
      </c>
      <c r="Z53" s="66">
        <v>158.77199999999999</v>
      </c>
      <c r="AA53" s="66"/>
      <c r="AB53" s="61">
        <v>164.59100000000001</v>
      </c>
      <c r="AC53" s="61">
        <v>168.21899999999999</v>
      </c>
      <c r="AD53" s="61">
        <v>180.917</v>
      </c>
      <c r="AE53" s="61">
        <v>191.28100000000001</v>
      </c>
      <c r="AF53" s="66">
        <v>191.28100000000001</v>
      </c>
      <c r="AG53" s="66"/>
      <c r="AH53" s="61">
        <v>206.20699999999999</v>
      </c>
      <c r="AI53" s="61">
        <v>205.239</v>
      </c>
      <c r="AJ53" s="683" t="e">
        <f ca="1">_xll.BDH(Inputs!$D$15,"MINORITY_NONCONTROLLING_INTEREST
","F"&amp;AJ$9&amp;AJ$7,"F"&amp;AJ$9&amp;AJ$7,"Currency="&amp;Inputs!$D$13,"Period=FQ","BEST_FPERIOD_OVERRIDE=FQ","FILING_STATUS=MR","SCALING_FORMAT="&amp;Inputs!$D$14,"FA_ADJUSTED=Adjusted","Sort=A","Dates=H","DateFormat=P","Fill=0","Direction=H","UseDPDF=Y")</f>
        <v>#NAME?</v>
      </c>
    </row>
    <row r="54" spans="1:36" s="110" customFormat="1" ht="15" customHeight="1" x14ac:dyDescent="0.25">
      <c r="B54" s="129" t="s">
        <v>698</v>
      </c>
      <c r="C54" s="112"/>
      <c r="D54" s="61">
        <v>158.40899999999999</v>
      </c>
      <c r="E54" s="61">
        <v>150.98500000000001</v>
      </c>
      <c r="F54" s="61">
        <v>190.71799999999999</v>
      </c>
      <c r="G54" s="61">
        <v>208.17</v>
      </c>
      <c r="H54" s="66">
        <v>208.17</v>
      </c>
      <c r="I54" s="66"/>
      <c r="J54" s="61">
        <v>215.24700000000001</v>
      </c>
      <c r="K54" s="61">
        <v>229.55600000000001</v>
      </c>
      <c r="L54" s="61">
        <v>242.50700000000001</v>
      </c>
      <c r="M54" s="61">
        <v>811.66499999999996</v>
      </c>
      <c r="N54" s="66">
        <v>811.66499999999996</v>
      </c>
      <c r="O54" s="683"/>
      <c r="P54" s="61">
        <v>808.774</v>
      </c>
      <c r="Q54" s="61">
        <v>787.14499999999998</v>
      </c>
      <c r="R54" s="61">
        <v>774.09799999999996</v>
      </c>
      <c r="S54" s="61">
        <v>812.17100000000005</v>
      </c>
      <c r="T54" s="66">
        <v>812.17100000000005</v>
      </c>
      <c r="U54" s="66"/>
      <c r="V54" s="61">
        <v>832.70500000000004</v>
      </c>
      <c r="W54" s="61">
        <v>833.38300000000004</v>
      </c>
      <c r="X54" s="61">
        <v>878.13</v>
      </c>
      <c r="Y54" s="61">
        <v>926.16200000000003</v>
      </c>
      <c r="Z54" s="66">
        <v>926.16200000000003</v>
      </c>
      <c r="AA54" s="66"/>
      <c r="AB54" s="61">
        <v>960.79300000000001</v>
      </c>
      <c r="AC54" s="61">
        <v>1001.388</v>
      </c>
      <c r="AD54" s="61">
        <v>1069.0830000000001</v>
      </c>
      <c r="AE54" s="61">
        <v>1095.9059999999999</v>
      </c>
      <c r="AF54" s="66">
        <v>1095.9059999999999</v>
      </c>
      <c r="AG54" s="66"/>
      <c r="AH54" s="61">
        <v>1155.3530000000001</v>
      </c>
      <c r="AI54" s="61">
        <v>1191.6890000000001</v>
      </c>
      <c r="AJ54" s="683" t="e">
        <f ca="1">_xll.BDH(Inputs!$D$15,"TOTAL_EQUITY
","F"&amp;AJ$9&amp;AJ$7,"F"&amp;AJ$9&amp;AJ$7,"Currency="&amp;Inputs!$D$13,"Period=FQ","BEST_FPERIOD_OVERRIDE=FQ","FILING_STATUS=MR","SCALING_FORMAT="&amp;Inputs!$D$14,"FA_ADJUSTED=Adjusted","Sort=A","Dates=H","DateFormat=P","Fill=0","Direction=H","UseDPDF=Y")</f>
        <v>#NAME?</v>
      </c>
    </row>
    <row r="55" spans="1:36" ht="15" customHeight="1" x14ac:dyDescent="0.3">
      <c r="A55" s="44"/>
      <c r="B55" s="131" t="s">
        <v>699</v>
      </c>
      <c r="D55" s="61">
        <v>217.208</v>
      </c>
      <c r="E55" s="61">
        <v>257.40199999999999</v>
      </c>
      <c r="F55" s="61">
        <v>296.61900000000003</v>
      </c>
      <c r="G55" s="61">
        <v>341.25700000000001</v>
      </c>
      <c r="H55" s="66">
        <v>341.25700000000001</v>
      </c>
      <c r="I55" s="66"/>
      <c r="J55" s="61">
        <v>371.81900000000002</v>
      </c>
      <c r="K55" s="61">
        <v>418.95800000000003</v>
      </c>
      <c r="L55" s="61">
        <v>469.50900000000001</v>
      </c>
      <c r="M55" s="61">
        <v>1052.1790000000001</v>
      </c>
      <c r="N55" s="66">
        <v>1052.1790000000001</v>
      </c>
      <c r="O55" s="683"/>
      <c r="P55" s="61">
        <v>1087.3720000000001</v>
      </c>
      <c r="Q55" s="61">
        <v>1071.5239999999999</v>
      </c>
      <c r="R55" s="61">
        <v>1147.6659999999999</v>
      </c>
      <c r="S55" s="61">
        <v>1235.5</v>
      </c>
      <c r="T55" s="66">
        <v>1235.5</v>
      </c>
      <c r="U55" s="66"/>
      <c r="V55" s="61">
        <v>1312.751</v>
      </c>
      <c r="W55" s="61">
        <v>1316.914</v>
      </c>
      <c r="X55" s="61">
        <v>1410.248</v>
      </c>
      <c r="Y55" s="61">
        <v>1490.9079999999999</v>
      </c>
      <c r="Z55" s="66">
        <v>1490.9079999999999</v>
      </c>
      <c r="AA55" s="66"/>
      <c r="AB55" s="66">
        <v>1556.749</v>
      </c>
      <c r="AC55" s="61">
        <v>1667.575</v>
      </c>
      <c r="AD55" s="61">
        <v>1794.175</v>
      </c>
      <c r="AE55" s="61">
        <v>1855.721</v>
      </c>
      <c r="AF55" s="66">
        <v>1855.721</v>
      </c>
      <c r="AG55" s="66"/>
      <c r="AH55" s="61">
        <v>1933.768</v>
      </c>
      <c r="AI55" s="61">
        <v>2039.7149999999999</v>
      </c>
      <c r="AJ55" s="683" t="e">
        <f ca="1">_xll.BDH([1]Inputs!$D$15,"TOT_LIAB_AND_EQY
","F"&amp;AJ$9&amp;AJ$7,"F"&amp;AJ$9&amp;AJ$7,"Currency="&amp;[1]Inputs!$D$13,"Period=FQ","BEST_FPERIOD_OVERRIDE=FQ","FILING_STATUS=MR","SCALING_FORMAT="&amp;[1]Inputs!$D$14,"FA_ADJUSTED=Adjusted","Sort=A","Dates=H","DateFormat=P","Fill=0","Direction=H","UseDPDF=Y")</f>
        <v>#NAME?</v>
      </c>
    </row>
    <row r="56" spans="1:36" ht="15" customHeight="1" x14ac:dyDescent="0.3">
      <c r="H56" s="66"/>
      <c r="T56" s="66"/>
      <c r="U56" s="66"/>
      <c r="Z56" s="66"/>
      <c r="AB56" s="66"/>
      <c r="AF56" s="66"/>
    </row>
    <row r="57" spans="1:36" ht="15" customHeight="1" thickBot="1" x14ac:dyDescent="0.35">
      <c r="B57" s="111" t="s">
        <v>700</v>
      </c>
      <c r="D57" s="61">
        <v>0</v>
      </c>
      <c r="E57" s="61">
        <v>0</v>
      </c>
      <c r="F57" s="61">
        <v>0</v>
      </c>
      <c r="G57" s="61">
        <v>0</v>
      </c>
      <c r="H57" s="92">
        <v>0</v>
      </c>
      <c r="I57" s="21"/>
      <c r="J57" s="61">
        <v>0</v>
      </c>
      <c r="K57" s="61">
        <v>0</v>
      </c>
      <c r="L57" s="61">
        <v>0</v>
      </c>
      <c r="M57" s="61">
        <v>0</v>
      </c>
      <c r="N57" s="92">
        <v>0</v>
      </c>
      <c r="O57" s="21"/>
      <c r="P57" s="61">
        <v>0</v>
      </c>
      <c r="Q57" s="61">
        <v>0</v>
      </c>
      <c r="R57" s="61">
        <v>0</v>
      </c>
      <c r="S57" s="61">
        <v>0</v>
      </c>
      <c r="T57" s="92">
        <v>0</v>
      </c>
      <c r="U57" s="21"/>
      <c r="V57" s="61">
        <v>0</v>
      </c>
      <c r="W57" s="61">
        <v>0</v>
      </c>
      <c r="X57" s="61">
        <v>0</v>
      </c>
      <c r="Y57" s="61">
        <v>0</v>
      </c>
      <c r="Z57" s="92">
        <v>0</v>
      </c>
      <c r="AA57" s="21"/>
      <c r="AB57" s="66">
        <v>0</v>
      </c>
      <c r="AC57" s="61">
        <v>0</v>
      </c>
      <c r="AD57" s="61">
        <v>0</v>
      </c>
      <c r="AE57" s="61">
        <v>0</v>
      </c>
      <c r="AF57" s="92">
        <v>0</v>
      </c>
      <c r="AG57" s="137"/>
      <c r="AH57" s="61">
        <v>0</v>
      </c>
      <c r="AI57" s="61">
        <v>0</v>
      </c>
      <c r="AJ57" s="683" t="e">
        <f ca="1">_xll.BDH([1]Inputs!$D$15,"EXPND_INCUR_ON_R&amp;D_CAPITALZD
","F"&amp;AJ$9&amp;AJ$7,"F"&amp;AJ$9&amp;AJ$7,"Currency="&amp;[1]Inputs!$D$13,"Period=FQ","BEST_FPERIOD_OVERRIDE=FQ","FILING_STATUS=MR","SCALING_FORMAT="&amp;[1]Inputs!$D$14,"FA_ADJUSTED=Adjusted","Sort=A","Dates=H","DateFormat=P","Fill=0","Direction=H","UseDPDF=Y")</f>
        <v>#NAME?</v>
      </c>
    </row>
    <row r="58" spans="1:36" ht="15" customHeight="1" thickTop="1" x14ac:dyDescent="0.3">
      <c r="AB58" s="66"/>
    </row>
    <row r="59" spans="1:36" ht="15" customHeight="1" x14ac:dyDescent="0.3">
      <c r="AB59" s="66"/>
    </row>
    <row r="60" spans="1:36" ht="15" customHeight="1" x14ac:dyDescent="0.3">
      <c r="AB60" s="66"/>
    </row>
    <row r="61" spans="1:36" ht="15" customHeight="1" x14ac:dyDescent="0.3">
      <c r="AB61" s="66"/>
    </row>
    <row r="62" spans="1:36" ht="15" customHeight="1" x14ac:dyDescent="0.3">
      <c r="AB62" s="66"/>
    </row>
    <row r="63" spans="1:36" ht="15" customHeight="1" x14ac:dyDescent="0.3">
      <c r="AB63" s="66"/>
    </row>
    <row r="64" spans="1:36" ht="15" customHeight="1" x14ac:dyDescent="0.3">
      <c r="AB64" s="66"/>
    </row>
    <row r="65" spans="28:28" ht="15" customHeight="1" x14ac:dyDescent="0.3">
      <c r="AB65" s="66"/>
    </row>
    <row r="66" spans="28:28" ht="15" customHeight="1" x14ac:dyDescent="0.3">
      <c r="AB66" s="66"/>
    </row>
    <row r="67" spans="28:28" ht="15" customHeight="1" x14ac:dyDescent="0.3">
      <c r="AB67" s="66"/>
    </row>
    <row r="68" spans="28:28" ht="15" customHeight="1" x14ac:dyDescent="0.3">
      <c r="AB68" s="66"/>
    </row>
    <row r="69" spans="28:28" ht="15" customHeight="1" x14ac:dyDescent="0.3">
      <c r="AB69" s="66"/>
    </row>
    <row r="70" spans="28:28" ht="15" customHeight="1" x14ac:dyDescent="0.3">
      <c r="AB70" s="66"/>
    </row>
    <row r="71" spans="28:28" ht="15" customHeight="1" x14ac:dyDescent="0.3">
      <c r="AB71" s="66"/>
    </row>
    <row r="72" spans="28:28" ht="15" customHeight="1" x14ac:dyDescent="0.3">
      <c r="AB72" s="66"/>
    </row>
    <row r="73" spans="28:28" ht="15" customHeight="1" x14ac:dyDescent="0.3">
      <c r="AB73" s="66"/>
    </row>
    <row r="74" spans="28:28" ht="15" customHeight="1" x14ac:dyDescent="0.3">
      <c r="AB74" s="66"/>
    </row>
    <row r="75" spans="28:28" ht="15" customHeight="1" x14ac:dyDescent="0.3">
      <c r="AB75" s="66"/>
    </row>
    <row r="76" spans="28:28" ht="15" customHeight="1" x14ac:dyDescent="0.3">
      <c r="AB76" s="66"/>
    </row>
    <row r="77" spans="28:28" ht="15" customHeight="1" x14ac:dyDescent="0.3">
      <c r="AB77" s="66"/>
    </row>
    <row r="78" spans="28:28" ht="15" customHeight="1" x14ac:dyDescent="0.3">
      <c r="AB78" s="66"/>
    </row>
    <row r="79" spans="28:28" ht="15" customHeight="1" x14ac:dyDescent="0.3">
      <c r="AB79" s="66"/>
    </row>
    <row r="80" spans="28:28" ht="15" customHeight="1" x14ac:dyDescent="0.3">
      <c r="AB80" s="66"/>
    </row>
    <row r="81" spans="28:28" ht="15" customHeight="1" x14ac:dyDescent="0.3">
      <c r="AB81" s="66"/>
    </row>
    <row r="82" spans="28:28" ht="15" customHeight="1" x14ac:dyDescent="0.3">
      <c r="AB82" s="66"/>
    </row>
    <row r="83" spans="28:28" ht="15" customHeight="1" x14ac:dyDescent="0.3">
      <c r="AB83" s="66"/>
    </row>
    <row r="84" spans="28:28" ht="15" customHeight="1" x14ac:dyDescent="0.3">
      <c r="AB84" s="66"/>
    </row>
    <row r="85" spans="28:28" ht="15" customHeight="1" x14ac:dyDescent="0.3">
      <c r="AB85" s="66"/>
    </row>
    <row r="86" spans="28:28" ht="15" customHeight="1" x14ac:dyDescent="0.3">
      <c r="AB86" s="66"/>
    </row>
    <row r="87" spans="28:28" ht="15" customHeight="1" x14ac:dyDescent="0.3">
      <c r="AB87" s="66"/>
    </row>
    <row r="88" spans="28:28" ht="15" customHeight="1" x14ac:dyDescent="0.3">
      <c r="AB88" s="66"/>
    </row>
    <row r="89" spans="28:28" ht="15" customHeight="1" x14ac:dyDescent="0.3">
      <c r="AB89" s="66"/>
    </row>
    <row r="90" spans="28:28" ht="15" customHeight="1" x14ac:dyDescent="0.3">
      <c r="AB90" s="66"/>
    </row>
    <row r="91" spans="28:28" ht="15" customHeight="1" x14ac:dyDescent="0.3">
      <c r="AB91" s="66"/>
    </row>
    <row r="92" spans="28:28" ht="15" customHeight="1" x14ac:dyDescent="0.3">
      <c r="AB92" s="66"/>
    </row>
    <row r="93" spans="28:28" ht="15" customHeight="1" x14ac:dyDescent="0.3">
      <c r="AB93" s="66"/>
    </row>
    <row r="94" spans="28:28" ht="15" customHeight="1" x14ac:dyDescent="0.3">
      <c r="AB94" s="66"/>
    </row>
    <row r="95" spans="28:28" ht="15" customHeight="1" x14ac:dyDescent="0.3">
      <c r="AB95" s="66"/>
    </row>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3"/>
  <sheetViews>
    <sheetView showGridLines="0" zoomScale="40" zoomScaleNormal="100" workbookViewId="0">
      <selection activeCell="Q21" sqref="Q21"/>
    </sheetView>
  </sheetViews>
  <sheetFormatPr defaultColWidth="9" defaultRowHeight="15" customHeight="1" outlineLevelCol="1" x14ac:dyDescent="0.3"/>
  <cols>
    <col min="1" max="1" width="2" style="42" customWidth="1"/>
    <col min="2" max="2" width="50.5" style="42" customWidth="1"/>
    <col min="3" max="3" width="3.296875" style="18" customWidth="1"/>
    <col min="4" max="7" width="9.5" style="42" customWidth="1" outlineLevel="1"/>
    <col min="8" max="8" width="11.5" style="42" customWidth="1"/>
    <col min="9" max="9" width="1.5" style="18" customWidth="1"/>
    <col min="10" max="13" width="9.5" style="42" customWidth="1" outlineLevel="1"/>
    <col min="14" max="14" width="11.5" style="42" customWidth="1"/>
    <col min="15" max="15" width="1.5" style="18" customWidth="1"/>
    <col min="16" max="19" width="9.5" style="42" customWidth="1" outlineLevel="1"/>
    <col min="20" max="20" width="15.5" style="42" customWidth="1"/>
    <col min="21" max="21" width="1.5" style="18" customWidth="1"/>
    <col min="22" max="25" width="9.5" style="42" customWidth="1" outlineLevel="1"/>
    <col min="26" max="26" width="11.5" style="42" customWidth="1"/>
    <col min="27" max="27" width="1.5" style="18" customWidth="1"/>
    <col min="28" max="31" width="9.5" style="42" customWidth="1" outlineLevel="1"/>
    <col min="32" max="32" width="11.5" style="42" customWidth="1"/>
    <col min="33" max="33" width="1.5" style="18" customWidth="1"/>
    <col min="34" max="37" width="9.5" style="42" customWidth="1" outlineLevel="1"/>
    <col min="38" max="38" width="11.5" style="42" customWidth="1"/>
    <col min="39" max="39" width="1.5" style="18" customWidth="1"/>
    <col min="40" max="43" width="9.5" style="42" customWidth="1" outlineLevel="1"/>
    <col min="44" max="44" width="11.5" style="42" customWidth="1"/>
    <col min="45" max="45" width="1.5" style="18" customWidth="1"/>
    <col min="46" max="46" width="11.5" style="42" customWidth="1"/>
    <col min="47" max="47" width="1.5" style="18" customWidth="1"/>
    <col min="48" max="48" width="11.5" style="43" customWidth="1"/>
    <col min="49" max="49" width="1.5" style="42" customWidth="1"/>
    <col min="50" max="50" width="11.5" style="42" customWidth="1"/>
    <col min="51" max="51" width="1.5" style="42" customWidth="1"/>
    <col min="52" max="16384" width="9" style="42"/>
  </cols>
  <sheetData>
    <row r="1" spans="1:50" s="569" customFormat="1" ht="15" customHeight="1" x14ac:dyDescent="0.25"/>
    <row r="2" spans="1:50" s="569" customFormat="1" ht="15" customHeight="1" x14ac:dyDescent="0.25"/>
    <row r="3" spans="1:50" s="569" customFormat="1" ht="15" customHeight="1" x14ac:dyDescent="0.25"/>
    <row r="4" spans="1:50" s="569" customFormat="1" ht="15" customHeight="1" x14ac:dyDescent="0.25"/>
    <row r="5" spans="1:50" s="565" customFormat="1" ht="4.05" customHeight="1" x14ac:dyDescent="0.3">
      <c r="C5" s="566"/>
      <c r="I5" s="566"/>
      <c r="O5" s="566"/>
      <c r="U5" s="566"/>
      <c r="AA5" s="566"/>
      <c r="AG5" s="566"/>
      <c r="AM5" s="566"/>
      <c r="AS5" s="566"/>
      <c r="AU5" s="566"/>
      <c r="AV5" s="567"/>
    </row>
    <row r="7" spans="1:50" ht="15" customHeight="1" x14ac:dyDescent="0.3">
      <c r="A7" s="45" t="s">
        <v>38</v>
      </c>
      <c r="B7" s="147" t="s">
        <v>496</v>
      </c>
      <c r="C7" s="19"/>
      <c r="D7" s="188">
        <v>2020</v>
      </c>
      <c r="E7" s="188">
        <v>2020</v>
      </c>
      <c r="F7" s="188">
        <v>2020</v>
      </c>
      <c r="G7" s="188">
        <v>2020</v>
      </c>
      <c r="H7" s="188">
        <v>2020</v>
      </c>
      <c r="I7" s="19"/>
      <c r="J7" s="188">
        <v>2021</v>
      </c>
      <c r="K7" s="188">
        <v>2021</v>
      </c>
      <c r="L7" s="188">
        <v>2021</v>
      </c>
      <c r="M7" s="188">
        <v>2021</v>
      </c>
      <c r="N7" s="188">
        <v>2021</v>
      </c>
      <c r="O7" s="155"/>
      <c r="P7" s="188">
        <v>2022</v>
      </c>
      <c r="Q7" s="188">
        <v>2022</v>
      </c>
      <c r="R7" s="188">
        <v>2022</v>
      </c>
      <c r="S7" s="188">
        <v>2022</v>
      </c>
      <c r="T7" s="188">
        <v>2022</v>
      </c>
      <c r="U7" s="155"/>
      <c r="V7" s="188">
        <v>2023</v>
      </c>
      <c r="W7" s="188">
        <v>2023</v>
      </c>
      <c r="X7" s="188">
        <v>2023</v>
      </c>
      <c r="Y7" s="188">
        <v>2023</v>
      </c>
      <c r="Z7" s="188">
        <v>2023</v>
      </c>
      <c r="AA7" s="156"/>
      <c r="AB7" s="188">
        <v>2024</v>
      </c>
      <c r="AC7" s="188">
        <v>2024</v>
      </c>
      <c r="AD7" s="188">
        <v>2024</v>
      </c>
      <c r="AE7" s="188">
        <v>2024</v>
      </c>
      <c r="AF7" s="188">
        <v>2024</v>
      </c>
      <c r="AG7" s="156"/>
      <c r="AH7" s="188">
        <v>2025</v>
      </c>
      <c r="AI7" s="188">
        <v>2025</v>
      </c>
      <c r="AJ7" s="189">
        <v>2025</v>
      </c>
      <c r="AK7" s="188">
        <v>2025</v>
      </c>
      <c r="AL7" s="188">
        <v>2025</v>
      </c>
      <c r="AM7" s="157"/>
      <c r="AN7" s="188">
        <v>2025</v>
      </c>
      <c r="AO7" s="188">
        <v>2025</v>
      </c>
      <c r="AP7" s="189">
        <v>2025</v>
      </c>
      <c r="AQ7" s="188">
        <v>2025</v>
      </c>
      <c r="AR7" s="188">
        <v>2025</v>
      </c>
      <c r="AS7" s="19"/>
      <c r="AT7" s="148"/>
      <c r="AU7" s="19"/>
      <c r="AV7" s="149"/>
      <c r="AW7" s="19"/>
      <c r="AX7" s="149"/>
    </row>
    <row r="8" spans="1:50" ht="15" customHeight="1" x14ac:dyDescent="0.3">
      <c r="B8" s="150"/>
      <c r="C8" s="19"/>
      <c r="D8" s="803">
        <v>2020</v>
      </c>
      <c r="E8" s="803"/>
      <c r="F8" s="803"/>
      <c r="G8" s="803"/>
      <c r="H8" s="803"/>
      <c r="I8" s="155"/>
      <c r="J8" s="803">
        <v>2021</v>
      </c>
      <c r="K8" s="803"/>
      <c r="L8" s="803"/>
      <c r="M8" s="803"/>
      <c r="N8" s="803"/>
      <c r="O8" s="155"/>
      <c r="P8" s="803">
        <v>2022</v>
      </c>
      <c r="Q8" s="803"/>
      <c r="R8" s="803"/>
      <c r="S8" s="803"/>
      <c r="T8" s="803"/>
      <c r="U8" s="155"/>
      <c r="V8" s="803">
        <v>2023</v>
      </c>
      <c r="W8" s="803"/>
      <c r="X8" s="803"/>
      <c r="Y8" s="803"/>
      <c r="Z8" s="803"/>
      <c r="AA8" s="155"/>
      <c r="AB8" s="803">
        <v>2024</v>
      </c>
      <c r="AC8" s="803"/>
      <c r="AD8" s="803"/>
      <c r="AE8" s="803"/>
      <c r="AF8" s="803"/>
      <c r="AG8" s="155"/>
      <c r="AH8" s="802">
        <v>2025</v>
      </c>
      <c r="AI8" s="802"/>
      <c r="AJ8" s="802"/>
      <c r="AK8" s="802"/>
      <c r="AL8" s="802"/>
      <c r="AM8" s="155"/>
      <c r="AN8" s="802">
        <v>2026</v>
      </c>
      <c r="AO8" s="802"/>
      <c r="AP8" s="802"/>
      <c r="AQ8" s="802"/>
      <c r="AR8" s="802"/>
      <c r="AS8" s="157"/>
      <c r="AT8" s="152">
        <v>2027</v>
      </c>
      <c r="AU8" s="153"/>
      <c r="AV8" s="152">
        <v>2028</v>
      </c>
      <c r="AW8" s="153"/>
      <c r="AX8" s="152">
        <v>2029</v>
      </c>
    </row>
    <row r="9" spans="1:50" ht="15" customHeight="1" x14ac:dyDescent="0.3">
      <c r="B9" s="150"/>
      <c r="C9" s="19"/>
      <c r="D9" s="154" t="s">
        <v>219</v>
      </c>
      <c r="E9" s="154" t="s">
        <v>220</v>
      </c>
      <c r="F9" s="154" t="s">
        <v>221</v>
      </c>
      <c r="G9" s="154" t="s">
        <v>222</v>
      </c>
      <c r="H9" s="154" t="s">
        <v>223</v>
      </c>
      <c r="I9" s="19"/>
      <c r="J9" s="154" t="s">
        <v>219</v>
      </c>
      <c r="K9" s="154" t="s">
        <v>220</v>
      </c>
      <c r="L9" s="154" t="s">
        <v>221</v>
      </c>
      <c r="M9" s="154" t="s">
        <v>222</v>
      </c>
      <c r="N9" s="154" t="s">
        <v>223</v>
      </c>
      <c r="O9" s="151"/>
      <c r="P9" s="154" t="s">
        <v>219</v>
      </c>
      <c r="Q9" s="154" t="s">
        <v>220</v>
      </c>
      <c r="R9" s="154" t="s">
        <v>221</v>
      </c>
      <c r="S9" s="154" t="s">
        <v>222</v>
      </c>
      <c r="T9" s="154" t="s">
        <v>223</v>
      </c>
      <c r="U9" s="151"/>
      <c r="V9" s="154" t="s">
        <v>219</v>
      </c>
      <c r="W9" s="154" t="s">
        <v>220</v>
      </c>
      <c r="X9" s="154" t="s">
        <v>221</v>
      </c>
      <c r="Y9" s="154" t="s">
        <v>222</v>
      </c>
      <c r="Z9" s="154" t="s">
        <v>223</v>
      </c>
      <c r="AA9" s="151"/>
      <c r="AB9" s="154" t="s">
        <v>219</v>
      </c>
      <c r="AC9" s="154" t="s">
        <v>220</v>
      </c>
      <c r="AD9" s="154" t="s">
        <v>221</v>
      </c>
      <c r="AE9" s="154" t="s">
        <v>222</v>
      </c>
      <c r="AF9" s="154" t="s">
        <v>223</v>
      </c>
      <c r="AG9" s="151"/>
      <c r="AH9" s="154" t="s">
        <v>219</v>
      </c>
      <c r="AI9" s="154" t="s">
        <v>220</v>
      </c>
      <c r="AJ9" s="154" t="s">
        <v>221</v>
      </c>
      <c r="AK9" s="154" t="s">
        <v>222</v>
      </c>
      <c r="AL9" s="154" t="s">
        <v>223</v>
      </c>
      <c r="AM9" s="151"/>
      <c r="AN9" s="154" t="s">
        <v>219</v>
      </c>
      <c r="AO9" s="154" t="s">
        <v>220</v>
      </c>
      <c r="AP9" s="154" t="s">
        <v>221</v>
      </c>
      <c r="AQ9" s="154" t="s">
        <v>222</v>
      </c>
      <c r="AR9" s="154" t="s">
        <v>223</v>
      </c>
      <c r="AS9" s="151"/>
      <c r="AT9" s="154" t="s">
        <v>223</v>
      </c>
      <c r="AU9" s="151"/>
      <c r="AV9" s="154" t="s">
        <v>223</v>
      </c>
      <c r="AW9" s="151"/>
      <c r="AX9" s="154" t="s">
        <v>223</v>
      </c>
    </row>
    <row r="10" spans="1:50" ht="4.05" customHeight="1" x14ac:dyDescent="0.3">
      <c r="A10" s="44"/>
      <c r="B10" s="162"/>
      <c r="C10" s="36"/>
      <c r="D10" s="163"/>
      <c r="E10" s="163"/>
      <c r="F10" s="163"/>
      <c r="G10" s="163"/>
      <c r="H10" s="163"/>
      <c r="I10" s="36"/>
      <c r="J10" s="163"/>
      <c r="K10" s="163"/>
      <c r="L10" s="163"/>
      <c r="M10" s="163"/>
      <c r="N10" s="163"/>
      <c r="O10" s="164"/>
      <c r="P10" s="163"/>
      <c r="Q10" s="163"/>
      <c r="R10" s="163"/>
      <c r="S10" s="163"/>
      <c r="T10" s="163"/>
      <c r="U10" s="164"/>
      <c r="V10" s="163"/>
      <c r="W10" s="163"/>
      <c r="X10" s="163"/>
      <c r="Y10" s="163"/>
      <c r="Z10" s="163"/>
      <c r="AA10" s="164"/>
      <c r="AB10" s="163"/>
      <c r="AC10" s="163"/>
      <c r="AD10" s="163"/>
      <c r="AE10" s="163"/>
      <c r="AF10" s="163"/>
      <c r="AG10" s="164"/>
      <c r="AH10" s="163"/>
      <c r="AI10" s="163"/>
      <c r="AJ10" s="163"/>
      <c r="AK10" s="163"/>
      <c r="AL10" s="165"/>
      <c r="AM10" s="166"/>
      <c r="AN10" s="165"/>
      <c r="AO10" s="165"/>
      <c r="AP10" s="165"/>
      <c r="AQ10" s="165"/>
      <c r="AR10" s="165"/>
      <c r="AS10" s="166"/>
      <c r="AT10" s="165"/>
      <c r="AU10" s="166"/>
      <c r="AV10" s="165"/>
      <c r="AW10" s="166"/>
      <c r="AX10" s="165"/>
    </row>
    <row r="11" spans="1:50" ht="4.05" customHeight="1" x14ac:dyDescent="0.3">
      <c r="A11" s="44"/>
      <c r="B11" s="158"/>
      <c r="C11" s="20"/>
      <c r="D11" s="159"/>
      <c r="E11" s="159"/>
      <c r="F11" s="159"/>
      <c r="G11" s="159"/>
      <c r="H11" s="159"/>
      <c r="I11" s="20"/>
      <c r="J11" s="159"/>
      <c r="K11" s="159"/>
      <c r="L11" s="159"/>
      <c r="M11" s="159"/>
      <c r="N11" s="159"/>
      <c r="O11" s="160"/>
      <c r="P11" s="159"/>
      <c r="Q11" s="159"/>
      <c r="R11" s="159"/>
      <c r="S11" s="159"/>
      <c r="T11" s="159"/>
      <c r="U11" s="160"/>
      <c r="V11" s="159"/>
      <c r="W11" s="159"/>
      <c r="X11" s="159"/>
      <c r="Y11" s="159"/>
      <c r="Z11" s="159"/>
      <c r="AA11" s="160"/>
      <c r="AB11" s="159"/>
      <c r="AC11" s="159"/>
      <c r="AD11" s="159"/>
      <c r="AE11" s="159"/>
      <c r="AF11" s="159"/>
      <c r="AG11" s="190"/>
      <c r="AH11" s="159"/>
      <c r="AI11" s="159"/>
      <c r="AJ11" s="159"/>
      <c r="AK11" s="159"/>
      <c r="AL11" s="161"/>
      <c r="AM11" s="35"/>
      <c r="AN11" s="161"/>
      <c r="AO11" s="161"/>
      <c r="AP11" s="161"/>
      <c r="AQ11" s="161"/>
      <c r="AR11" s="161"/>
      <c r="AS11" s="35"/>
      <c r="AT11" s="161"/>
      <c r="AU11" s="35"/>
      <c r="AV11" s="161"/>
      <c r="AW11" s="35"/>
      <c r="AX11" s="161"/>
    </row>
    <row r="12" spans="1:50" s="55" customFormat="1" ht="15" customHeight="1" x14ac:dyDescent="0.3">
      <c r="B12" s="140" t="s">
        <v>701</v>
      </c>
      <c r="C12" s="18"/>
      <c r="D12" s="61">
        <v>52.283000000000001</v>
      </c>
      <c r="E12" s="683">
        <v>86.397000000000006</v>
      </c>
      <c r="F12" s="683">
        <v>92.203000000000003</v>
      </c>
      <c r="G12" s="683">
        <v>71.766000000000005</v>
      </c>
      <c r="H12" s="699">
        <v>71.766000000000005</v>
      </c>
      <c r="I12" s="683" t="s">
        <v>630</v>
      </c>
      <c r="J12" s="683">
        <v>78.796000000000006</v>
      </c>
      <c r="K12" s="683">
        <v>70.209000000000003</v>
      </c>
      <c r="L12" s="683">
        <v>65.036000000000001</v>
      </c>
      <c r="M12" s="683">
        <v>563.06700000000001</v>
      </c>
      <c r="N12" s="683">
        <v>563.06700000000001</v>
      </c>
      <c r="O12" s="683"/>
      <c r="P12" s="683">
        <v>380.31099999999998</v>
      </c>
      <c r="Q12" s="683">
        <v>323.71600000000001</v>
      </c>
      <c r="R12" s="683">
        <v>336.27499999999998</v>
      </c>
      <c r="S12" s="683">
        <v>247.95099999999999</v>
      </c>
      <c r="T12" s="699">
        <v>247.95099999999999</v>
      </c>
      <c r="U12" s="699" t="s">
        <v>630</v>
      </c>
      <c r="V12" s="683">
        <v>260.387</v>
      </c>
      <c r="W12" s="683">
        <v>257.42</v>
      </c>
      <c r="X12" s="683">
        <v>207.101</v>
      </c>
      <c r="Y12" s="683">
        <v>182.09</v>
      </c>
      <c r="Z12" s="699">
        <v>182.09</v>
      </c>
      <c r="AA12" s="699" t="s">
        <v>630</v>
      </c>
      <c r="AB12" s="683">
        <v>211.30500000000001</v>
      </c>
      <c r="AC12" s="683">
        <v>324.03100000000001</v>
      </c>
      <c r="AD12" s="683">
        <v>333.47199999999998</v>
      </c>
      <c r="AE12" s="683">
        <v>407.44499999999999</v>
      </c>
      <c r="AF12" s="699">
        <v>407.44499999999999</v>
      </c>
      <c r="AG12" s="699" t="s">
        <v>630</v>
      </c>
      <c r="AH12" s="683">
        <v>457.24</v>
      </c>
      <c r="AI12" s="683">
        <v>442.08800000000002</v>
      </c>
      <c r="AJ12" s="47"/>
      <c r="AK12" s="47"/>
      <c r="AL12" s="59"/>
      <c r="AM12" s="54"/>
      <c r="AN12" s="51"/>
      <c r="AO12" s="51"/>
      <c r="AP12" s="51"/>
      <c r="AQ12" s="51"/>
      <c r="AR12" s="59"/>
      <c r="AS12" s="54"/>
      <c r="AT12" s="59"/>
      <c r="AU12" s="54"/>
      <c r="AV12" s="59"/>
      <c r="AX12" s="59"/>
    </row>
    <row r="13" spans="1:50" s="55" customFormat="1" ht="15" customHeight="1" x14ac:dyDescent="0.3">
      <c r="A13" s="44"/>
      <c r="B13" s="140"/>
      <c r="C13" s="18"/>
      <c r="D13" s="47"/>
      <c r="E13" s="47"/>
      <c r="F13" s="47"/>
      <c r="G13" s="47"/>
      <c r="H13" s="58"/>
      <c r="I13" s="49"/>
      <c r="J13" s="47"/>
      <c r="K13" s="47"/>
      <c r="L13" s="47"/>
      <c r="M13" s="47"/>
      <c r="N13" s="58"/>
      <c r="O13" s="699"/>
      <c r="P13" s="47"/>
      <c r="Q13" s="47"/>
      <c r="R13" s="47"/>
      <c r="S13" s="47"/>
      <c r="T13" s="58"/>
      <c r="U13" s="699"/>
      <c r="V13" s="47"/>
      <c r="W13" s="47"/>
      <c r="X13" s="47"/>
      <c r="Y13" s="47"/>
      <c r="Z13" s="58"/>
      <c r="AA13" s="699"/>
      <c r="AB13" s="47"/>
      <c r="AC13" s="47"/>
      <c r="AD13" s="47"/>
      <c r="AE13" s="47"/>
      <c r="AF13" s="58"/>
      <c r="AG13" s="699"/>
      <c r="AH13" s="47"/>
      <c r="AI13" s="47"/>
      <c r="AJ13" s="51"/>
      <c r="AK13" s="51"/>
      <c r="AL13" s="59"/>
      <c r="AM13" s="54"/>
      <c r="AN13" s="51"/>
      <c r="AO13" s="51"/>
      <c r="AP13" s="51"/>
      <c r="AQ13" s="51"/>
      <c r="AR13" s="59"/>
      <c r="AS13" s="54"/>
      <c r="AT13" s="59"/>
      <c r="AU13" s="54"/>
      <c r="AV13" s="59"/>
      <c r="AX13" s="59"/>
    </row>
    <row r="14" spans="1:50" s="55" customFormat="1" ht="15" customHeight="1" x14ac:dyDescent="0.3">
      <c r="A14" s="45" t="s">
        <v>38</v>
      </c>
      <c r="B14" s="140" t="s">
        <v>702</v>
      </c>
      <c r="C14" s="18"/>
      <c r="D14" s="47"/>
      <c r="E14" s="47"/>
      <c r="F14" s="47"/>
      <c r="G14" s="47"/>
      <c r="H14" s="699"/>
      <c r="I14" s="49"/>
      <c r="J14" s="47"/>
      <c r="K14" s="47"/>
      <c r="L14" s="47"/>
      <c r="M14" s="47"/>
      <c r="N14" s="699"/>
      <c r="O14" s="699"/>
      <c r="P14" s="47"/>
      <c r="Q14" s="47"/>
      <c r="R14" s="47"/>
      <c r="S14" s="47"/>
      <c r="T14" s="699"/>
      <c r="U14" s="699"/>
      <c r="V14" s="47"/>
      <c r="W14" s="47"/>
      <c r="X14" s="47"/>
      <c r="Y14" s="47"/>
      <c r="Z14" s="699"/>
      <c r="AA14" s="699"/>
      <c r="AB14" s="47"/>
      <c r="AC14" s="47"/>
      <c r="AD14" s="47"/>
      <c r="AE14" s="47"/>
      <c r="AF14" s="699"/>
      <c r="AG14" s="699"/>
      <c r="AH14" s="47"/>
      <c r="AI14" s="47"/>
      <c r="AJ14" s="51"/>
      <c r="AK14" s="51"/>
      <c r="AL14" s="68"/>
      <c r="AM14" s="54"/>
      <c r="AN14" s="51"/>
      <c r="AO14" s="51"/>
      <c r="AP14" s="51"/>
      <c r="AQ14" s="51"/>
      <c r="AR14" s="68"/>
      <c r="AS14" s="54"/>
      <c r="AT14" s="68"/>
      <c r="AU14" s="54"/>
      <c r="AV14" s="68"/>
      <c r="AX14" s="68"/>
    </row>
    <row r="15" spans="1:50" s="55" customFormat="1" ht="15" customHeight="1" x14ac:dyDescent="0.3">
      <c r="A15" s="44"/>
      <c r="B15" s="141" t="s">
        <v>578</v>
      </c>
      <c r="C15" s="18"/>
      <c r="D15" s="61">
        <v>1.7050000000000001</v>
      </c>
      <c r="E15" s="61">
        <v>-8.1000000000000003E-2</v>
      </c>
      <c r="F15" s="61">
        <v>8.6270000000000007</v>
      </c>
      <c r="G15" s="61">
        <v>8.5289999999999999</v>
      </c>
      <c r="H15" s="699">
        <v>18.78</v>
      </c>
      <c r="I15" s="683" t="s">
        <v>630</v>
      </c>
      <c r="J15" s="61">
        <v>5.47</v>
      </c>
      <c r="K15" s="61">
        <v>6.5670000000000002</v>
      </c>
      <c r="L15" s="61">
        <v>10.154999999999999</v>
      </c>
      <c r="M15" s="61">
        <v>15.565</v>
      </c>
      <c r="N15" s="699">
        <v>37.756999999999998</v>
      </c>
      <c r="O15" s="699" t="s">
        <v>630</v>
      </c>
      <c r="P15" s="61">
        <v>-5.7859999999999996</v>
      </c>
      <c r="Q15" s="61">
        <v>12.236000000000001</v>
      </c>
      <c r="R15" s="61">
        <v>21.004000000000001</v>
      </c>
      <c r="S15" s="61">
        <v>11.808999999999999</v>
      </c>
      <c r="T15" s="699">
        <v>39.262999999999998</v>
      </c>
      <c r="U15" s="699" t="s">
        <v>630</v>
      </c>
      <c r="V15" s="61">
        <v>7.1449999999999996</v>
      </c>
      <c r="W15" s="61">
        <v>26.824999999999999</v>
      </c>
      <c r="X15" s="61">
        <v>25.678999999999998</v>
      </c>
      <c r="Y15" s="61">
        <v>17.7</v>
      </c>
      <c r="Z15" s="699">
        <v>77.349000000000004</v>
      </c>
      <c r="AA15" s="699" t="s">
        <v>630</v>
      </c>
      <c r="AB15" s="61">
        <v>17.433</v>
      </c>
      <c r="AC15" s="61">
        <v>24.21</v>
      </c>
      <c r="AD15" s="61">
        <v>30.904</v>
      </c>
      <c r="AE15" s="61">
        <v>31.08</v>
      </c>
      <c r="AF15" s="699">
        <v>103.627</v>
      </c>
      <c r="AG15" s="699" t="s">
        <v>630</v>
      </c>
      <c r="AH15" s="61">
        <v>20.38</v>
      </c>
      <c r="AI15" s="61">
        <v>29.76</v>
      </c>
      <c r="AJ15" s="51"/>
      <c r="AK15" s="51"/>
      <c r="AL15" s="59"/>
      <c r="AM15" s="54"/>
      <c r="AN15" s="51"/>
      <c r="AO15" s="51"/>
      <c r="AP15" s="51"/>
      <c r="AQ15" s="51"/>
      <c r="AR15" s="59"/>
      <c r="AS15" s="54"/>
      <c r="AT15" s="59"/>
      <c r="AU15" s="54"/>
      <c r="AV15" s="59"/>
      <c r="AX15" s="59"/>
    </row>
    <row r="16" spans="1:50" s="55" customFormat="1" ht="15" customHeight="1" x14ac:dyDescent="0.3">
      <c r="A16" s="44"/>
      <c r="B16" s="141" t="s">
        <v>703</v>
      </c>
      <c r="C16" s="18"/>
      <c r="D16" s="47"/>
      <c r="E16" s="47"/>
      <c r="F16" s="47"/>
      <c r="G16" s="47"/>
      <c r="H16" s="58"/>
      <c r="I16" s="49"/>
      <c r="J16" s="47"/>
      <c r="K16" s="47"/>
      <c r="L16" s="47"/>
      <c r="M16" s="47"/>
      <c r="N16" s="58"/>
      <c r="O16" s="58"/>
      <c r="P16" s="47"/>
      <c r="Q16" s="47"/>
      <c r="R16" s="47"/>
      <c r="S16" s="47"/>
      <c r="T16" s="58"/>
      <c r="U16" s="58"/>
      <c r="V16" s="47"/>
      <c r="W16" s="47"/>
      <c r="X16" s="47"/>
      <c r="Y16" s="47"/>
      <c r="Z16" s="58"/>
      <c r="AA16" s="58"/>
      <c r="AB16" s="47"/>
      <c r="AC16" s="47"/>
      <c r="AD16" s="47"/>
      <c r="AE16" s="47"/>
      <c r="AF16" s="58"/>
      <c r="AG16" s="699"/>
      <c r="AH16" s="47"/>
      <c r="AI16" s="47"/>
      <c r="AJ16" s="51"/>
      <c r="AK16" s="51"/>
      <c r="AL16" s="59"/>
      <c r="AM16" s="54"/>
      <c r="AN16" s="51"/>
      <c r="AO16" s="51"/>
      <c r="AP16" s="51"/>
      <c r="AQ16" s="51"/>
      <c r="AR16" s="59"/>
      <c r="AS16" s="54"/>
      <c r="AT16" s="59"/>
      <c r="AU16" s="54"/>
      <c r="AV16" s="59"/>
      <c r="AX16" s="59"/>
    </row>
    <row r="17" spans="1:50" s="55" customFormat="1" ht="15" customHeight="1" x14ac:dyDescent="0.3">
      <c r="A17" s="44"/>
      <c r="B17" s="142" t="s">
        <v>637</v>
      </c>
      <c r="C17" s="18"/>
      <c r="D17" s="61">
        <v>0.21199999999999999</v>
      </c>
      <c r="E17" s="61">
        <v>0.22900000000000001</v>
      </c>
      <c r="F17" s="61">
        <v>0.33300000000000002</v>
      </c>
      <c r="G17" s="61">
        <v>0.28100000000000003</v>
      </c>
      <c r="H17" s="699">
        <v>1.0549999999999999</v>
      </c>
      <c r="I17" s="683" t="s">
        <v>630</v>
      </c>
      <c r="J17" s="61">
        <v>0.54600000000000004</v>
      </c>
      <c r="K17" s="61">
        <v>0.48499999999999999</v>
      </c>
      <c r="L17" s="61">
        <v>0.56599999999999995</v>
      </c>
      <c r="M17" s="61">
        <v>0.75600000000000001</v>
      </c>
      <c r="N17" s="699">
        <v>2.3530000000000002</v>
      </c>
      <c r="O17" s="699" t="s">
        <v>630</v>
      </c>
      <c r="P17" s="61">
        <v>1.2130000000000001</v>
      </c>
      <c r="Q17" s="61">
        <v>1.3420000000000001</v>
      </c>
      <c r="R17" s="61">
        <v>1.5489999999999999</v>
      </c>
      <c r="S17" s="61">
        <v>1.262</v>
      </c>
      <c r="T17" s="699">
        <v>5.3659999999999997</v>
      </c>
      <c r="U17" s="699" t="s">
        <v>630</v>
      </c>
      <c r="V17" s="61">
        <v>1.714</v>
      </c>
      <c r="W17" s="61">
        <v>2.2410000000000001</v>
      </c>
      <c r="X17" s="61">
        <v>2.0659999999999998</v>
      </c>
      <c r="Y17" s="61">
        <v>2.0710000000000002</v>
      </c>
      <c r="Z17" s="699">
        <v>8.0920000000000005</v>
      </c>
      <c r="AA17" s="699" t="s">
        <v>630</v>
      </c>
      <c r="AB17" s="61">
        <v>2.5179999999999998</v>
      </c>
      <c r="AC17" s="61">
        <v>2.1659999999999999</v>
      </c>
      <c r="AD17" s="61">
        <v>2.3889999999999998</v>
      </c>
      <c r="AE17" s="61">
        <v>2.8940000000000001</v>
      </c>
      <c r="AF17" s="699">
        <v>9.9670000000000005</v>
      </c>
      <c r="AG17" s="699" t="s">
        <v>630</v>
      </c>
      <c r="AH17" s="61">
        <v>3.0169999999999999</v>
      </c>
      <c r="AI17" s="61">
        <v>3.339</v>
      </c>
      <c r="AJ17" s="51">
        <v>4759.4902000000002</v>
      </c>
      <c r="AK17" s="51">
        <v>5334.530135</v>
      </c>
      <c r="AL17" s="58">
        <v>10177.847335</v>
      </c>
      <c r="AM17" s="54"/>
      <c r="AN17" s="51">
        <v>4022.0460037500002</v>
      </c>
      <c r="AO17" s="51">
        <v>4656.9592715125</v>
      </c>
      <c r="AP17" s="51">
        <v>4313.2415350918754</v>
      </c>
      <c r="AQ17" s="51">
        <v>3990.1252363767817</v>
      </c>
      <c r="AR17" s="58">
        <v>16982.372046731158</v>
      </c>
      <c r="AS17" s="54"/>
      <c r="AT17" s="59"/>
      <c r="AU17" s="54"/>
      <c r="AV17" s="59"/>
      <c r="AX17" s="59"/>
    </row>
    <row r="18" spans="1:50" s="55" customFormat="1" ht="15" customHeight="1" x14ac:dyDescent="0.3">
      <c r="A18" s="44"/>
      <c r="B18" s="142" t="s">
        <v>704</v>
      </c>
      <c r="C18" s="18"/>
      <c r="D18" s="61">
        <v>0.68899999999999995</v>
      </c>
      <c r="E18" s="61">
        <v>0.85499999999999998</v>
      </c>
      <c r="F18" s="61">
        <v>2.7789999999999999</v>
      </c>
      <c r="G18" s="61">
        <v>1.3049999999999999</v>
      </c>
      <c r="H18" s="699">
        <v>5.6280000000000001</v>
      </c>
      <c r="I18" s="683" t="s">
        <v>630</v>
      </c>
      <c r="J18" s="61">
        <v>1.21</v>
      </c>
      <c r="K18" s="61">
        <v>1.335</v>
      </c>
      <c r="L18" s="61">
        <v>1.278</v>
      </c>
      <c r="M18" s="61">
        <v>1.294</v>
      </c>
      <c r="N18" s="699">
        <v>5.117</v>
      </c>
      <c r="O18" s="699" t="s">
        <v>630</v>
      </c>
      <c r="P18" s="61">
        <v>1.3740000000000001</v>
      </c>
      <c r="Q18" s="61">
        <v>1.9690000000000001</v>
      </c>
      <c r="R18" s="61">
        <v>1.893</v>
      </c>
      <c r="S18" s="61">
        <v>2.4940000000000002</v>
      </c>
      <c r="T18" s="699">
        <v>7.73</v>
      </c>
      <c r="U18" s="699" t="s">
        <v>630</v>
      </c>
      <c r="V18" s="61">
        <v>2.0680000000000001</v>
      </c>
      <c r="W18" s="61">
        <v>2.0169999999999999</v>
      </c>
      <c r="X18" s="61">
        <v>10.581</v>
      </c>
      <c r="Y18" s="61">
        <v>12.672000000000001</v>
      </c>
      <c r="Z18" s="699">
        <v>27.338000000000001</v>
      </c>
      <c r="AA18" s="699" t="s">
        <v>630</v>
      </c>
      <c r="AB18" s="61">
        <v>14.569000000000001</v>
      </c>
      <c r="AC18" s="61">
        <v>14.342000000000001</v>
      </c>
      <c r="AD18" s="61">
        <v>11.881</v>
      </c>
      <c r="AE18" s="61">
        <v>8.7840000000000007</v>
      </c>
      <c r="AF18" s="699">
        <v>49.576000000000001</v>
      </c>
      <c r="AG18" s="699" t="s">
        <v>630</v>
      </c>
      <c r="AH18" s="61">
        <v>9.8170000000000002</v>
      </c>
      <c r="AI18" s="61">
        <v>9.77</v>
      </c>
      <c r="AJ18" s="51">
        <v>13.75</v>
      </c>
      <c r="AK18" s="51">
        <v>12.5</v>
      </c>
      <c r="AL18" s="58">
        <v>57.006999999999998</v>
      </c>
      <c r="AM18" s="54"/>
      <c r="AN18" s="51">
        <v>12.1</v>
      </c>
      <c r="AO18" s="51">
        <v>11</v>
      </c>
      <c r="AP18" s="51">
        <v>12.1</v>
      </c>
      <c r="AQ18" s="51">
        <v>11</v>
      </c>
      <c r="AR18" s="58">
        <v>46.2</v>
      </c>
      <c r="AS18" s="54"/>
      <c r="AT18" s="59"/>
      <c r="AU18" s="54"/>
      <c r="AV18" s="59"/>
      <c r="AX18" s="59"/>
    </row>
    <row r="19" spans="1:50" s="55" customFormat="1" ht="15" customHeight="1" x14ac:dyDescent="0.25">
      <c r="A19" s="110"/>
      <c r="B19" s="142" t="s">
        <v>113</v>
      </c>
      <c r="C19" s="112"/>
      <c r="D19" s="61">
        <v>2.585</v>
      </c>
      <c r="E19" s="61">
        <v>7.2969999999999997</v>
      </c>
      <c r="F19" s="61">
        <v>-2.516</v>
      </c>
      <c r="G19" s="61">
        <v>0.65200000000000002</v>
      </c>
      <c r="H19" s="699">
        <v>8.0180000000000007</v>
      </c>
      <c r="I19" s="683" t="s">
        <v>630</v>
      </c>
      <c r="J19" s="61">
        <v>-1.143</v>
      </c>
      <c r="K19" s="61">
        <v>-3.2570000000000001</v>
      </c>
      <c r="L19" s="61">
        <v>1.823</v>
      </c>
      <c r="M19" s="61">
        <v>32.573999999999998</v>
      </c>
      <c r="N19" s="699">
        <v>7.8049999999999997</v>
      </c>
      <c r="O19" s="699" t="s">
        <v>630</v>
      </c>
      <c r="P19" s="61">
        <v>4.3</v>
      </c>
      <c r="Q19" s="61">
        <v>8.2170000000000005</v>
      </c>
      <c r="R19" s="61">
        <v>8.52</v>
      </c>
      <c r="S19" s="61">
        <v>10.164999999999999</v>
      </c>
      <c r="T19" s="699">
        <v>31.202000000000002</v>
      </c>
      <c r="U19" s="699" t="s">
        <v>630</v>
      </c>
      <c r="V19" s="61">
        <v>-0.28100000000000003</v>
      </c>
      <c r="W19" s="61">
        <v>4.1079999999999997</v>
      </c>
      <c r="X19" s="61">
        <v>21.31</v>
      </c>
      <c r="Y19" s="61">
        <v>7.67</v>
      </c>
      <c r="Z19" s="699">
        <v>27.66</v>
      </c>
      <c r="AA19" s="699" t="s">
        <v>630</v>
      </c>
      <c r="AB19" s="61">
        <v>27.625</v>
      </c>
      <c r="AC19" s="61">
        <v>21.382000000000001</v>
      </c>
      <c r="AD19" s="61">
        <v>37.665999999999997</v>
      </c>
      <c r="AE19" s="61">
        <v>28.652999999999999</v>
      </c>
      <c r="AF19" s="699">
        <v>115.32599999999999</v>
      </c>
      <c r="AG19" s="699" t="s">
        <v>630</v>
      </c>
      <c r="AH19" s="61">
        <v>20.379000000000001</v>
      </c>
      <c r="AI19" s="61">
        <v>11.16</v>
      </c>
      <c r="AJ19" s="51"/>
      <c r="AK19" s="51"/>
      <c r="AL19" s="59"/>
      <c r="AM19" s="69"/>
      <c r="AN19" s="51"/>
      <c r="AO19" s="51"/>
      <c r="AP19" s="51"/>
      <c r="AQ19" s="51"/>
      <c r="AR19" s="59"/>
      <c r="AS19" s="69"/>
      <c r="AT19" s="59"/>
      <c r="AU19" s="69"/>
      <c r="AV19" s="59"/>
      <c r="AX19" s="59"/>
    </row>
    <row r="20" spans="1:50" s="55" customFormat="1" ht="15" customHeight="1" x14ac:dyDescent="0.3">
      <c r="A20" s="44"/>
      <c r="B20" s="141" t="s">
        <v>705</v>
      </c>
      <c r="C20" s="18"/>
      <c r="D20" s="47"/>
      <c r="E20" s="47"/>
      <c r="F20" s="47"/>
      <c r="G20" s="47"/>
      <c r="H20" s="699"/>
      <c r="I20" s="49"/>
      <c r="J20" s="47"/>
      <c r="K20" s="47"/>
      <c r="L20" s="47"/>
      <c r="M20" s="47"/>
      <c r="N20" s="699"/>
      <c r="O20" s="699"/>
      <c r="P20" s="47"/>
      <c r="Q20" s="47"/>
      <c r="R20" s="47"/>
      <c r="S20" s="47"/>
      <c r="T20" s="699"/>
      <c r="U20" s="699"/>
      <c r="V20" s="47"/>
      <c r="W20" s="47"/>
      <c r="X20" s="47"/>
      <c r="Y20" s="47"/>
      <c r="Z20" s="699"/>
      <c r="AA20" s="699"/>
      <c r="AB20" s="47"/>
      <c r="AC20" s="47"/>
      <c r="AD20" s="47"/>
      <c r="AE20" s="47"/>
      <c r="AF20" s="699"/>
      <c r="AG20" s="699"/>
      <c r="AH20" s="47"/>
      <c r="AI20" s="47"/>
      <c r="AJ20" s="51"/>
      <c r="AK20" s="51"/>
      <c r="AL20" s="68"/>
      <c r="AM20" s="72"/>
      <c r="AN20" s="51"/>
      <c r="AO20" s="51"/>
      <c r="AP20" s="51"/>
      <c r="AQ20" s="51"/>
      <c r="AR20" s="68"/>
      <c r="AS20" s="72"/>
      <c r="AT20" s="68"/>
      <c r="AU20" s="72"/>
      <c r="AV20" s="68"/>
      <c r="AX20" s="68"/>
    </row>
    <row r="21" spans="1:50" s="55" customFormat="1" ht="15" customHeight="1" x14ac:dyDescent="0.25">
      <c r="A21" s="110"/>
      <c r="B21" s="142" t="s">
        <v>671</v>
      </c>
      <c r="C21" s="112"/>
      <c r="D21" s="61">
        <v>-6.9020000000000001</v>
      </c>
      <c r="E21" s="61">
        <v>-24.843</v>
      </c>
      <c r="F21" s="61">
        <v>0.89900000000000002</v>
      </c>
      <c r="G21" s="61">
        <v>1.879</v>
      </c>
      <c r="H21" s="699">
        <v>-28.966999999999999</v>
      </c>
      <c r="I21" s="683" t="s">
        <v>630</v>
      </c>
      <c r="J21" s="61">
        <v>-4.6020000000000003</v>
      </c>
      <c r="K21" s="61">
        <v>-10.287000000000001</v>
      </c>
      <c r="L21" s="61">
        <v>-13.246</v>
      </c>
      <c r="M21" s="61">
        <v>-27.908999999999999</v>
      </c>
      <c r="N21" s="699">
        <v>-56.043999999999997</v>
      </c>
      <c r="O21" s="699" t="s">
        <v>630</v>
      </c>
      <c r="P21" s="61">
        <v>-0.28399999999999997</v>
      </c>
      <c r="Q21" s="61">
        <v>-56.311</v>
      </c>
      <c r="R21" s="61">
        <v>-40.244999999999997</v>
      </c>
      <c r="S21" s="61">
        <v>0.85399999999999998</v>
      </c>
      <c r="T21" s="699">
        <v>-95.986000000000004</v>
      </c>
      <c r="U21" s="699" t="s">
        <v>630</v>
      </c>
      <c r="V21" s="61">
        <v>-2.452</v>
      </c>
      <c r="W21" s="61">
        <v>-34.43</v>
      </c>
      <c r="X21" s="61">
        <v>-40.923999999999999</v>
      </c>
      <c r="Y21" s="61">
        <v>-35.155999999999999</v>
      </c>
      <c r="Z21" s="699">
        <v>-112.962</v>
      </c>
      <c r="AA21" s="699" t="s">
        <v>630</v>
      </c>
      <c r="AB21" s="61">
        <v>-15.286</v>
      </c>
      <c r="AC21" s="61">
        <v>-11.242000000000001</v>
      </c>
      <c r="AD21" s="61">
        <v>-79.391999999999996</v>
      </c>
      <c r="AE21" s="61">
        <v>-21.169</v>
      </c>
      <c r="AF21" s="699">
        <v>-127.089</v>
      </c>
      <c r="AG21" s="699" t="s">
        <v>630</v>
      </c>
      <c r="AH21" s="61">
        <v>0.19</v>
      </c>
      <c r="AI21" s="61">
        <v>-44.698</v>
      </c>
      <c r="AJ21" s="51">
        <v>-11069.01952173913</v>
      </c>
      <c r="AK21" s="51">
        <v>0</v>
      </c>
      <c r="AL21" s="66">
        <v>-10857.870521739131</v>
      </c>
      <c r="AM21" s="72"/>
      <c r="AN21" s="51">
        <v>1364.7342995169074</v>
      </c>
      <c r="AO21" s="51">
        <v>134.31013431013525</v>
      </c>
      <c r="AP21" s="51">
        <v>131.3903487816533</v>
      </c>
      <c r="AQ21" s="51">
        <v>0</v>
      </c>
      <c r="AR21" s="66">
        <v>1630.434782608696</v>
      </c>
      <c r="AS21" s="72"/>
      <c r="AT21" s="68"/>
      <c r="AU21" s="72"/>
      <c r="AV21" s="68"/>
      <c r="AX21" s="68"/>
    </row>
    <row r="22" spans="1:50" s="55" customFormat="1" ht="15" customHeight="1" x14ac:dyDescent="0.3">
      <c r="A22" s="44"/>
      <c r="B22" s="142" t="s">
        <v>706</v>
      </c>
      <c r="C22" s="18"/>
      <c r="D22" s="61">
        <v>-0.93100000000000005</v>
      </c>
      <c r="E22" s="61">
        <v>-4.6989999999999998</v>
      </c>
      <c r="F22" s="61">
        <v>-12.731999999999999</v>
      </c>
      <c r="G22" s="61">
        <v>-22.405999999999999</v>
      </c>
      <c r="H22" s="699">
        <v>-40.768000000000001</v>
      </c>
      <c r="I22" s="683" t="s">
        <v>630</v>
      </c>
      <c r="J22" s="61">
        <v>-15.276</v>
      </c>
      <c r="K22" s="61">
        <v>-32.155999999999999</v>
      </c>
      <c r="L22" s="61">
        <v>-40.180999999999997</v>
      </c>
      <c r="M22" s="61">
        <v>-40.042999999999999</v>
      </c>
      <c r="N22" s="699">
        <v>-127.65600000000001</v>
      </c>
      <c r="O22" s="699" t="s">
        <v>630</v>
      </c>
      <c r="P22" s="61">
        <v>-52.503</v>
      </c>
      <c r="Q22" s="61">
        <v>-28.359000000000002</v>
      </c>
      <c r="R22" s="61">
        <v>-51.174999999999997</v>
      </c>
      <c r="S22" s="61">
        <v>-61.277000000000001</v>
      </c>
      <c r="T22" s="699">
        <v>-193.31399999999999</v>
      </c>
      <c r="U22" s="699" t="s">
        <v>630</v>
      </c>
      <c r="V22" s="61">
        <v>-79.941999999999993</v>
      </c>
      <c r="W22" s="61">
        <v>-16.797000000000001</v>
      </c>
      <c r="X22" s="61">
        <v>-39.149000000000001</v>
      </c>
      <c r="Y22" s="61">
        <v>-28.138999999999999</v>
      </c>
      <c r="Z22" s="699">
        <v>-164.02699999999999</v>
      </c>
      <c r="AA22" s="699" t="s">
        <v>630</v>
      </c>
      <c r="AB22" s="61">
        <v>-38.573999999999998</v>
      </c>
      <c r="AC22" s="61">
        <v>-26.315000000000001</v>
      </c>
      <c r="AD22" s="61">
        <v>-17.312000000000001</v>
      </c>
      <c r="AE22" s="61">
        <v>18.065999999999999</v>
      </c>
      <c r="AF22" s="699">
        <v>-64.135000000000005</v>
      </c>
      <c r="AG22" s="699" t="s">
        <v>630</v>
      </c>
      <c r="AH22" s="61">
        <v>-15.108000000000001</v>
      </c>
      <c r="AI22" s="61">
        <v>-37.838000000000001</v>
      </c>
      <c r="AJ22" s="51">
        <v>-14266.304347826086</v>
      </c>
      <c r="AK22" s="51">
        <v>-1222.826086956522</v>
      </c>
      <c r="AL22" s="66">
        <v>-15489.130434782608</v>
      </c>
      <c r="AM22" s="72"/>
      <c r="AN22" s="51">
        <v>3652.173913043478</v>
      </c>
      <c r="AO22" s="51">
        <v>-1076.0869565217399</v>
      </c>
      <c r="AP22" s="51">
        <v>717.39130434782419</v>
      </c>
      <c r="AQ22" s="51">
        <v>2152.1739130434798</v>
      </c>
      <c r="AR22" s="66">
        <v>5445.6521739130421</v>
      </c>
      <c r="AS22" s="72"/>
      <c r="AT22" s="68"/>
      <c r="AU22" s="72"/>
      <c r="AV22" s="68"/>
      <c r="AX22" s="68"/>
    </row>
    <row r="23" spans="1:50" s="55" customFormat="1" ht="15" customHeight="1" x14ac:dyDescent="0.25">
      <c r="A23" s="110"/>
      <c r="B23" s="142" t="s">
        <v>683</v>
      </c>
      <c r="C23" s="112"/>
      <c r="D23" s="61">
        <v>5.617</v>
      </c>
      <c r="E23" s="61">
        <v>9.3369999999999997</v>
      </c>
      <c r="F23" s="61">
        <v>7.069</v>
      </c>
      <c r="G23" s="61">
        <v>-0.748</v>
      </c>
      <c r="H23" s="699">
        <v>21.274999999999999</v>
      </c>
      <c r="I23" s="683" t="s">
        <v>630</v>
      </c>
      <c r="J23" s="61">
        <v>9.4920000000000009</v>
      </c>
      <c r="K23" s="61">
        <v>21.707999999999998</v>
      </c>
      <c r="L23" s="61">
        <v>26.082999999999998</v>
      </c>
      <c r="M23" s="61">
        <v>7.9279999999999999</v>
      </c>
      <c r="N23" s="699">
        <v>65.210999999999999</v>
      </c>
      <c r="O23" s="699" t="s">
        <v>630</v>
      </c>
      <c r="P23" s="61">
        <v>6.681</v>
      </c>
      <c r="Q23" s="61">
        <v>-5.5179999999999998</v>
      </c>
      <c r="R23" s="61">
        <v>7.6820000000000004</v>
      </c>
      <c r="S23" s="61">
        <v>15.225</v>
      </c>
      <c r="T23" s="699">
        <v>24.07</v>
      </c>
      <c r="U23" s="699" t="s">
        <v>630</v>
      </c>
      <c r="V23" s="61">
        <v>17.135999999999999</v>
      </c>
      <c r="W23" s="61">
        <v>-19.725000000000001</v>
      </c>
      <c r="X23" s="61">
        <v>34.886000000000003</v>
      </c>
      <c r="Y23" s="61">
        <v>6.9850000000000003</v>
      </c>
      <c r="Z23" s="699">
        <v>39.281999999999996</v>
      </c>
      <c r="AA23" s="699" t="s">
        <v>630</v>
      </c>
      <c r="AB23" s="61">
        <v>-0.71699999999999997</v>
      </c>
      <c r="AC23" s="61">
        <v>7.3220000000000001</v>
      </c>
      <c r="AD23" s="61">
        <v>24.442</v>
      </c>
      <c r="AE23" s="61">
        <v>-24.881</v>
      </c>
      <c r="AF23" s="699">
        <v>6.1660000000000004</v>
      </c>
      <c r="AG23" s="699" t="s">
        <v>630</v>
      </c>
      <c r="AH23" s="61">
        <v>-20.22</v>
      </c>
      <c r="AI23" s="61">
        <v>31.657</v>
      </c>
      <c r="AJ23" s="51">
        <v>4005.6936086956521</v>
      </c>
      <c r="AK23" s="51">
        <v>733.69565217391391</v>
      </c>
      <c r="AL23" s="66">
        <v>4486.3772608695654</v>
      </c>
      <c r="AM23" s="72"/>
      <c r="AN23" s="51">
        <v>-2033.4782608695659</v>
      </c>
      <c r="AO23" s="51">
        <v>572.96703296703254</v>
      </c>
      <c r="AP23" s="51">
        <v>-515.57572861920562</v>
      </c>
      <c r="AQ23" s="51">
        <v>-1291.3043478260861</v>
      </c>
      <c r="AR23" s="66">
        <v>-3267.3913043478251</v>
      </c>
      <c r="AS23" s="72"/>
      <c r="AT23" s="68"/>
      <c r="AU23" s="72"/>
      <c r="AV23" s="68"/>
      <c r="AX23" s="68"/>
    </row>
    <row r="24" spans="1:50" s="55" customFormat="1" ht="15" customHeight="1" x14ac:dyDescent="0.25">
      <c r="A24" s="110"/>
      <c r="B24" s="142" t="s">
        <v>113</v>
      </c>
      <c r="C24" s="112"/>
      <c r="D24" s="61">
        <v>1.5429999999999999</v>
      </c>
      <c r="E24" s="61">
        <v>-1.72</v>
      </c>
      <c r="F24" s="61">
        <v>0.93500000000000005</v>
      </c>
      <c r="G24" s="61">
        <v>6.3019999999999996</v>
      </c>
      <c r="H24" s="699">
        <v>7.06</v>
      </c>
      <c r="I24" s="683" t="s">
        <v>630</v>
      </c>
      <c r="J24" s="61">
        <v>16.254999999999999</v>
      </c>
      <c r="K24" s="61">
        <v>6.4390000000000001</v>
      </c>
      <c r="L24" s="61">
        <v>10.737</v>
      </c>
      <c r="M24" s="61">
        <v>-2.95</v>
      </c>
      <c r="N24" s="699">
        <v>30.481000000000002</v>
      </c>
      <c r="O24" s="699" t="s">
        <v>630</v>
      </c>
      <c r="P24" s="61">
        <v>18.649999999999999</v>
      </c>
      <c r="Q24" s="61">
        <v>34.825000000000003</v>
      </c>
      <c r="R24" s="61">
        <v>50.432000000000002</v>
      </c>
      <c r="S24" s="61">
        <v>23.297999999999998</v>
      </c>
      <c r="T24" s="699">
        <v>127.205</v>
      </c>
      <c r="U24" s="699" t="s">
        <v>630</v>
      </c>
      <c r="V24" s="61">
        <v>26.186</v>
      </c>
      <c r="W24" s="61">
        <v>44.031999999999996</v>
      </c>
      <c r="X24" s="61">
        <v>-16.597999999999999</v>
      </c>
      <c r="Y24" s="61">
        <v>-4.3369999999999997</v>
      </c>
      <c r="Z24" s="699">
        <v>49.283000000000001</v>
      </c>
      <c r="AA24" s="699" t="s">
        <v>630</v>
      </c>
      <c r="AB24" s="61">
        <v>-2.6480000000000001</v>
      </c>
      <c r="AC24" s="61">
        <v>44.067999999999998</v>
      </c>
      <c r="AD24" s="61">
        <v>13.215999999999999</v>
      </c>
      <c r="AE24" s="61">
        <v>53.951999999999998</v>
      </c>
      <c r="AF24" s="699">
        <v>108.58799999999999</v>
      </c>
      <c r="AG24" s="699" t="s">
        <v>630</v>
      </c>
      <c r="AH24" s="61">
        <v>-3.3559999999999999</v>
      </c>
      <c r="AI24" s="61">
        <v>-38.280999999999999</v>
      </c>
      <c r="AJ24" s="51">
        <v>1405.0579999999995</v>
      </c>
      <c r="AK24" s="51">
        <v>-100</v>
      </c>
      <c r="AL24" s="74">
        <v>1252.0459999999996</v>
      </c>
      <c r="AM24" s="83"/>
      <c r="AN24" s="51">
        <v>118</v>
      </c>
      <c r="AO24" s="51">
        <v>-88</v>
      </c>
      <c r="AP24" s="51">
        <v>88</v>
      </c>
      <c r="AQ24" s="51">
        <v>-88</v>
      </c>
      <c r="AR24" s="74">
        <v>30</v>
      </c>
      <c r="AS24" s="83"/>
      <c r="AT24" s="75"/>
      <c r="AU24" s="83"/>
      <c r="AV24" s="75"/>
      <c r="AX24" s="75"/>
    </row>
    <row r="25" spans="1:50" s="55" customFormat="1" ht="15" customHeight="1" thickBot="1" x14ac:dyDescent="0.3">
      <c r="A25" s="84"/>
      <c r="B25" s="143" t="s">
        <v>707</v>
      </c>
      <c r="C25" s="27"/>
      <c r="D25" s="61">
        <v>3.8290000000000002</v>
      </c>
      <c r="E25" s="61">
        <v>-14.48</v>
      </c>
      <c r="F25" s="61">
        <v>2.6150000000000002</v>
      </c>
      <c r="G25" s="61">
        <v>-5.5110000000000001</v>
      </c>
      <c r="H25" s="699">
        <v>-13.547000000000001</v>
      </c>
      <c r="I25" s="683" t="s">
        <v>630</v>
      </c>
      <c r="J25" s="61">
        <v>10.742000000000001</v>
      </c>
      <c r="K25" s="61">
        <v>-10.500999999999999</v>
      </c>
      <c r="L25" s="61">
        <v>-4.0629999999999997</v>
      </c>
      <c r="M25" s="61">
        <v>-14.079000000000001</v>
      </c>
      <c r="N25" s="699">
        <v>-40.093000000000004</v>
      </c>
      <c r="O25" s="699" t="s">
        <v>630</v>
      </c>
      <c r="P25" s="61">
        <v>-27.728999999999999</v>
      </c>
      <c r="Q25" s="61">
        <v>-33.567999999999998</v>
      </c>
      <c r="R25" s="61">
        <v>-2.2330000000000001</v>
      </c>
      <c r="S25" s="61">
        <v>1.3360000000000001</v>
      </c>
      <c r="T25" s="699">
        <v>-62.194000000000003</v>
      </c>
      <c r="U25" s="699" t="s">
        <v>630</v>
      </c>
      <c r="V25" s="61">
        <v>-30.494</v>
      </c>
      <c r="W25" s="61">
        <v>6.2539999999999996</v>
      </c>
      <c r="X25" s="61">
        <v>-12.73</v>
      </c>
      <c r="Y25" s="61">
        <v>-33.206000000000003</v>
      </c>
      <c r="Z25" s="699">
        <v>-75.322999999999993</v>
      </c>
      <c r="AA25" s="699" t="s">
        <v>630</v>
      </c>
      <c r="AB25" s="61">
        <v>-9.6489999999999991</v>
      </c>
      <c r="AC25" s="61">
        <v>61.591000000000001</v>
      </c>
      <c r="AD25" s="61">
        <v>11.913</v>
      </c>
      <c r="AE25" s="61">
        <v>88.594999999999999</v>
      </c>
      <c r="AF25" s="699">
        <v>152.44999999999999</v>
      </c>
      <c r="AG25" s="699" t="s">
        <v>630</v>
      </c>
      <c r="AH25" s="61">
        <v>5.282</v>
      </c>
      <c r="AI25" s="61">
        <v>-44.901000000000003</v>
      </c>
      <c r="AJ25" s="51"/>
      <c r="AK25" s="51"/>
      <c r="AL25" s="93"/>
      <c r="AM25" s="83"/>
      <c r="AN25" s="51"/>
      <c r="AO25" s="51"/>
      <c r="AP25" s="51"/>
      <c r="AQ25" s="51"/>
      <c r="AR25" s="93"/>
      <c r="AS25" s="83"/>
      <c r="AT25" s="93"/>
      <c r="AU25" s="83"/>
      <c r="AV25" s="93"/>
      <c r="AX25" s="93"/>
    </row>
    <row r="26" spans="1:50" s="55" customFormat="1" ht="15" customHeight="1" thickTop="1" x14ac:dyDescent="0.3">
      <c r="A26" s="44"/>
      <c r="B26" s="140"/>
      <c r="C26" s="18"/>
      <c r="D26" s="47"/>
      <c r="E26" s="47"/>
      <c r="F26" s="47"/>
      <c r="G26" s="47"/>
      <c r="H26" s="699"/>
      <c r="I26" s="49"/>
      <c r="J26" s="47"/>
      <c r="K26" s="47"/>
      <c r="L26" s="47"/>
      <c r="M26" s="47"/>
      <c r="N26" s="699"/>
      <c r="O26" s="699"/>
      <c r="P26" s="47"/>
      <c r="Q26" s="47"/>
      <c r="R26" s="47"/>
      <c r="S26" s="47"/>
      <c r="T26" s="699"/>
      <c r="U26" s="699"/>
      <c r="V26" s="47"/>
      <c r="W26" s="47"/>
      <c r="X26" s="47"/>
      <c r="Y26" s="47"/>
      <c r="Z26" s="699"/>
      <c r="AA26" s="699"/>
      <c r="AB26" s="47"/>
      <c r="AC26" s="47"/>
      <c r="AD26" s="47"/>
      <c r="AE26" s="47"/>
      <c r="AF26" s="699"/>
      <c r="AG26" s="699"/>
      <c r="AH26" s="47"/>
      <c r="AI26" s="47"/>
      <c r="AJ26" s="51"/>
      <c r="AK26" s="51"/>
      <c r="AL26" s="68"/>
      <c r="AM26" s="72"/>
      <c r="AN26" s="51"/>
      <c r="AO26" s="51"/>
      <c r="AP26" s="51"/>
      <c r="AQ26" s="51"/>
      <c r="AR26" s="68"/>
      <c r="AS26" s="72"/>
      <c r="AT26" s="68"/>
      <c r="AU26" s="72"/>
      <c r="AV26" s="68"/>
      <c r="AX26" s="68"/>
    </row>
    <row r="27" spans="1:50" s="55" customFormat="1" ht="15" customHeight="1" x14ac:dyDescent="0.25">
      <c r="A27" s="45" t="s">
        <v>38</v>
      </c>
      <c r="B27" s="144" t="s">
        <v>708</v>
      </c>
      <c r="C27" s="112"/>
      <c r="D27" s="47"/>
      <c r="E27" s="47"/>
      <c r="F27" s="47"/>
      <c r="G27" s="47"/>
      <c r="H27" s="699"/>
      <c r="I27" s="49"/>
      <c r="J27" s="47"/>
      <c r="K27" s="47"/>
      <c r="L27" s="47"/>
      <c r="M27" s="47"/>
      <c r="N27" s="699"/>
      <c r="O27" s="699"/>
      <c r="P27" s="47"/>
      <c r="Q27" s="47"/>
      <c r="R27" s="47"/>
      <c r="S27" s="47"/>
      <c r="T27" s="699"/>
      <c r="U27" s="699"/>
      <c r="V27" s="47"/>
      <c r="W27" s="47"/>
      <c r="X27" s="47"/>
      <c r="Y27" s="47"/>
      <c r="Z27" s="699"/>
      <c r="AA27" s="699"/>
      <c r="AB27" s="47"/>
      <c r="AC27" s="47"/>
      <c r="AD27" s="47"/>
      <c r="AE27" s="47"/>
      <c r="AF27" s="699"/>
      <c r="AG27" s="699"/>
      <c r="AH27" s="47"/>
      <c r="AI27" s="47"/>
      <c r="AJ27" s="51"/>
      <c r="AK27" s="51"/>
      <c r="AL27" s="68"/>
      <c r="AM27" s="83"/>
      <c r="AN27" s="51"/>
      <c r="AO27" s="51"/>
      <c r="AP27" s="51"/>
      <c r="AQ27" s="51"/>
      <c r="AR27" s="68"/>
      <c r="AS27" s="83"/>
      <c r="AT27" s="68"/>
      <c r="AU27" s="83"/>
      <c r="AV27" s="68"/>
      <c r="AX27" s="68"/>
    </row>
    <row r="28" spans="1:50" s="55" customFormat="1" ht="15" customHeight="1" x14ac:dyDescent="0.3">
      <c r="A28" s="44"/>
      <c r="B28" s="145" t="s">
        <v>709</v>
      </c>
      <c r="C28" s="18"/>
      <c r="D28" s="61">
        <v>-0.11799999999999999</v>
      </c>
      <c r="E28" s="61">
        <v>-1.466</v>
      </c>
      <c r="F28" s="61">
        <v>-2.08</v>
      </c>
      <c r="G28" s="61">
        <v>-26.635000000000002</v>
      </c>
      <c r="H28" s="699">
        <v>-30.298999999999999</v>
      </c>
      <c r="I28" s="683" t="s">
        <v>630</v>
      </c>
      <c r="J28" s="61">
        <v>-1.5780000000000001</v>
      </c>
      <c r="K28" s="61">
        <v>-1.206</v>
      </c>
      <c r="L28" s="61">
        <v>-2.6930000000000001</v>
      </c>
      <c r="M28" s="61">
        <v>-4.2350000000000003</v>
      </c>
      <c r="N28" s="699">
        <v>-9.7119999999999997</v>
      </c>
      <c r="O28" s="699" t="s">
        <v>630</v>
      </c>
      <c r="P28" s="61">
        <v>-3.5840000000000001</v>
      </c>
      <c r="Q28" s="61">
        <v>-2.125</v>
      </c>
      <c r="R28" s="61">
        <v>-13.787000000000001</v>
      </c>
      <c r="S28" s="61">
        <v>-73.024000000000001</v>
      </c>
      <c r="T28" s="699">
        <v>-92.52</v>
      </c>
      <c r="U28" s="699" t="s">
        <v>630</v>
      </c>
      <c r="V28" s="61">
        <v>-15.05</v>
      </c>
      <c r="W28" s="61">
        <v>-7.8680000000000003</v>
      </c>
      <c r="X28" s="61">
        <v>-28.228000000000002</v>
      </c>
      <c r="Y28" s="61">
        <v>-13.192</v>
      </c>
      <c r="Z28" s="699">
        <v>-64.337999999999994</v>
      </c>
      <c r="AA28" s="699" t="s">
        <v>630</v>
      </c>
      <c r="AB28" s="61">
        <v>-26.087</v>
      </c>
      <c r="AC28" s="61">
        <v>-13.577</v>
      </c>
      <c r="AD28" s="61">
        <v>-33.366999999999997</v>
      </c>
      <c r="AE28" s="61">
        <v>-12.917</v>
      </c>
      <c r="AF28" s="699">
        <v>-85.947999999999993</v>
      </c>
      <c r="AG28" s="699" t="s">
        <v>630</v>
      </c>
      <c r="AH28" s="61">
        <v>-17.100999999999999</v>
      </c>
      <c r="AI28" s="61">
        <v>-15.141</v>
      </c>
      <c r="AJ28" s="51">
        <v>-8750</v>
      </c>
      <c r="AK28" s="51">
        <v>-8750</v>
      </c>
      <c r="AL28" s="68">
        <v>-17552.597000000002</v>
      </c>
      <c r="AM28" s="72"/>
      <c r="AN28" s="51">
        <v>-6160.0000000000009</v>
      </c>
      <c r="AO28" s="51">
        <v>-6600</v>
      </c>
      <c r="AP28" s="51">
        <v>-6160.0000000000009</v>
      </c>
      <c r="AQ28" s="51">
        <v>-5500</v>
      </c>
      <c r="AR28" s="68">
        <v>-24420</v>
      </c>
      <c r="AS28" s="72"/>
      <c r="AT28" s="68">
        <v>-23400</v>
      </c>
      <c r="AU28" s="72"/>
      <c r="AV28" s="68">
        <v>-22620</v>
      </c>
      <c r="AW28" s="346"/>
      <c r="AX28" s="68">
        <v>-29400.000000000004</v>
      </c>
    </row>
    <row r="29" spans="1:50" s="55" customFormat="1" ht="15" customHeight="1" x14ac:dyDescent="0.25">
      <c r="A29" s="110"/>
      <c r="B29" s="145" t="s">
        <v>710</v>
      </c>
      <c r="C29" s="112"/>
      <c r="D29" s="61">
        <v>0</v>
      </c>
      <c r="E29" s="61">
        <v>0</v>
      </c>
      <c r="F29" s="61">
        <v>0</v>
      </c>
      <c r="G29" s="61">
        <v>0</v>
      </c>
      <c r="H29" s="699">
        <v>0</v>
      </c>
      <c r="I29" s="683" t="s">
        <v>630</v>
      </c>
      <c r="J29" s="61">
        <v>0</v>
      </c>
      <c r="K29" s="61">
        <v>0</v>
      </c>
      <c r="L29" s="61">
        <v>0</v>
      </c>
      <c r="M29" s="61">
        <v>0</v>
      </c>
      <c r="N29" s="699"/>
      <c r="O29" s="699" t="s">
        <v>630</v>
      </c>
      <c r="P29" s="61">
        <v>0</v>
      </c>
      <c r="Q29" s="61">
        <v>0</v>
      </c>
      <c r="R29" s="61">
        <v>0</v>
      </c>
      <c r="S29" s="61">
        <v>0</v>
      </c>
      <c r="T29" s="699">
        <v>-0.12</v>
      </c>
      <c r="U29" s="699" t="s">
        <v>630</v>
      </c>
      <c r="V29" s="61">
        <v>0</v>
      </c>
      <c r="W29" s="61">
        <v>0</v>
      </c>
      <c r="X29" s="61">
        <v>0</v>
      </c>
      <c r="Y29" s="61">
        <v>0</v>
      </c>
      <c r="Z29" s="699">
        <f>(8.2-2)/100</f>
        <v>6.1999999999999993E-2</v>
      </c>
      <c r="AA29" s="699" t="s">
        <v>630</v>
      </c>
      <c r="AB29" s="61">
        <v>0</v>
      </c>
      <c r="AC29" s="61">
        <v>0</v>
      </c>
      <c r="AD29" s="61">
        <v>0</v>
      </c>
      <c r="AE29" s="61">
        <v>0</v>
      </c>
      <c r="AF29" s="699">
        <v>0.94499999999999995</v>
      </c>
      <c r="AG29" s="699" t="s">
        <v>630</v>
      </c>
      <c r="AH29" s="61">
        <v>0</v>
      </c>
      <c r="AI29" s="61">
        <v>0</v>
      </c>
      <c r="AJ29" s="51">
        <v>125</v>
      </c>
      <c r="AK29" s="51">
        <v>125</v>
      </c>
      <c r="AL29" s="68">
        <v>250.19799999999998</v>
      </c>
      <c r="AM29" s="83"/>
      <c r="AN29" s="51">
        <v>110</v>
      </c>
      <c r="AO29" s="51">
        <v>110</v>
      </c>
      <c r="AP29" s="51">
        <v>110</v>
      </c>
      <c r="AQ29" s="51">
        <v>110</v>
      </c>
      <c r="AR29" s="68">
        <v>440</v>
      </c>
      <c r="AS29" s="83"/>
      <c r="AT29" s="68">
        <v>450</v>
      </c>
      <c r="AU29" s="83"/>
      <c r="AV29" s="68">
        <v>435</v>
      </c>
      <c r="AX29" s="68">
        <v>525</v>
      </c>
    </row>
    <row r="30" spans="1:50" s="55" customFormat="1" ht="15" customHeight="1" x14ac:dyDescent="0.3">
      <c r="A30" s="44"/>
      <c r="B30" s="145" t="s">
        <v>711</v>
      </c>
      <c r="C30" s="18"/>
      <c r="D30" s="61">
        <v>0</v>
      </c>
      <c r="E30" s="61">
        <v>0</v>
      </c>
      <c r="F30" s="61">
        <v>0</v>
      </c>
      <c r="G30" s="61">
        <v>0</v>
      </c>
      <c r="H30" s="699">
        <v>0</v>
      </c>
      <c r="I30" s="683" t="s">
        <v>630</v>
      </c>
      <c r="J30" s="61">
        <v>0</v>
      </c>
      <c r="K30" s="61">
        <v>0</v>
      </c>
      <c r="L30" s="61">
        <v>0</v>
      </c>
      <c r="M30" s="61">
        <v>0</v>
      </c>
      <c r="N30" s="699">
        <v>0</v>
      </c>
      <c r="O30" s="699" t="s">
        <v>630</v>
      </c>
      <c r="P30" s="61">
        <v>0</v>
      </c>
      <c r="Q30" s="61">
        <v>0</v>
      </c>
      <c r="R30" s="61">
        <v>0</v>
      </c>
      <c r="S30" s="61">
        <v>0</v>
      </c>
      <c r="T30" s="699">
        <v>0</v>
      </c>
      <c r="U30" s="699" t="s">
        <v>630</v>
      </c>
      <c r="V30" s="61">
        <v>0</v>
      </c>
      <c r="W30" s="61">
        <v>0</v>
      </c>
      <c r="X30" s="61">
        <v>0</v>
      </c>
      <c r="Y30" s="61">
        <v>0</v>
      </c>
      <c r="Z30" s="699">
        <v>0</v>
      </c>
      <c r="AA30" s="699" t="s">
        <v>630</v>
      </c>
      <c r="AB30" s="61">
        <v>0</v>
      </c>
      <c r="AC30" s="61">
        <v>0</v>
      </c>
      <c r="AD30" s="61">
        <v>0</v>
      </c>
      <c r="AE30" s="61">
        <v>0</v>
      </c>
      <c r="AF30" s="699">
        <v>0</v>
      </c>
      <c r="AG30" s="699" t="s">
        <v>630</v>
      </c>
      <c r="AH30" s="61">
        <v>0</v>
      </c>
      <c r="AI30" s="61">
        <v>0</v>
      </c>
      <c r="AJ30" s="51"/>
      <c r="AK30" s="51"/>
      <c r="AL30" s="68"/>
      <c r="AM30" s="72"/>
      <c r="AN30" s="51"/>
      <c r="AO30" s="51"/>
      <c r="AP30" s="51"/>
      <c r="AQ30" s="51"/>
      <c r="AR30" s="68"/>
      <c r="AS30" s="72"/>
      <c r="AT30" s="68"/>
      <c r="AU30" s="72"/>
      <c r="AV30" s="68"/>
      <c r="AX30" s="68"/>
    </row>
    <row r="31" spans="1:50" s="55" customFormat="1" ht="15" customHeight="1" x14ac:dyDescent="0.25">
      <c r="A31" s="110"/>
      <c r="B31" s="145" t="s">
        <v>712</v>
      </c>
      <c r="C31" s="112"/>
      <c r="D31" s="61">
        <v>0</v>
      </c>
      <c r="E31" s="61">
        <v>0</v>
      </c>
      <c r="F31" s="61">
        <v>0</v>
      </c>
      <c r="G31" s="61">
        <v>0</v>
      </c>
      <c r="H31" s="699">
        <v>0</v>
      </c>
      <c r="I31" s="683" t="s">
        <v>630</v>
      </c>
      <c r="J31" s="61">
        <v>0</v>
      </c>
      <c r="K31" s="61">
        <v>0</v>
      </c>
      <c r="L31" s="61">
        <v>0</v>
      </c>
      <c r="M31" s="61">
        <v>0</v>
      </c>
      <c r="N31" s="699">
        <v>0</v>
      </c>
      <c r="O31" s="699" t="s">
        <v>630</v>
      </c>
      <c r="P31" s="61">
        <v>0</v>
      </c>
      <c r="Q31" s="61">
        <v>0</v>
      </c>
      <c r="R31" s="61">
        <v>0</v>
      </c>
      <c r="S31" s="61">
        <v>0</v>
      </c>
      <c r="T31" s="699">
        <v>0</v>
      </c>
      <c r="U31" s="699" t="s">
        <v>630</v>
      </c>
      <c r="V31" s="61">
        <v>0</v>
      </c>
      <c r="W31" s="61">
        <v>0</v>
      </c>
      <c r="X31" s="61">
        <v>0</v>
      </c>
      <c r="Y31" s="61">
        <v>0</v>
      </c>
      <c r="Z31" s="699">
        <v>0</v>
      </c>
      <c r="AA31" s="699" t="s">
        <v>630</v>
      </c>
      <c r="AB31" s="61">
        <v>0</v>
      </c>
      <c r="AC31" s="61">
        <v>0</v>
      </c>
      <c r="AD31" s="61">
        <v>0</v>
      </c>
      <c r="AE31" s="61">
        <v>0</v>
      </c>
      <c r="AF31" s="699">
        <v>0</v>
      </c>
      <c r="AG31" s="699" t="s">
        <v>630</v>
      </c>
      <c r="AH31" s="61">
        <v>0</v>
      </c>
      <c r="AI31" s="61">
        <v>0</v>
      </c>
      <c r="AJ31" s="51"/>
      <c r="AK31" s="51"/>
      <c r="AL31" s="68"/>
      <c r="AM31" s="88"/>
      <c r="AN31" s="51"/>
      <c r="AO31" s="51"/>
      <c r="AP31" s="51"/>
      <c r="AQ31" s="51"/>
      <c r="AR31" s="68"/>
      <c r="AS31" s="88"/>
      <c r="AT31" s="68"/>
      <c r="AU31" s="88"/>
      <c r="AV31" s="68"/>
      <c r="AX31" s="68"/>
    </row>
    <row r="32" spans="1:50" s="55" customFormat="1" ht="15" customHeight="1" x14ac:dyDescent="0.25">
      <c r="A32" s="110"/>
      <c r="B32" s="145" t="s">
        <v>713</v>
      </c>
      <c r="C32" s="112"/>
      <c r="D32" s="61">
        <v>0</v>
      </c>
      <c r="E32" s="61">
        <v>0</v>
      </c>
      <c r="F32" s="61">
        <v>0</v>
      </c>
      <c r="G32" s="61">
        <v>0</v>
      </c>
      <c r="H32" s="699">
        <v>0</v>
      </c>
      <c r="I32" s="683" t="s">
        <v>630</v>
      </c>
      <c r="J32" s="61">
        <v>0</v>
      </c>
      <c r="K32" s="61">
        <v>0</v>
      </c>
      <c r="L32" s="61">
        <v>0</v>
      </c>
      <c r="M32" s="61">
        <v>0</v>
      </c>
      <c r="N32" s="699">
        <v>0</v>
      </c>
      <c r="O32" s="699" t="s">
        <v>630</v>
      </c>
      <c r="P32" s="61">
        <v>0</v>
      </c>
      <c r="Q32" s="61">
        <v>0</v>
      </c>
      <c r="R32" s="61">
        <v>0</v>
      </c>
      <c r="S32" s="61">
        <v>0</v>
      </c>
      <c r="T32" s="699">
        <v>0</v>
      </c>
      <c r="U32" s="699" t="s">
        <v>630</v>
      </c>
      <c r="V32" s="61">
        <v>0</v>
      </c>
      <c r="W32" s="61">
        <v>0</v>
      </c>
      <c r="X32" s="61">
        <v>0</v>
      </c>
      <c r="Y32" s="61">
        <v>0</v>
      </c>
      <c r="Z32" s="699">
        <v>0</v>
      </c>
      <c r="AA32" s="699" t="s">
        <v>630</v>
      </c>
      <c r="AB32" s="61">
        <v>0</v>
      </c>
      <c r="AC32" s="61">
        <v>0</v>
      </c>
      <c r="AD32" s="61">
        <v>0</v>
      </c>
      <c r="AE32" s="61">
        <v>0</v>
      </c>
      <c r="AF32" s="699">
        <v>-24.873000000000001</v>
      </c>
      <c r="AG32" s="699" t="s">
        <v>630</v>
      </c>
      <c r="AH32" s="61">
        <v>0</v>
      </c>
      <c r="AI32" s="61">
        <v>0</v>
      </c>
      <c r="AJ32" s="51"/>
      <c r="AK32" s="51"/>
      <c r="AL32" s="68"/>
      <c r="AM32" s="88"/>
      <c r="AN32" s="51"/>
      <c r="AO32" s="51"/>
      <c r="AP32" s="51"/>
      <c r="AQ32" s="51"/>
      <c r="AR32" s="68"/>
      <c r="AS32" s="88"/>
      <c r="AT32" s="68"/>
      <c r="AU32" s="88"/>
      <c r="AV32" s="68"/>
      <c r="AX32" s="68"/>
    </row>
    <row r="33" spans="1:38" s="55" customFormat="1" ht="15" customHeight="1" x14ac:dyDescent="0.3">
      <c r="A33" s="110"/>
      <c r="B33" s="145" t="s">
        <v>714</v>
      </c>
      <c r="C33" s="18"/>
      <c r="D33" s="61">
        <v>0</v>
      </c>
      <c r="E33" s="61">
        <v>-14.13</v>
      </c>
      <c r="F33" s="61">
        <v>0</v>
      </c>
      <c r="G33" s="61">
        <v>0</v>
      </c>
      <c r="H33" s="699">
        <v>0</v>
      </c>
      <c r="I33" s="683" t="s">
        <v>630</v>
      </c>
      <c r="J33" s="61">
        <v>0</v>
      </c>
      <c r="K33" s="61">
        <v>0</v>
      </c>
      <c r="L33" s="61">
        <v>0</v>
      </c>
      <c r="M33" s="61">
        <v>0</v>
      </c>
      <c r="N33" s="699">
        <v>0</v>
      </c>
      <c r="O33" s="699" t="s">
        <v>630</v>
      </c>
      <c r="P33" s="61">
        <v>0</v>
      </c>
      <c r="Q33" s="61">
        <v>0</v>
      </c>
      <c r="R33" s="61">
        <v>-4.1959999999999997</v>
      </c>
      <c r="S33" s="61">
        <v>0</v>
      </c>
      <c r="T33" s="699">
        <v>0</v>
      </c>
      <c r="U33" s="699" t="s">
        <v>630</v>
      </c>
      <c r="V33" s="61">
        <v>-0.72799999999999998</v>
      </c>
      <c r="W33" s="61">
        <v>-0.72499999999999998</v>
      </c>
      <c r="X33" s="61">
        <v>-5.0350000000000001</v>
      </c>
      <c r="Y33" s="61">
        <v>0</v>
      </c>
      <c r="Z33" s="699">
        <v>-7.508</v>
      </c>
      <c r="AA33" s="699" t="s">
        <v>630</v>
      </c>
      <c r="AB33" s="61">
        <v>-5.9880000000000004</v>
      </c>
      <c r="AC33" s="61">
        <v>-1.3779999999999999</v>
      </c>
      <c r="AD33" s="61">
        <v>0</v>
      </c>
      <c r="AE33" s="61">
        <v>-17.507000000000001</v>
      </c>
      <c r="AF33" s="699">
        <v>-24.873000000000001</v>
      </c>
      <c r="AG33" s="699" t="s">
        <v>630</v>
      </c>
      <c r="AH33" s="61">
        <v>0</v>
      </c>
      <c r="AI33" s="61">
        <v>0</v>
      </c>
      <c r="AJ33" s="51"/>
      <c r="AK33" s="51"/>
      <c r="AL33" s="68"/>
    </row>
    <row r="34" spans="1:38" s="55" customFormat="1" ht="15" customHeight="1" x14ac:dyDescent="0.3">
      <c r="A34" s="44"/>
      <c r="B34" s="145" t="s">
        <v>715</v>
      </c>
      <c r="C34" s="18"/>
      <c r="D34" s="61">
        <v>0</v>
      </c>
      <c r="E34" s="61">
        <v>0</v>
      </c>
      <c r="F34" s="61">
        <v>0</v>
      </c>
      <c r="G34" s="61">
        <v>14.13</v>
      </c>
      <c r="H34" s="699">
        <v>0</v>
      </c>
      <c r="I34" s="683" t="s">
        <v>630</v>
      </c>
      <c r="J34" s="61">
        <v>0</v>
      </c>
      <c r="K34" s="61">
        <v>0</v>
      </c>
      <c r="L34" s="61">
        <v>0</v>
      </c>
      <c r="M34" s="61">
        <v>0</v>
      </c>
      <c r="N34" s="699">
        <v>0</v>
      </c>
      <c r="O34" s="699" t="s">
        <v>630</v>
      </c>
      <c r="P34" s="61">
        <v>0</v>
      </c>
      <c r="Q34" s="61">
        <v>0</v>
      </c>
      <c r="R34" s="61">
        <v>0</v>
      </c>
      <c r="S34" s="61">
        <v>0</v>
      </c>
      <c r="T34" s="699">
        <v>0</v>
      </c>
      <c r="U34" s="699" t="s">
        <v>630</v>
      </c>
      <c r="V34" s="61">
        <v>0</v>
      </c>
      <c r="W34" s="61">
        <v>0</v>
      </c>
      <c r="X34" s="61">
        <v>0</v>
      </c>
      <c r="Y34" s="61">
        <v>0</v>
      </c>
      <c r="Z34" s="699">
        <v>0</v>
      </c>
      <c r="AA34" s="699" t="s">
        <v>630</v>
      </c>
      <c r="AB34" s="61">
        <v>0</v>
      </c>
      <c r="AC34" s="61">
        <v>0</v>
      </c>
      <c r="AD34" s="61">
        <v>0</v>
      </c>
      <c r="AE34" s="61">
        <v>0</v>
      </c>
      <c r="AF34" s="699">
        <v>0</v>
      </c>
      <c r="AG34" s="699" t="s">
        <v>630</v>
      </c>
      <c r="AH34" s="61">
        <v>0</v>
      </c>
      <c r="AI34" s="61">
        <v>0</v>
      </c>
      <c r="AJ34" s="51"/>
      <c r="AK34" s="51"/>
      <c r="AL34" s="68"/>
    </row>
    <row r="35" spans="1:38" s="55" customFormat="1" ht="15" customHeight="1" x14ac:dyDescent="0.25">
      <c r="B35" s="145" t="s">
        <v>716</v>
      </c>
      <c r="C35" s="112"/>
      <c r="D35" s="61">
        <v>0</v>
      </c>
      <c r="E35" s="61">
        <v>-15.437999999999999</v>
      </c>
      <c r="F35" s="61">
        <v>-1.4209999999999998</v>
      </c>
      <c r="G35" s="61">
        <v>-22.791999999999994</v>
      </c>
      <c r="H35" s="699">
        <v>-39.651000000000003</v>
      </c>
      <c r="I35" s="683" t="e">
        <v>#VALUE!</v>
      </c>
      <c r="J35" s="61">
        <v>0</v>
      </c>
      <c r="K35" s="61">
        <v>0</v>
      </c>
      <c r="L35" s="61">
        <v>0</v>
      </c>
      <c r="M35" s="61">
        <v>-1.5679999999999996</v>
      </c>
      <c r="N35" s="699">
        <v>-60.238</v>
      </c>
      <c r="O35" s="699" t="e">
        <v>#VALUE!</v>
      </c>
      <c r="P35" s="61">
        <v>-152.77500000000001</v>
      </c>
      <c r="Q35" s="61">
        <v>8.245000000000001</v>
      </c>
      <c r="R35" s="61">
        <v>11.442</v>
      </c>
      <c r="S35" s="61">
        <v>-35.866</v>
      </c>
      <c r="T35" s="699">
        <v>-173.15000000000003</v>
      </c>
      <c r="U35" s="699" t="e">
        <v>#VALUE!</v>
      </c>
      <c r="V35" s="61">
        <v>64.906999999999996</v>
      </c>
      <c r="W35" s="61">
        <v>6.1050000000000004</v>
      </c>
      <c r="X35" s="61">
        <v>-20.665999999999997</v>
      </c>
      <c r="Y35" s="61">
        <v>8.588000000000001</v>
      </c>
      <c r="Z35" s="699">
        <v>65.100999999999985</v>
      </c>
      <c r="AA35" s="699" t="e">
        <v>#VALUE!</v>
      </c>
      <c r="AB35" s="61">
        <v>44.366</v>
      </c>
      <c r="AC35" s="61">
        <v>34.552999999999997</v>
      </c>
      <c r="AD35" s="61">
        <v>10.049999999999997</v>
      </c>
      <c r="AE35" s="61">
        <v>9.8930000000000007</v>
      </c>
      <c r="AF35" s="699">
        <v>123.73499999999999</v>
      </c>
      <c r="AG35" s="699" t="e">
        <v>#VALUE!</v>
      </c>
      <c r="AH35" s="61">
        <v>0.26099999999999923</v>
      </c>
      <c r="AI35" s="61">
        <v>0.68599999999999994</v>
      </c>
      <c r="AJ35" s="51"/>
      <c r="AK35" s="51"/>
      <c r="AL35" s="75"/>
    </row>
    <row r="36" spans="1:38" s="55" customFormat="1" ht="15" customHeight="1" thickBot="1" x14ac:dyDescent="0.35">
      <c r="A36" s="110"/>
      <c r="B36" s="146" t="s">
        <v>717</v>
      </c>
      <c r="C36" s="18"/>
      <c r="D36" s="61">
        <v>-0.11799999999999999</v>
      </c>
      <c r="E36" s="61">
        <v>-31.033999999999999</v>
      </c>
      <c r="F36" s="61">
        <v>-3.5009999999999999</v>
      </c>
      <c r="G36" s="61">
        <v>-35.296999999999997</v>
      </c>
      <c r="H36" s="699">
        <v>-69.95</v>
      </c>
      <c r="I36" s="683" t="s">
        <v>630</v>
      </c>
      <c r="J36" s="61">
        <v>-1.5780000000000001</v>
      </c>
      <c r="K36" s="61">
        <v>-1.206</v>
      </c>
      <c r="L36" s="61">
        <v>-2.6930000000000001</v>
      </c>
      <c r="M36" s="61">
        <v>-5.8029999999999999</v>
      </c>
      <c r="N36" s="699">
        <v>-69.95</v>
      </c>
      <c r="O36" s="699" t="s">
        <v>630</v>
      </c>
      <c r="P36" s="61">
        <v>-156.35900000000001</v>
      </c>
      <c r="Q36" s="61">
        <v>6.12</v>
      </c>
      <c r="R36" s="61">
        <v>-6.5410000000000004</v>
      </c>
      <c r="S36" s="61">
        <v>-108.89</v>
      </c>
      <c r="T36" s="699">
        <v>-265.67</v>
      </c>
      <c r="U36" s="699" t="s">
        <v>630</v>
      </c>
      <c r="V36" s="61">
        <v>49.128999999999998</v>
      </c>
      <c r="W36" s="61">
        <v>-2.488</v>
      </c>
      <c r="X36" s="61">
        <v>-53.929000000000002</v>
      </c>
      <c r="Y36" s="61">
        <v>-4.6040000000000001</v>
      </c>
      <c r="Z36" s="699">
        <v>-6.7450000000000001</v>
      </c>
      <c r="AA36" s="699" t="s">
        <v>630</v>
      </c>
      <c r="AB36" s="61">
        <v>12.291</v>
      </c>
      <c r="AC36" s="61">
        <v>19.597999999999999</v>
      </c>
      <c r="AD36" s="61">
        <v>-23.317</v>
      </c>
      <c r="AE36" s="61">
        <v>-20.530999999999999</v>
      </c>
      <c r="AF36" s="699">
        <v>-11.959</v>
      </c>
      <c r="AG36" s="699" t="s">
        <v>630</v>
      </c>
      <c r="AH36" s="61">
        <v>-16.84</v>
      </c>
      <c r="AI36" s="61">
        <v>-14.455</v>
      </c>
      <c r="AJ36" s="51"/>
      <c r="AK36" s="51"/>
      <c r="AL36" s="93"/>
    </row>
    <row r="37" spans="1:38" s="55" customFormat="1" ht="15" customHeight="1" thickTop="1" x14ac:dyDescent="0.3">
      <c r="A37" s="44"/>
      <c r="B37" s="140"/>
      <c r="C37" s="112"/>
      <c r="D37" s="47"/>
      <c r="E37" s="47"/>
      <c r="F37" s="47"/>
      <c r="G37" s="47"/>
      <c r="H37" s="699"/>
      <c r="I37" s="49"/>
      <c r="J37" s="47"/>
      <c r="K37" s="47"/>
      <c r="L37" s="47"/>
      <c r="M37" s="47"/>
      <c r="N37" s="699"/>
      <c r="O37" s="699"/>
      <c r="P37" s="47"/>
      <c r="Q37" s="47"/>
      <c r="R37" s="47"/>
      <c r="S37" s="47"/>
      <c r="T37" s="699"/>
      <c r="U37" s="699"/>
      <c r="V37" s="47"/>
      <c r="W37" s="47"/>
      <c r="X37" s="47"/>
      <c r="Y37" s="47"/>
      <c r="Z37" s="699"/>
      <c r="AA37" s="699"/>
      <c r="AB37" s="47"/>
      <c r="AC37" s="47"/>
      <c r="AD37" s="47"/>
      <c r="AE37" s="47"/>
      <c r="AF37" s="699"/>
      <c r="AG37" s="699"/>
      <c r="AH37" s="47"/>
      <c r="AI37" s="47"/>
      <c r="AJ37" s="51"/>
      <c r="AK37" s="51"/>
      <c r="AL37" s="68"/>
    </row>
    <row r="38" spans="1:38" s="55" customFormat="1" ht="15" customHeight="1" x14ac:dyDescent="0.3">
      <c r="A38" s="45" t="s">
        <v>38</v>
      </c>
      <c r="B38" s="144" t="s">
        <v>718</v>
      </c>
      <c r="C38" s="28"/>
      <c r="D38" s="47"/>
      <c r="E38" s="47"/>
      <c r="F38" s="47"/>
      <c r="G38" s="47"/>
      <c r="H38" s="699"/>
      <c r="I38" s="49"/>
      <c r="J38" s="47"/>
      <c r="K38" s="47"/>
      <c r="L38" s="47"/>
      <c r="M38" s="47"/>
      <c r="N38" s="699"/>
      <c r="O38" s="699"/>
      <c r="P38" s="47"/>
      <c r="Q38" s="47"/>
      <c r="R38" s="47"/>
      <c r="S38" s="47"/>
      <c r="T38" s="699"/>
      <c r="U38" s="699"/>
      <c r="V38" s="47"/>
      <c r="W38" s="47"/>
      <c r="X38" s="47"/>
      <c r="Y38" s="47"/>
      <c r="Z38" s="699"/>
      <c r="AA38" s="699"/>
      <c r="AB38" s="47"/>
      <c r="AC38" s="47"/>
      <c r="AD38" s="47"/>
      <c r="AE38" s="47"/>
      <c r="AF38" s="699"/>
      <c r="AG38" s="699"/>
      <c r="AH38" s="47"/>
      <c r="AI38" s="47"/>
      <c r="AJ38" s="51"/>
      <c r="AK38" s="51"/>
      <c r="AL38" s="68"/>
    </row>
    <row r="39" spans="1:38" s="55" customFormat="1" ht="15" customHeight="1" x14ac:dyDescent="0.25">
      <c r="A39" s="110"/>
      <c r="B39" s="145" t="s">
        <v>719</v>
      </c>
      <c r="C39" s="112"/>
      <c r="D39" s="61">
        <v>0</v>
      </c>
      <c r="E39" s="61">
        <v>0</v>
      </c>
      <c r="F39" s="61">
        <v>0</v>
      </c>
      <c r="G39" s="61">
        <v>0</v>
      </c>
      <c r="H39" s="699">
        <v>0</v>
      </c>
      <c r="I39" s="683" t="s">
        <v>630</v>
      </c>
      <c r="J39" s="61">
        <v>0</v>
      </c>
      <c r="K39" s="61">
        <v>0</v>
      </c>
      <c r="L39" s="61">
        <v>0</v>
      </c>
      <c r="M39" s="61">
        <v>0</v>
      </c>
      <c r="N39" s="699">
        <v>0</v>
      </c>
      <c r="O39" s="699" t="s">
        <v>630</v>
      </c>
      <c r="P39" s="61">
        <v>0</v>
      </c>
      <c r="Q39" s="61">
        <v>0</v>
      </c>
      <c r="R39" s="61">
        <v>0</v>
      </c>
      <c r="S39" s="61">
        <v>0</v>
      </c>
      <c r="T39" s="699">
        <v>0</v>
      </c>
      <c r="U39" s="699" t="s">
        <v>630</v>
      </c>
      <c r="V39" s="61">
        <v>0</v>
      </c>
      <c r="W39" s="61">
        <v>0</v>
      </c>
      <c r="X39" s="61">
        <v>-3.9510000000000001</v>
      </c>
      <c r="Y39" s="61">
        <v>0</v>
      </c>
      <c r="Z39" s="699">
        <v>-3.9510000000000001</v>
      </c>
      <c r="AA39" s="699" t="s">
        <v>630</v>
      </c>
      <c r="AB39" s="61">
        <v>0</v>
      </c>
      <c r="AC39" s="61">
        <v>0</v>
      </c>
      <c r="AD39" s="61">
        <v>-6.9</v>
      </c>
      <c r="AE39" s="61">
        <v>0</v>
      </c>
      <c r="AF39" s="699">
        <v>-6.9</v>
      </c>
      <c r="AG39" s="699" t="s">
        <v>630</v>
      </c>
      <c r="AH39" s="61">
        <v>0</v>
      </c>
      <c r="AI39" s="61">
        <v>0</v>
      </c>
      <c r="AJ39" s="51"/>
      <c r="AK39" s="51"/>
      <c r="AL39" s="68"/>
    </row>
    <row r="40" spans="1:38" s="55" customFormat="1" ht="15" customHeight="1" x14ac:dyDescent="0.25">
      <c r="A40" s="110"/>
      <c r="B40" s="145" t="s">
        <v>720</v>
      </c>
      <c r="C40" s="112"/>
      <c r="D40" s="61">
        <v>0.17499999999999999</v>
      </c>
      <c r="E40" s="61">
        <v>0.69799999999999995</v>
      </c>
      <c r="F40" s="61">
        <v>1.3180000000000001</v>
      </c>
      <c r="G40" s="61">
        <v>0.55400000000000005</v>
      </c>
      <c r="H40" s="699">
        <v>2.7450000000000001</v>
      </c>
      <c r="I40" s="683" t="s">
        <v>630</v>
      </c>
      <c r="J40" s="61">
        <v>1.377</v>
      </c>
      <c r="K40" s="61">
        <v>2.64</v>
      </c>
      <c r="L40" s="61">
        <v>0.93200000000000005</v>
      </c>
      <c r="M40" s="61">
        <v>1.1579999999999999</v>
      </c>
      <c r="N40" s="699">
        <v>3.43</v>
      </c>
      <c r="O40" s="699" t="s">
        <v>630</v>
      </c>
      <c r="P40" s="61">
        <v>0.72399999999999998</v>
      </c>
      <c r="Q40" s="61">
        <v>2.5999999999999999E-2</v>
      </c>
      <c r="R40" s="61">
        <v>0.4</v>
      </c>
      <c r="S40" s="61">
        <v>0.16400000000000001</v>
      </c>
      <c r="T40" s="699">
        <v>1.3140000000000001</v>
      </c>
      <c r="U40" s="699" t="s">
        <v>630</v>
      </c>
      <c r="V40" s="61">
        <v>0.24099999999999999</v>
      </c>
      <c r="W40" s="61">
        <v>4.2839999999999998</v>
      </c>
      <c r="X40" s="61">
        <v>0.76500000000000001</v>
      </c>
      <c r="Y40" s="61">
        <v>0.84799999999999998</v>
      </c>
      <c r="Z40" s="699">
        <v>6.1379999999999999</v>
      </c>
      <c r="AA40" s="699" t="s">
        <v>630</v>
      </c>
      <c r="AB40" s="61">
        <v>4.7990000000000004</v>
      </c>
      <c r="AC40" s="61">
        <v>1.6379999999999999</v>
      </c>
      <c r="AD40" s="61">
        <v>5.2999999999999999E-2</v>
      </c>
      <c r="AE40" s="61">
        <v>4.609</v>
      </c>
      <c r="AF40" s="699">
        <v>11.099</v>
      </c>
      <c r="AG40" s="699" t="s">
        <v>630</v>
      </c>
      <c r="AH40" s="61">
        <v>22.728999999999999</v>
      </c>
      <c r="AI40" s="61">
        <v>0.85299999999999998</v>
      </c>
      <c r="AJ40" s="51"/>
      <c r="AK40" s="51"/>
      <c r="AL40" s="68"/>
    </row>
    <row r="41" spans="1:38" s="55" customFormat="1" ht="15" customHeight="1" x14ac:dyDescent="0.25">
      <c r="A41" s="110"/>
      <c r="B41" s="145" t="s">
        <v>721</v>
      </c>
      <c r="C41" s="112"/>
      <c r="D41" s="61">
        <v>-9.734</v>
      </c>
      <c r="E41" s="61">
        <v>20.158000000000001</v>
      </c>
      <c r="F41" s="61">
        <v>3.7629999999999999</v>
      </c>
      <c r="G41" s="61">
        <v>15.901999999999999</v>
      </c>
      <c r="H41" s="699">
        <v>10.519</v>
      </c>
      <c r="I41" s="683" t="s">
        <v>630</v>
      </c>
      <c r="J41" s="61">
        <v>-2.5329999999999999</v>
      </c>
      <c r="K41" s="61">
        <v>-1.5669999999999999</v>
      </c>
      <c r="L41" s="61">
        <v>-6.9</v>
      </c>
      <c r="M41" s="61">
        <v>-5.9249999999999998</v>
      </c>
      <c r="N41" s="699">
        <v>-16.925000000000001</v>
      </c>
      <c r="O41" s="699" t="s">
        <v>630</v>
      </c>
      <c r="P41" s="61">
        <v>0</v>
      </c>
      <c r="Q41" s="61">
        <v>-4.9210000000000003</v>
      </c>
      <c r="R41" s="61">
        <v>41.914999999999999</v>
      </c>
      <c r="S41" s="61">
        <v>9.7859999999999996</v>
      </c>
      <c r="T41" s="699">
        <v>46.78</v>
      </c>
      <c r="U41" s="699" t="s">
        <v>630</v>
      </c>
      <c r="V41" s="61">
        <v>0</v>
      </c>
      <c r="W41" s="61">
        <v>0</v>
      </c>
      <c r="X41" s="61">
        <v>0</v>
      </c>
      <c r="Y41" s="61">
        <v>-3.3180000000000001</v>
      </c>
      <c r="Z41" s="699">
        <v>-23.734000000000002</v>
      </c>
      <c r="AA41" s="699" t="s">
        <v>630</v>
      </c>
      <c r="AB41" s="61">
        <v>23.242999999999999</v>
      </c>
      <c r="AC41" s="61">
        <v>-0.504</v>
      </c>
      <c r="AD41" s="61">
        <v>-20.693000000000001</v>
      </c>
      <c r="AE41" s="61">
        <v>-1.0780000000000001</v>
      </c>
      <c r="AF41" s="699">
        <v>0.96799999999999997</v>
      </c>
      <c r="AG41" s="699" t="s">
        <v>630</v>
      </c>
      <c r="AH41" s="61">
        <v>-7.9050000000000002</v>
      </c>
      <c r="AI41" s="61">
        <v>27.803000000000001</v>
      </c>
      <c r="AJ41" s="51"/>
      <c r="AK41" s="51"/>
      <c r="AL41" s="68"/>
    </row>
    <row r="42" spans="1:38" s="55" customFormat="1" ht="15" customHeight="1" x14ac:dyDescent="0.3">
      <c r="A42" s="132"/>
      <c r="B42" s="145" t="s">
        <v>722</v>
      </c>
      <c r="C42" s="28"/>
      <c r="D42" s="61">
        <v>0</v>
      </c>
      <c r="E42" s="61">
        <v>0</v>
      </c>
      <c r="F42" s="61">
        <v>0</v>
      </c>
      <c r="G42" s="61">
        <v>0</v>
      </c>
      <c r="H42" s="699">
        <v>19.699000000000002</v>
      </c>
      <c r="I42" s="683" t="s">
        <v>630</v>
      </c>
      <c r="J42" s="61">
        <v>0</v>
      </c>
      <c r="K42" s="61">
        <v>1.548</v>
      </c>
      <c r="L42" s="61">
        <v>5.391</v>
      </c>
      <c r="M42" s="61">
        <v>0.11700000000000001</v>
      </c>
      <c r="N42" s="699">
        <v>7.056</v>
      </c>
      <c r="O42" s="699" t="s">
        <v>630</v>
      </c>
      <c r="P42" s="61">
        <v>0</v>
      </c>
      <c r="Q42" s="61">
        <v>0</v>
      </c>
      <c r="R42" s="61">
        <v>0</v>
      </c>
      <c r="S42" s="61">
        <v>0</v>
      </c>
      <c r="T42" s="699">
        <v>0</v>
      </c>
      <c r="U42" s="699" t="s">
        <v>630</v>
      </c>
      <c r="V42" s="61">
        <v>0</v>
      </c>
      <c r="W42" s="61">
        <v>0.58499999999999996</v>
      </c>
      <c r="X42" s="61">
        <v>27.274999999999999</v>
      </c>
      <c r="Y42" s="61">
        <v>14.5</v>
      </c>
      <c r="Z42" s="699">
        <v>42.36</v>
      </c>
      <c r="AA42" s="699" t="s">
        <v>630</v>
      </c>
      <c r="AB42" s="61">
        <v>0</v>
      </c>
      <c r="AC42" s="61">
        <v>32.277000000000001</v>
      </c>
      <c r="AD42" s="61">
        <v>49.415999999999997</v>
      </c>
      <c r="AE42" s="61">
        <v>15.202999999999999</v>
      </c>
      <c r="AF42" s="699">
        <v>96.896000000000001</v>
      </c>
      <c r="AG42" s="699" t="s">
        <v>630</v>
      </c>
      <c r="AH42" s="61">
        <v>52.701000000000001</v>
      </c>
      <c r="AI42" s="61">
        <v>36.783999999999999</v>
      </c>
      <c r="AJ42" s="51"/>
      <c r="AK42" s="51"/>
      <c r="AL42" s="68"/>
    </row>
    <row r="43" spans="1:38" s="55" customFormat="1" ht="15" customHeight="1" x14ac:dyDescent="0.25">
      <c r="A43" s="110"/>
      <c r="B43" s="145" t="s">
        <v>723</v>
      </c>
      <c r="C43" s="112"/>
      <c r="D43" s="61">
        <v>0</v>
      </c>
      <c r="E43" s="61">
        <v>0</v>
      </c>
      <c r="F43" s="61">
        <v>0</v>
      </c>
      <c r="G43" s="61">
        <v>0</v>
      </c>
      <c r="H43" s="699">
        <v>-0.129</v>
      </c>
      <c r="I43" s="683" t="s">
        <v>630</v>
      </c>
      <c r="J43" s="61">
        <v>0</v>
      </c>
      <c r="K43" s="61">
        <v>-0.79400000000000004</v>
      </c>
      <c r="L43" s="61">
        <v>-0.39900000000000002</v>
      </c>
      <c r="M43" s="61">
        <v>-0.93400000000000005</v>
      </c>
      <c r="N43" s="699">
        <v>-2.1269999999999998</v>
      </c>
      <c r="O43" s="699" t="s">
        <v>630</v>
      </c>
      <c r="P43" s="61">
        <v>-0.69599999999999995</v>
      </c>
      <c r="Q43" s="61">
        <v>-0.104</v>
      </c>
      <c r="R43" s="61">
        <v>-0.90800000000000003</v>
      </c>
      <c r="S43" s="61">
        <v>-0.51500000000000001</v>
      </c>
      <c r="T43" s="699">
        <v>-2.2229999999999999</v>
      </c>
      <c r="U43" s="699" t="s">
        <v>630</v>
      </c>
      <c r="V43" s="61">
        <v>-1.696</v>
      </c>
      <c r="W43" s="61">
        <v>0</v>
      </c>
      <c r="X43" s="61">
        <v>-7.3999999999999996E-2</v>
      </c>
      <c r="Y43" s="61">
        <v>-0.51300000000000001</v>
      </c>
      <c r="Z43" s="699">
        <v>-2.2829999999999999</v>
      </c>
      <c r="AA43" s="699" t="s">
        <v>630</v>
      </c>
      <c r="AB43" s="61">
        <v>-1.1930000000000001</v>
      </c>
      <c r="AC43" s="61">
        <v>-2.0089999999999999</v>
      </c>
      <c r="AD43" s="61">
        <v>-3.1019999999999999</v>
      </c>
      <c r="AE43" s="61">
        <v>-3.278</v>
      </c>
      <c r="AF43" s="699">
        <v>-9.5820000000000007</v>
      </c>
      <c r="AG43" s="699" t="s">
        <v>630</v>
      </c>
      <c r="AH43" s="61">
        <v>-0.45500000000000002</v>
      </c>
      <c r="AI43" s="61">
        <v>-14.791</v>
      </c>
      <c r="AJ43" s="51"/>
      <c r="AK43" s="51"/>
      <c r="AL43" s="68"/>
    </row>
    <row r="44" spans="1:38" s="55" customFormat="1" ht="15" customHeight="1" x14ac:dyDescent="0.25">
      <c r="A44" s="110"/>
      <c r="B44" s="145" t="s">
        <v>724</v>
      </c>
      <c r="C44" s="112"/>
      <c r="D44" s="61">
        <v>0</v>
      </c>
      <c r="E44" s="61">
        <v>0</v>
      </c>
      <c r="F44" s="61">
        <v>-1.8199999999999994</v>
      </c>
      <c r="G44" s="61">
        <v>1.8200000000000003</v>
      </c>
      <c r="H44" s="699">
        <v>0</v>
      </c>
      <c r="I44" s="683" t="e">
        <v>#VALUE!</v>
      </c>
      <c r="J44" s="61">
        <v>-0.22399999999999998</v>
      </c>
      <c r="K44" s="61">
        <v>0.22399999999999975</v>
      </c>
      <c r="L44" s="61">
        <v>0</v>
      </c>
      <c r="M44" s="61">
        <v>547.33199999999999</v>
      </c>
      <c r="N44" s="699">
        <v>547.33199999999999</v>
      </c>
      <c r="O44" s="699" t="e">
        <v>#VALUE!</v>
      </c>
      <c r="P44" s="61">
        <v>0</v>
      </c>
      <c r="Q44" s="61">
        <v>0</v>
      </c>
      <c r="R44" s="61">
        <v>0</v>
      </c>
      <c r="S44" s="61">
        <v>0</v>
      </c>
      <c r="T44" s="699">
        <v>0</v>
      </c>
      <c r="U44" s="699" t="e">
        <v>#VALUE!</v>
      </c>
      <c r="V44" s="61">
        <v>0</v>
      </c>
      <c r="W44" s="61">
        <v>0</v>
      </c>
      <c r="X44" s="61">
        <v>-20.415999999999997</v>
      </c>
      <c r="Y44" s="61">
        <v>0</v>
      </c>
      <c r="Z44" s="699">
        <v>0</v>
      </c>
      <c r="AA44" s="699" t="e">
        <v>#VALUE!</v>
      </c>
      <c r="AB44" s="61">
        <v>0</v>
      </c>
      <c r="AC44" s="61">
        <v>0</v>
      </c>
      <c r="AD44" s="61">
        <v>0</v>
      </c>
      <c r="AE44" s="61">
        <v>0</v>
      </c>
      <c r="AF44" s="699">
        <v>0</v>
      </c>
      <c r="AG44" s="699" t="e">
        <v>#VALUE!</v>
      </c>
      <c r="AH44" s="61">
        <v>0.13799999999999102</v>
      </c>
      <c r="AI44" s="61">
        <v>-6.8840000000000003</v>
      </c>
      <c r="AJ44" s="51"/>
      <c r="AK44" s="51"/>
      <c r="AL44" s="75"/>
    </row>
    <row r="45" spans="1:38" s="55" customFormat="1" ht="15" customHeight="1" thickBot="1" x14ac:dyDescent="0.35">
      <c r="A45" s="110"/>
      <c r="B45" s="146" t="s">
        <v>725</v>
      </c>
      <c r="C45" s="18"/>
      <c r="D45" s="61">
        <v>-9.5589999999999993</v>
      </c>
      <c r="E45" s="61">
        <v>20.856000000000002</v>
      </c>
      <c r="F45" s="61">
        <v>3.2610000000000001</v>
      </c>
      <c r="G45" s="61">
        <v>18.276</v>
      </c>
      <c r="H45" s="699">
        <v>32.834000000000003</v>
      </c>
      <c r="I45" s="683" t="s">
        <v>630</v>
      </c>
      <c r="J45" s="61">
        <v>-1.38</v>
      </c>
      <c r="K45" s="61">
        <v>2.0510000000000002</v>
      </c>
      <c r="L45" s="61">
        <v>-0.97599999999999998</v>
      </c>
      <c r="M45" s="61">
        <v>541.74800000000005</v>
      </c>
      <c r="N45" s="699">
        <v>538.76599999999996</v>
      </c>
      <c r="O45" s="699" t="s">
        <v>630</v>
      </c>
      <c r="P45" s="61">
        <v>2.8000000000000001E-2</v>
      </c>
      <c r="Q45" s="61">
        <v>-4.9989999999999997</v>
      </c>
      <c r="R45" s="61">
        <v>41.406999999999996</v>
      </c>
      <c r="S45" s="61">
        <v>9.4350000000000005</v>
      </c>
      <c r="T45" s="699">
        <v>45.871000000000002</v>
      </c>
      <c r="U45" s="699" t="s">
        <v>630</v>
      </c>
      <c r="V45" s="61">
        <v>-1.4550000000000001</v>
      </c>
      <c r="W45" s="61">
        <v>4.8689999999999998</v>
      </c>
      <c r="X45" s="61">
        <v>3.5990000000000002</v>
      </c>
      <c r="Y45" s="61">
        <v>11.516999999999999</v>
      </c>
      <c r="Z45" s="699">
        <v>18.53</v>
      </c>
      <c r="AA45" s="699" t="s">
        <v>630</v>
      </c>
      <c r="AB45" s="61">
        <v>26.849</v>
      </c>
      <c r="AC45" s="61">
        <v>31.402000000000001</v>
      </c>
      <c r="AD45" s="61">
        <v>18.774000000000001</v>
      </c>
      <c r="AE45" s="61">
        <v>15.456</v>
      </c>
      <c r="AF45" s="699">
        <v>92.480999999999995</v>
      </c>
      <c r="AG45" s="699" t="s">
        <v>630</v>
      </c>
      <c r="AH45" s="61">
        <v>67.207999999999998</v>
      </c>
      <c r="AI45" s="61">
        <v>43.765000000000001</v>
      </c>
      <c r="AJ45" s="51"/>
      <c r="AK45" s="51"/>
      <c r="AL45" s="93"/>
    </row>
    <row r="46" spans="1:38" s="55" customFormat="1" ht="15" customHeight="1" thickTop="1" x14ac:dyDescent="0.3">
      <c r="A46" s="110"/>
      <c r="B46" s="10"/>
      <c r="C46" s="112"/>
      <c r="D46" s="47"/>
      <c r="E46" s="47"/>
      <c r="F46" s="47"/>
      <c r="G46" s="47"/>
      <c r="H46" s="699"/>
      <c r="I46" s="49"/>
      <c r="J46" s="47"/>
      <c r="K46" s="47"/>
      <c r="L46" s="47"/>
      <c r="M46" s="47"/>
      <c r="N46" s="699"/>
      <c r="O46" s="699"/>
      <c r="P46" s="47"/>
      <c r="Q46" s="47"/>
      <c r="R46" s="47"/>
      <c r="S46" s="47"/>
      <c r="T46" s="699"/>
      <c r="U46" s="699"/>
      <c r="V46" s="47"/>
      <c r="W46" s="47"/>
      <c r="X46" s="47"/>
      <c r="Y46" s="47"/>
      <c r="Z46" s="699"/>
      <c r="AA46" s="699"/>
      <c r="AB46" s="47"/>
      <c r="AC46" s="47"/>
      <c r="AD46" s="47"/>
      <c r="AE46" s="47"/>
      <c r="AF46" s="699"/>
      <c r="AG46" s="699"/>
      <c r="AH46" s="47"/>
      <c r="AI46" s="47"/>
      <c r="AJ46" s="51"/>
      <c r="AK46" s="51"/>
      <c r="AL46" s="68"/>
    </row>
    <row r="47" spans="1:38" s="55" customFormat="1" ht="15" customHeight="1" x14ac:dyDescent="0.3">
      <c r="A47" s="45" t="s">
        <v>38</v>
      </c>
      <c r="B47" s="144" t="s">
        <v>726</v>
      </c>
      <c r="C47" s="18"/>
      <c r="D47" s="61">
        <v>-1.002</v>
      </c>
      <c r="E47" s="61">
        <v>4.5999999999999999E-2</v>
      </c>
      <c r="F47" s="61">
        <v>3.431</v>
      </c>
      <c r="G47" s="61">
        <v>2.0950000000000002</v>
      </c>
      <c r="H47" s="699">
        <v>4.57</v>
      </c>
      <c r="I47" s="683" t="s">
        <v>630</v>
      </c>
      <c r="J47" s="61">
        <v>-0.754</v>
      </c>
      <c r="K47" s="61">
        <v>1.069</v>
      </c>
      <c r="L47" s="61">
        <v>2.5590000000000002</v>
      </c>
      <c r="M47" s="61">
        <v>1.034</v>
      </c>
      <c r="N47" s="699">
        <v>3.9079999999999999</v>
      </c>
      <c r="O47" s="699"/>
      <c r="P47" s="61">
        <v>1.304</v>
      </c>
      <c r="Q47" s="61">
        <v>-23.52</v>
      </c>
      <c r="R47" s="61">
        <v>-20.335000000000001</v>
      </c>
      <c r="S47" s="61">
        <v>9.9280000000000008</v>
      </c>
      <c r="T47" s="699">
        <v>-32.622999999999998</v>
      </c>
      <c r="U47" s="699" t="s">
        <v>630</v>
      </c>
      <c r="V47" s="61">
        <v>-4.7839999999999998</v>
      </c>
      <c r="W47" s="61">
        <v>-11.48</v>
      </c>
      <c r="X47" s="61">
        <v>12.718999999999999</v>
      </c>
      <c r="Y47" s="61">
        <v>1.8049999999999999</v>
      </c>
      <c r="Z47" s="699">
        <v>-32.622999999999998</v>
      </c>
      <c r="AA47" s="699" t="s">
        <v>630</v>
      </c>
      <c r="AB47" s="61">
        <v>-0.55100000000000005</v>
      </c>
      <c r="AC47" s="61">
        <v>0.20799999999999999</v>
      </c>
      <c r="AD47" s="61">
        <v>2.972</v>
      </c>
      <c r="AE47" s="61">
        <v>-7.4640000000000004</v>
      </c>
      <c r="AF47" s="699">
        <v>-4.835</v>
      </c>
      <c r="AG47" s="699" t="s">
        <v>630</v>
      </c>
      <c r="AH47" s="61">
        <v>0.86599999999999999</v>
      </c>
      <c r="AI47" s="61">
        <v>0.65100000000000002</v>
      </c>
      <c r="AJ47" s="51"/>
      <c r="AK47" s="51"/>
      <c r="AL47" s="68"/>
    </row>
    <row r="48" spans="1:38" ht="15" customHeight="1" x14ac:dyDescent="0.3">
      <c r="H48" s="699"/>
      <c r="N48" s="699"/>
      <c r="O48" s="699"/>
      <c r="T48" s="699"/>
      <c r="U48" s="699"/>
      <c r="Z48" s="699"/>
      <c r="AA48" s="699"/>
      <c r="AF48" s="699"/>
      <c r="AG48" s="699"/>
    </row>
    <row r="49" spans="1:35" s="55" customFormat="1" ht="15" customHeight="1" x14ac:dyDescent="0.3">
      <c r="A49" s="45" t="s">
        <v>38</v>
      </c>
      <c r="B49" s="144" t="s">
        <v>727</v>
      </c>
      <c r="C49" s="18"/>
      <c r="D49" s="61">
        <v>-6.85</v>
      </c>
      <c r="E49" s="61">
        <v>-24.611999999999998</v>
      </c>
      <c r="F49" s="61">
        <v>5.806</v>
      </c>
      <c r="G49" s="61">
        <v>-20.437000000000001</v>
      </c>
      <c r="H49" s="699">
        <v>-46.093000000000004</v>
      </c>
      <c r="I49" s="683" t="s">
        <v>630</v>
      </c>
      <c r="J49" s="61">
        <v>7.03</v>
      </c>
      <c r="K49" s="61">
        <v>-8.5869999999999997</v>
      </c>
      <c r="L49" s="61">
        <v>-5.173</v>
      </c>
      <c r="M49" s="61">
        <v>522.9</v>
      </c>
      <c r="N49" s="699">
        <v>491.30099999999999</v>
      </c>
      <c r="O49" s="699" t="s">
        <v>630</v>
      </c>
      <c r="P49" s="61">
        <v>-182.756</v>
      </c>
      <c r="Q49" s="61">
        <v>-55.966999999999999</v>
      </c>
      <c r="R49" s="61">
        <v>12.298</v>
      </c>
      <c r="S49" s="61">
        <v>-88.191000000000003</v>
      </c>
      <c r="T49" s="699">
        <v>-314.61599999999999</v>
      </c>
      <c r="U49" s="699" t="s">
        <v>630</v>
      </c>
      <c r="V49" s="61">
        <v>12.396000000000001</v>
      </c>
      <c r="W49" s="61">
        <v>-2.8450000000000002</v>
      </c>
      <c r="X49" s="61">
        <v>-50.341000000000001</v>
      </c>
      <c r="Y49" s="61">
        <v>-24.488</v>
      </c>
      <c r="Z49" s="699">
        <v>-65.278000000000006</v>
      </c>
      <c r="AA49" s="699" t="s">
        <v>630</v>
      </c>
      <c r="AB49" s="61">
        <v>28.94</v>
      </c>
      <c r="AC49" s="61">
        <v>112.79900000000001</v>
      </c>
      <c r="AD49" s="61">
        <v>10.342000000000001</v>
      </c>
      <c r="AE49" s="61">
        <v>76.055999999999997</v>
      </c>
      <c r="AF49" s="699">
        <v>228.137</v>
      </c>
      <c r="AG49" s="699" t="s">
        <v>630</v>
      </c>
      <c r="AH49" s="61">
        <v>56.515999999999998</v>
      </c>
      <c r="AI49" s="61">
        <v>-14.94</v>
      </c>
    </row>
    <row r="50" spans="1:35" s="55" customFormat="1" ht="15" customHeight="1" x14ac:dyDescent="0.25">
      <c r="B50" s="144" t="s">
        <v>728</v>
      </c>
      <c r="C50" s="112"/>
      <c r="D50" s="61">
        <v>52.283000000000001</v>
      </c>
      <c r="E50" s="61">
        <v>86.397000000000006</v>
      </c>
      <c r="F50" s="61">
        <v>92.203000000000003</v>
      </c>
      <c r="G50" s="61">
        <v>71.766000000000005</v>
      </c>
      <c r="H50" s="699">
        <v>71.766000000000005</v>
      </c>
      <c r="I50" s="683" t="s">
        <v>630</v>
      </c>
      <c r="J50" s="61">
        <v>78.796000000000006</v>
      </c>
      <c r="K50" s="61">
        <v>70.209000000000003</v>
      </c>
      <c r="L50" s="61">
        <v>65.036000000000001</v>
      </c>
      <c r="M50" s="61">
        <v>563.06700000000001</v>
      </c>
      <c r="N50" s="699">
        <v>563.06700000000001</v>
      </c>
      <c r="O50" s="699" t="s">
        <v>630</v>
      </c>
      <c r="P50" s="61">
        <v>380.31099999999998</v>
      </c>
      <c r="Q50" s="61">
        <v>323.71600000000001</v>
      </c>
      <c r="R50" s="61">
        <v>336.27499999999998</v>
      </c>
      <c r="S50" s="61">
        <v>247.95099999999999</v>
      </c>
      <c r="T50" s="699">
        <v>247.95099999999999</v>
      </c>
      <c r="U50" s="699" t="s">
        <v>630</v>
      </c>
      <c r="V50" s="61">
        <v>260.387</v>
      </c>
      <c r="W50" s="61">
        <v>257.42</v>
      </c>
      <c r="X50" s="61">
        <v>207.101</v>
      </c>
      <c r="Y50" s="61">
        <v>182.09</v>
      </c>
      <c r="Z50" s="699">
        <v>247.95099999999999</v>
      </c>
      <c r="AA50" s="699" t="s">
        <v>630</v>
      </c>
      <c r="AB50" s="61">
        <v>211.30500000000001</v>
      </c>
      <c r="AC50" s="61">
        <v>324.03100000000001</v>
      </c>
      <c r="AD50" s="61">
        <v>333.47199999999998</v>
      </c>
      <c r="AE50" s="61">
        <v>407.44499999999999</v>
      </c>
      <c r="AF50" s="699">
        <v>407.44499999999999</v>
      </c>
      <c r="AG50" s="699" t="s">
        <v>630</v>
      </c>
      <c r="AH50" s="61">
        <v>457.24</v>
      </c>
      <c r="AI50" s="61">
        <v>442.08800000000002</v>
      </c>
    </row>
    <row r="51" spans="1:35" ht="15" customHeight="1" x14ac:dyDescent="0.3">
      <c r="N51" s="699"/>
      <c r="O51" s="699"/>
      <c r="T51" s="699"/>
      <c r="U51" s="699"/>
      <c r="Z51" s="699"/>
      <c r="AA51" s="699"/>
      <c r="AF51" s="699"/>
      <c r="AG51" s="699"/>
    </row>
    <row r="52" spans="1:35" ht="15" customHeight="1" x14ac:dyDescent="0.3">
      <c r="T52" s="699"/>
      <c r="U52" s="699"/>
      <c r="Z52" s="699"/>
      <c r="AA52" s="699"/>
      <c r="AF52" s="699"/>
      <c r="AG52" s="699"/>
    </row>
    <row r="53" spans="1:35" ht="15" customHeight="1" x14ac:dyDescent="0.3">
      <c r="AF53" s="699"/>
      <c r="AG53" s="699"/>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zoomScale="61" zoomScaleNormal="100" workbookViewId="0">
      <selection activeCell="H14" sqref="H14"/>
    </sheetView>
  </sheetViews>
  <sheetFormatPr defaultColWidth="9" defaultRowHeight="14.25" customHeight="1" outlineLevelCol="1" x14ac:dyDescent="0.25"/>
  <cols>
    <col min="1" max="1" width="2" style="96" customWidth="1"/>
    <col min="2" max="2" width="50.5" style="96" customWidth="1"/>
    <col min="3" max="3" width="3.296875" style="24" customWidth="1"/>
    <col min="4" max="7" width="9.5" style="96" customWidth="1" outlineLevel="1"/>
    <col min="8" max="8" width="11.5" style="96" customWidth="1"/>
    <col min="9" max="9" width="1.5" style="24" customWidth="1"/>
    <col min="10" max="13" width="9.5" style="96" customWidth="1" outlineLevel="1"/>
    <col min="14" max="14" width="11.5" style="96" customWidth="1"/>
    <col min="15" max="15" width="1.5" style="24" customWidth="1"/>
    <col min="16" max="19" width="9.5" style="96" customWidth="1" outlineLevel="1"/>
    <col min="20" max="20" width="11.5" style="96" customWidth="1"/>
    <col min="21" max="21" width="1.5" style="24" customWidth="1"/>
    <col min="22" max="25" width="9.5" style="96" customWidth="1" outlineLevel="1"/>
    <col min="26" max="26" width="11.5" style="96" customWidth="1"/>
    <col min="27" max="27" width="1.5" style="24" customWidth="1"/>
    <col min="28" max="31" width="9.5" style="96" customWidth="1" outlineLevel="1"/>
    <col min="32" max="32" width="11.5" style="96" customWidth="1"/>
    <col min="33" max="33" width="1.5" style="24" customWidth="1"/>
    <col min="34" max="37" width="9.5" style="96" customWidth="1" outlineLevel="1"/>
    <col min="38" max="38" width="11.5" style="96" customWidth="1"/>
    <col min="39" max="39" width="1.5" style="24" customWidth="1"/>
    <col min="40" max="43" width="9.5" style="96" customWidth="1" outlineLevel="1"/>
    <col min="44" max="44" width="11.5" style="96" customWidth="1"/>
    <col min="45" max="45" width="1.5" style="24" customWidth="1"/>
    <col min="46" max="46" width="11.5" style="96" customWidth="1"/>
    <col min="47" max="47" width="1.5" style="24" customWidth="1"/>
    <col min="48" max="48" width="11.5" style="102" customWidth="1"/>
    <col min="49" max="49" width="1.5" style="24" customWidth="1"/>
    <col min="50" max="50" width="11.5" style="96" customWidth="1"/>
    <col min="51" max="51" width="1.5" style="96" customWidth="1"/>
    <col min="52" max="16384" width="9" style="96"/>
  </cols>
  <sheetData>
    <row r="1" spans="1:50" s="569" customFormat="1" ht="15" customHeight="1" x14ac:dyDescent="0.25"/>
    <row r="2" spans="1:50" s="569" customFormat="1" ht="15" customHeight="1" x14ac:dyDescent="0.25"/>
    <row r="3" spans="1:50" s="569" customFormat="1" ht="15" customHeight="1" x14ac:dyDescent="0.25"/>
    <row r="4" spans="1:50" s="569" customFormat="1" ht="15" customHeight="1" x14ac:dyDescent="0.25"/>
    <row r="5" spans="1:50" s="274" customFormat="1" ht="4.05" customHeight="1" x14ac:dyDescent="0.25">
      <c r="C5" s="37"/>
      <c r="I5" s="37"/>
      <c r="O5" s="37"/>
      <c r="U5" s="37"/>
      <c r="AA5" s="37"/>
      <c r="AG5" s="37"/>
      <c r="AM5" s="37"/>
      <c r="AS5" s="37"/>
      <c r="AU5" s="37"/>
      <c r="AV5" s="275"/>
      <c r="AW5" s="37"/>
    </row>
    <row r="7" spans="1:50" s="42" customFormat="1" ht="15" customHeight="1" x14ac:dyDescent="0.3">
      <c r="B7" s="147" t="s">
        <v>729</v>
      </c>
      <c r="C7" s="19"/>
      <c r="D7" s="188">
        <f>F7</f>
        <v>2020</v>
      </c>
      <c r="E7" s="188">
        <f>F7</f>
        <v>2020</v>
      </c>
      <c r="F7" s="188">
        <v>2020</v>
      </c>
      <c r="G7" s="188">
        <f>F7</f>
        <v>2020</v>
      </c>
      <c r="H7" s="188">
        <f>F7</f>
        <v>2020</v>
      </c>
      <c r="I7" s="19"/>
      <c r="J7" s="188">
        <f>L7</f>
        <v>2021</v>
      </c>
      <c r="K7" s="188">
        <f>L7</f>
        <v>2021</v>
      </c>
      <c r="L7" s="188">
        <v>2021</v>
      </c>
      <c r="M7" s="188">
        <f>L7</f>
        <v>2021</v>
      </c>
      <c r="N7" s="188">
        <f>L7</f>
        <v>2021</v>
      </c>
      <c r="O7" s="155"/>
      <c r="P7" s="188">
        <f>R7</f>
        <v>2022</v>
      </c>
      <c r="Q7" s="188">
        <f>R7</f>
        <v>2022</v>
      </c>
      <c r="R7" s="188">
        <v>2022</v>
      </c>
      <c r="S7" s="188">
        <f>R7</f>
        <v>2022</v>
      </c>
      <c r="T7" s="188">
        <f>R7</f>
        <v>2022</v>
      </c>
      <c r="U7" s="155"/>
      <c r="V7" s="188">
        <f>X7</f>
        <v>2023</v>
      </c>
      <c r="W7" s="188">
        <f>X7</f>
        <v>2023</v>
      </c>
      <c r="X7" s="188">
        <v>2023</v>
      </c>
      <c r="Y7" s="188">
        <f>X7</f>
        <v>2023</v>
      </c>
      <c r="Z7" s="188">
        <f>X7</f>
        <v>2023</v>
      </c>
      <c r="AA7" s="156"/>
      <c r="AB7" s="188">
        <f>AD7</f>
        <v>2024</v>
      </c>
      <c r="AC7" s="188">
        <f>AD7</f>
        <v>2024</v>
      </c>
      <c r="AD7" s="188">
        <v>2024</v>
      </c>
      <c r="AE7" s="188">
        <f>AD7</f>
        <v>2024</v>
      </c>
      <c r="AF7" s="188">
        <f>AD7</f>
        <v>2024</v>
      </c>
      <c r="AG7" s="156"/>
      <c r="AH7" s="188">
        <f>AJ7</f>
        <v>2025</v>
      </c>
      <c r="AI7" s="188">
        <f>AJ7</f>
        <v>2025</v>
      </c>
      <c r="AJ7" s="189">
        <v>2025</v>
      </c>
      <c r="AK7" s="188">
        <f>AJ7</f>
        <v>2025</v>
      </c>
      <c r="AL7" s="188">
        <f>AJ7</f>
        <v>2025</v>
      </c>
      <c r="AM7" s="157"/>
      <c r="AN7" s="188">
        <f>AP7</f>
        <v>2025</v>
      </c>
      <c r="AO7" s="188">
        <f>AP7</f>
        <v>2025</v>
      </c>
      <c r="AP7" s="189">
        <v>2025</v>
      </c>
      <c r="AQ7" s="188">
        <f>AP7</f>
        <v>2025</v>
      </c>
      <c r="AR7" s="188">
        <f>AP7</f>
        <v>2025</v>
      </c>
      <c r="AS7" s="19"/>
      <c r="AT7" s="148"/>
      <c r="AU7" s="19"/>
      <c r="AV7" s="149"/>
      <c r="AW7" s="19"/>
      <c r="AX7" s="149"/>
    </row>
    <row r="8" spans="1:50" s="42" customFormat="1" ht="15" customHeight="1" x14ac:dyDescent="0.3">
      <c r="B8" s="150"/>
      <c r="C8" s="19"/>
      <c r="D8" s="803">
        <v>2020</v>
      </c>
      <c r="E8" s="803"/>
      <c r="F8" s="803"/>
      <c r="G8" s="803"/>
      <c r="H8" s="803"/>
      <c r="I8" s="155"/>
      <c r="J8" s="803">
        <f>D8+1</f>
        <v>2021</v>
      </c>
      <c r="K8" s="803"/>
      <c r="L8" s="803"/>
      <c r="M8" s="803"/>
      <c r="N8" s="803"/>
      <c r="O8" s="155"/>
      <c r="P8" s="803">
        <f>J8+1</f>
        <v>2022</v>
      </c>
      <c r="Q8" s="803"/>
      <c r="R8" s="803"/>
      <c r="S8" s="803"/>
      <c r="T8" s="803"/>
      <c r="U8" s="155"/>
      <c r="V8" s="803">
        <f>P8+1</f>
        <v>2023</v>
      </c>
      <c r="W8" s="803"/>
      <c r="X8" s="803"/>
      <c r="Y8" s="803"/>
      <c r="Z8" s="803"/>
      <c r="AA8" s="155"/>
      <c r="AB8" s="803">
        <f>V8+1</f>
        <v>2024</v>
      </c>
      <c r="AC8" s="803"/>
      <c r="AD8" s="803"/>
      <c r="AE8" s="803"/>
      <c r="AF8" s="803"/>
      <c r="AG8" s="155"/>
      <c r="AH8" s="802">
        <f>AB8+1</f>
        <v>2025</v>
      </c>
      <c r="AI8" s="802"/>
      <c r="AJ8" s="802"/>
      <c r="AK8" s="802"/>
      <c r="AL8" s="802"/>
      <c r="AM8" s="155"/>
      <c r="AN8" s="802">
        <f>AH8+1</f>
        <v>2026</v>
      </c>
      <c r="AO8" s="802"/>
      <c r="AP8" s="802"/>
      <c r="AQ8" s="802"/>
      <c r="AR8" s="802"/>
      <c r="AS8" s="157"/>
      <c r="AT8" s="152">
        <f>AN8+1</f>
        <v>2027</v>
      </c>
      <c r="AU8" s="153"/>
      <c r="AV8" s="152">
        <f>+AT8+1</f>
        <v>2028</v>
      </c>
      <c r="AW8" s="153"/>
      <c r="AX8" s="152">
        <f>+AV8+1</f>
        <v>2029</v>
      </c>
    </row>
    <row r="9" spans="1:50" s="42" customFormat="1" ht="14.25" customHeight="1" x14ac:dyDescent="0.3">
      <c r="B9" s="150"/>
      <c r="C9" s="19"/>
      <c r="D9" s="154" t="s">
        <v>219</v>
      </c>
      <c r="E9" s="154" t="s">
        <v>220</v>
      </c>
      <c r="F9" s="154" t="s">
        <v>221</v>
      </c>
      <c r="G9" s="154" t="s">
        <v>222</v>
      </c>
      <c r="H9" s="154" t="s">
        <v>223</v>
      </c>
      <c r="I9" s="19"/>
      <c r="J9" s="154" t="s">
        <v>219</v>
      </c>
      <c r="K9" s="154" t="s">
        <v>220</v>
      </c>
      <c r="L9" s="154" t="s">
        <v>221</v>
      </c>
      <c r="M9" s="154" t="s">
        <v>222</v>
      </c>
      <c r="N9" s="154" t="s">
        <v>223</v>
      </c>
      <c r="O9" s="151"/>
      <c r="P9" s="154" t="s">
        <v>219</v>
      </c>
      <c r="Q9" s="154" t="s">
        <v>220</v>
      </c>
      <c r="R9" s="154" t="s">
        <v>221</v>
      </c>
      <c r="S9" s="154" t="s">
        <v>222</v>
      </c>
      <c r="T9" s="154" t="s">
        <v>223</v>
      </c>
      <c r="U9" s="151"/>
      <c r="V9" s="154" t="s">
        <v>219</v>
      </c>
      <c r="W9" s="154" t="s">
        <v>220</v>
      </c>
      <c r="X9" s="154" t="s">
        <v>221</v>
      </c>
      <c r="Y9" s="154" t="s">
        <v>222</v>
      </c>
      <c r="Z9" s="154" t="s">
        <v>223</v>
      </c>
      <c r="AA9" s="151"/>
      <c r="AB9" s="154" t="s">
        <v>219</v>
      </c>
      <c r="AC9" s="154" t="s">
        <v>220</v>
      </c>
      <c r="AD9" s="154" t="s">
        <v>221</v>
      </c>
      <c r="AE9" s="154" t="s">
        <v>222</v>
      </c>
      <c r="AF9" s="154" t="s">
        <v>223</v>
      </c>
      <c r="AG9" s="151"/>
      <c r="AH9" s="154" t="s">
        <v>219</v>
      </c>
      <c r="AI9" s="154" t="s">
        <v>220</v>
      </c>
      <c r="AJ9" s="154" t="s">
        <v>221</v>
      </c>
      <c r="AK9" s="154" t="s">
        <v>222</v>
      </c>
      <c r="AL9" s="154" t="s">
        <v>223</v>
      </c>
      <c r="AM9" s="151"/>
      <c r="AN9" s="154" t="s">
        <v>219</v>
      </c>
      <c r="AO9" s="154" t="s">
        <v>220</v>
      </c>
      <c r="AP9" s="154" t="s">
        <v>221</v>
      </c>
      <c r="AQ9" s="154" t="s">
        <v>222</v>
      </c>
      <c r="AR9" s="154" t="s">
        <v>223</v>
      </c>
      <c r="AS9" s="151"/>
      <c r="AT9" s="154" t="s">
        <v>223</v>
      </c>
      <c r="AU9" s="151"/>
      <c r="AV9" s="154" t="s">
        <v>223</v>
      </c>
      <c r="AW9" s="151"/>
      <c r="AX9" s="154" t="s">
        <v>223</v>
      </c>
    </row>
    <row r="10" spans="1:50" s="42" customFormat="1" ht="4.05" customHeight="1" x14ac:dyDescent="0.3">
      <c r="A10" s="44"/>
      <c r="B10" s="162"/>
      <c r="C10" s="36"/>
      <c r="D10" s="163"/>
      <c r="E10" s="163"/>
      <c r="F10" s="163"/>
      <c r="G10" s="163"/>
      <c r="H10" s="163"/>
      <c r="I10" s="36"/>
      <c r="J10" s="163"/>
      <c r="K10" s="163"/>
      <c r="L10" s="163"/>
      <c r="M10" s="163"/>
      <c r="N10" s="163"/>
      <c r="O10" s="164"/>
      <c r="P10" s="163"/>
      <c r="Q10" s="163"/>
      <c r="R10" s="163"/>
      <c r="S10" s="163"/>
      <c r="T10" s="163"/>
      <c r="U10" s="164"/>
      <c r="V10" s="163"/>
      <c r="W10" s="163"/>
      <c r="X10" s="163"/>
      <c r="Y10" s="163"/>
      <c r="Z10" s="163"/>
      <c r="AA10" s="164"/>
      <c r="AB10" s="163"/>
      <c r="AC10" s="163"/>
      <c r="AD10" s="163"/>
      <c r="AE10" s="163"/>
      <c r="AF10" s="163"/>
      <c r="AG10" s="164"/>
      <c r="AH10" s="163"/>
      <c r="AI10" s="163"/>
      <c r="AJ10" s="163"/>
      <c r="AK10" s="163"/>
      <c r="AL10" s="165"/>
      <c r="AM10" s="166"/>
      <c r="AN10" s="165"/>
      <c r="AO10" s="165"/>
      <c r="AP10" s="165"/>
      <c r="AQ10" s="165"/>
      <c r="AR10" s="165"/>
      <c r="AS10" s="166"/>
      <c r="AT10" s="165"/>
      <c r="AU10" s="166"/>
      <c r="AV10" s="165"/>
      <c r="AW10" s="166"/>
      <c r="AX10" s="165"/>
    </row>
    <row r="11" spans="1:50" s="42" customFormat="1" ht="4.05" customHeight="1" x14ac:dyDescent="0.3">
      <c r="A11" s="44"/>
      <c r="B11" s="158"/>
      <c r="C11" s="20"/>
      <c r="D11" s="159"/>
      <c r="E11" s="159"/>
      <c r="F11" s="159"/>
      <c r="G11" s="159"/>
      <c r="H11" s="159"/>
      <c r="I11" s="20"/>
      <c r="J11" s="159"/>
      <c r="K11" s="159"/>
      <c r="L11" s="159"/>
      <c r="M11" s="159"/>
      <c r="N11" s="159"/>
      <c r="O11" s="160"/>
      <c r="P11" s="159"/>
      <c r="Q11" s="159"/>
      <c r="R11" s="159"/>
      <c r="S11" s="159"/>
      <c r="T11" s="159"/>
      <c r="U11" s="160"/>
      <c r="V11" s="159"/>
      <c r="W11" s="159"/>
      <c r="X11" s="159"/>
      <c r="Y11" s="159"/>
      <c r="Z11" s="159"/>
      <c r="AA11" s="160"/>
      <c r="AB11" s="159"/>
      <c r="AC11" s="159"/>
      <c r="AD11" s="159"/>
      <c r="AE11" s="159"/>
      <c r="AF11" s="159"/>
      <c r="AG11" s="190"/>
      <c r="AH11" s="159"/>
      <c r="AI11" s="159"/>
      <c r="AJ11" s="159"/>
      <c r="AK11" s="159"/>
      <c r="AL11" s="161"/>
      <c r="AM11" s="35"/>
      <c r="AN11" s="161"/>
      <c r="AO11" s="161"/>
      <c r="AP11" s="161"/>
      <c r="AQ11" s="161"/>
      <c r="AR11" s="161"/>
      <c r="AS11" s="35"/>
      <c r="AT11" s="161"/>
      <c r="AU11" s="35"/>
      <c r="AV11" s="161"/>
      <c r="AW11" s="35"/>
      <c r="AX11" s="161"/>
    </row>
    <row r="12" spans="1:50" ht="14.25" customHeight="1" x14ac:dyDescent="0.25">
      <c r="A12" s="45" t="s">
        <v>38</v>
      </c>
      <c r="B12" s="65" t="s">
        <v>624</v>
      </c>
      <c r="D12" s="194"/>
      <c r="E12" s="194"/>
      <c r="F12" s="194"/>
      <c r="G12" s="194"/>
      <c r="H12" s="195"/>
      <c r="I12" s="196"/>
      <c r="J12" s="194"/>
      <c r="K12" s="194"/>
      <c r="L12" s="194"/>
      <c r="M12" s="194"/>
      <c r="N12" s="195"/>
      <c r="O12" s="195"/>
      <c r="P12" s="194"/>
      <c r="Q12" s="194"/>
      <c r="R12" s="194"/>
      <c r="S12" s="194"/>
      <c r="T12" s="195"/>
      <c r="U12" s="195"/>
      <c r="V12" s="194"/>
      <c r="W12" s="194"/>
      <c r="X12" s="194"/>
      <c r="Y12" s="194"/>
      <c r="Z12" s="195"/>
      <c r="AA12" s="195"/>
      <c r="AB12" s="194"/>
      <c r="AC12" s="194"/>
      <c r="AD12" s="194"/>
      <c r="AE12" s="194"/>
      <c r="AF12" s="195"/>
      <c r="AG12" s="197"/>
      <c r="AH12" s="194"/>
      <c r="AI12" s="194"/>
      <c r="AJ12" s="198"/>
      <c r="AK12" s="198"/>
      <c r="AL12" s="195"/>
      <c r="AM12" s="199"/>
      <c r="AN12" s="198"/>
      <c r="AO12" s="198"/>
      <c r="AP12" s="198"/>
      <c r="AQ12" s="198"/>
      <c r="AR12" s="195"/>
      <c r="AS12" s="199"/>
      <c r="AT12" s="200"/>
      <c r="AU12" s="201"/>
      <c r="AV12" s="200"/>
      <c r="AW12" s="201"/>
      <c r="AX12" s="200"/>
    </row>
    <row r="13" spans="1:50" ht="14.25" customHeight="1" x14ac:dyDescent="0.25">
      <c r="A13" s="56"/>
      <c r="B13" s="70" t="s">
        <v>625</v>
      </c>
      <c r="D13" s="194"/>
      <c r="E13" s="194"/>
      <c r="F13" s="194"/>
      <c r="G13" s="194"/>
      <c r="H13" s="195" t="str">
        <f>IF(ROUND(SUM(IS!D13:G13),1)=ROUND(IS!H13,1),"OK","ERROR")</f>
        <v>OK</v>
      </c>
      <c r="I13" s="196"/>
      <c r="J13" s="194"/>
      <c r="K13" s="194"/>
      <c r="L13" s="194"/>
      <c r="M13" s="194"/>
      <c r="N13" s="195" t="str">
        <f>IF(ROUND(SUM(IS!J13:M13),1)=ROUND(IS!N13,1),"OK","ERROR")</f>
        <v>OK</v>
      </c>
      <c r="O13" s="195"/>
      <c r="P13" s="194"/>
      <c r="Q13" s="194"/>
      <c r="R13" s="194"/>
      <c r="S13" s="194"/>
      <c r="T13" s="195" t="str">
        <f>IF(ROUND(SUM(IS!P13:S13),1)=ROUND(IS!T13,1),"OK","ERROR")</f>
        <v>OK</v>
      </c>
      <c r="U13" s="195"/>
      <c r="V13" s="194"/>
      <c r="W13" s="194"/>
      <c r="X13" s="194"/>
      <c r="Y13" s="194"/>
      <c r="Z13" s="195" t="str">
        <f>IF(ROUND(SUM(IS!V13:Y13),1)=ROUND(IS!Z13,1),"OK","ERROR")</f>
        <v>OK</v>
      </c>
      <c r="AA13" s="195"/>
      <c r="AB13" s="194"/>
      <c r="AC13" s="194"/>
      <c r="AD13" s="194"/>
      <c r="AE13" s="194"/>
      <c r="AF13" s="195" t="str">
        <f>IF(ROUND(SUM(IS!AB13:AE13),1)=ROUND(IS!AF13,1),"OK","ERROR")</f>
        <v>OK</v>
      </c>
      <c r="AG13" s="197"/>
      <c r="AH13" s="194"/>
      <c r="AI13" s="194"/>
      <c r="AJ13" s="198"/>
      <c r="AK13" s="198"/>
      <c r="AL13" s="195" t="str">
        <f>IF(ROUND(SUM(IS!AH13:AK13),1)=ROUND(IS!AL13,1),"OK","ERROR")</f>
        <v>OK</v>
      </c>
      <c r="AM13" s="199"/>
      <c r="AN13" s="198"/>
      <c r="AO13" s="198"/>
      <c r="AP13" s="198"/>
      <c r="AQ13" s="198"/>
      <c r="AR13" s="195" t="str">
        <f>IF(ROUND(SUM(IS!AN13:AQ13),1)=ROUND(IS!AR13,1),"OK","ERROR")</f>
        <v>OK</v>
      </c>
      <c r="AS13" s="199"/>
      <c r="AT13" s="195"/>
      <c r="AU13" s="201"/>
      <c r="AV13" s="195"/>
      <c r="AW13" s="201"/>
      <c r="AX13" s="195"/>
    </row>
    <row r="14" spans="1:50" ht="14.25" customHeight="1" x14ac:dyDescent="0.25">
      <c r="A14" s="56"/>
      <c r="B14" s="70" t="s">
        <v>626</v>
      </c>
      <c r="D14" s="194"/>
      <c r="E14" s="194"/>
      <c r="F14" s="194"/>
      <c r="G14" s="194"/>
      <c r="H14" s="195" t="str">
        <f>IF(ROUND(SUM(IS!D14:G14),1)=ROUND(IS!H14,1),"OK","ERROR")</f>
        <v>OK</v>
      </c>
      <c r="I14" s="196"/>
      <c r="J14" s="194"/>
      <c r="K14" s="194"/>
      <c r="L14" s="194"/>
      <c r="M14" s="194"/>
      <c r="N14" s="195" t="str">
        <f>IF(ROUND(SUM(IS!J14:M14),1)=ROUND(IS!N14,1),"OK","ERROR")</f>
        <v>OK</v>
      </c>
      <c r="O14" s="195"/>
      <c r="P14" s="194"/>
      <c r="Q14" s="194"/>
      <c r="R14" s="194"/>
      <c r="S14" s="194"/>
      <c r="T14" s="195" t="str">
        <f>IF(ROUND(SUM(IS!P14:S14),1)=ROUND(IS!T14,1),"OK","ERROR")</f>
        <v>OK</v>
      </c>
      <c r="U14" s="195"/>
      <c r="V14" s="194"/>
      <c r="W14" s="194"/>
      <c r="X14" s="194"/>
      <c r="Y14" s="194"/>
      <c r="Z14" s="195" t="str">
        <f>IF(ROUND(SUM(IS!V14:Y14),1)=ROUND(IS!Z14,1),"OK","ERROR")</f>
        <v>OK</v>
      </c>
      <c r="AA14" s="195"/>
      <c r="AB14" s="194"/>
      <c r="AC14" s="194"/>
      <c r="AD14" s="194"/>
      <c r="AE14" s="194"/>
      <c r="AF14" s="195" t="str">
        <f>IF(ROUND(SUM(IS!AB14:AE14),1)=ROUND(IS!AF14,1),"OK","ERROR")</f>
        <v>OK</v>
      </c>
      <c r="AG14" s="197"/>
      <c r="AH14" s="194"/>
      <c r="AI14" s="194"/>
      <c r="AJ14" s="198"/>
      <c r="AK14" s="198"/>
      <c r="AL14" s="195" t="str">
        <f>IF(ROUND(SUM(IS!AH14:AK14),1)=ROUND(IS!AL14,1),"OK","ERROR")</f>
        <v>OK</v>
      </c>
      <c r="AM14" s="199"/>
      <c r="AN14" s="198"/>
      <c r="AO14" s="198"/>
      <c r="AP14" s="198"/>
      <c r="AQ14" s="198"/>
      <c r="AR14" s="195" t="str">
        <f>IF(ROUND(SUM(IS!AN14:AQ14),1)=ROUND(IS!AR14,1),"OK","ERROR")</f>
        <v>OK</v>
      </c>
      <c r="AS14" s="199"/>
      <c r="AT14" s="195"/>
      <c r="AU14" s="201"/>
      <c r="AV14" s="195"/>
      <c r="AW14" s="201"/>
      <c r="AX14" s="195"/>
    </row>
    <row r="15" spans="1:50" ht="14.25" customHeight="1" x14ac:dyDescent="0.25">
      <c r="A15" s="56"/>
      <c r="B15" s="70" t="s">
        <v>627</v>
      </c>
      <c r="D15" s="194"/>
      <c r="E15" s="194"/>
      <c r="F15" s="194"/>
      <c r="G15" s="194"/>
      <c r="H15" s="195" t="str">
        <f>IF(ROUND(SUM(IS!D15:G15),1)=ROUND(IS!H15,1),"OK","ERROR")</f>
        <v>OK</v>
      </c>
      <c r="I15" s="196"/>
      <c r="J15" s="194"/>
      <c r="K15" s="194"/>
      <c r="L15" s="194"/>
      <c r="M15" s="194"/>
      <c r="N15" s="195" t="str">
        <f>IF(ROUND(SUM(IS!J15:M15),1)=ROUND(IS!N15,1),"OK","ERROR")</f>
        <v>OK</v>
      </c>
      <c r="O15" s="195"/>
      <c r="P15" s="194"/>
      <c r="Q15" s="194"/>
      <c r="R15" s="194"/>
      <c r="S15" s="194"/>
      <c r="T15" s="195" t="str">
        <f>IF(ROUND(SUM(IS!P15:S15),1)=ROUND(IS!T15,1),"OK","ERROR")</f>
        <v>OK</v>
      </c>
      <c r="U15" s="195"/>
      <c r="V15" s="194"/>
      <c r="W15" s="194"/>
      <c r="X15" s="194"/>
      <c r="Y15" s="194"/>
      <c r="Z15" s="195" t="str">
        <f>IF(ROUND(SUM(IS!V15:Y15),1)=ROUND(IS!Z15,1),"OK","ERROR")</f>
        <v>OK</v>
      </c>
      <c r="AA15" s="195"/>
      <c r="AB15" s="194"/>
      <c r="AC15" s="194"/>
      <c r="AD15" s="194"/>
      <c r="AE15" s="194"/>
      <c r="AF15" s="195" t="str">
        <f>IF(ROUND(SUM(IS!AB15:AE15),1)=ROUND(IS!AF15,1),"OK","ERROR")</f>
        <v>OK</v>
      </c>
      <c r="AG15" s="197"/>
      <c r="AH15" s="194"/>
      <c r="AI15" s="194"/>
      <c r="AJ15" s="198"/>
      <c r="AK15" s="198"/>
      <c r="AL15" s="195" t="str">
        <f>IF(ROUND(SUM(IS!AH15:AK15),1)=ROUND(IS!AL15,1),"OK","ERROR")</f>
        <v>OK</v>
      </c>
      <c r="AM15" s="199"/>
      <c r="AN15" s="198"/>
      <c r="AO15" s="198"/>
      <c r="AP15" s="198"/>
      <c r="AQ15" s="198"/>
      <c r="AR15" s="195" t="str">
        <f>IF(ROUND(SUM(IS!AN15:AQ15),1)=ROUND(IS!AR15,1),"OK","ERROR")</f>
        <v>OK</v>
      </c>
      <c r="AS15" s="199"/>
      <c r="AT15" s="195"/>
      <c r="AU15" s="201"/>
      <c r="AV15" s="195"/>
      <c r="AW15" s="201"/>
      <c r="AX15" s="195"/>
    </row>
    <row r="16" spans="1:50" ht="14.25" customHeight="1" x14ac:dyDescent="0.25">
      <c r="A16" s="56"/>
      <c r="B16" s="70" t="s">
        <v>628</v>
      </c>
      <c r="D16" s="194"/>
      <c r="E16" s="194"/>
      <c r="F16" s="194"/>
      <c r="G16" s="194"/>
      <c r="H16" s="202" t="str">
        <f>IF(ROUND(SUM(IS!D16:G16),1)=ROUND(IS!H16,1),"OK","ERROR")</f>
        <v>OK</v>
      </c>
      <c r="I16" s="196"/>
      <c r="J16" s="194"/>
      <c r="K16" s="194"/>
      <c r="L16" s="194"/>
      <c r="M16" s="194"/>
      <c r="N16" s="202" t="str">
        <f>IF(ROUND(SUM(IS!J16:M16),1)=ROUND(IS!N16,1),"OK","ERROR")</f>
        <v>OK</v>
      </c>
      <c r="O16" s="202"/>
      <c r="P16" s="194"/>
      <c r="Q16" s="194"/>
      <c r="R16" s="194"/>
      <c r="S16" s="194"/>
      <c r="T16" s="202" t="str">
        <f>IF(ROUND(SUM(IS!P16:S16),1)=ROUND(IS!T16,1),"OK","ERROR")</f>
        <v>OK</v>
      </c>
      <c r="U16" s="202"/>
      <c r="V16" s="194"/>
      <c r="W16" s="194"/>
      <c r="X16" s="194"/>
      <c r="Y16" s="194"/>
      <c r="Z16" s="202" t="str">
        <f>IF(ROUND(SUM(IS!V16:Y16),1)=ROUND(IS!Z16,1),"OK","ERROR")</f>
        <v>OK</v>
      </c>
      <c r="AA16" s="202"/>
      <c r="AB16" s="194"/>
      <c r="AC16" s="194"/>
      <c r="AD16" s="194"/>
      <c r="AE16" s="194"/>
      <c r="AF16" s="202" t="str">
        <f>IF(ROUND(SUM(IS!AB16:AE16),1)=ROUND(IS!AF16,1),"OK","ERROR")</f>
        <v>OK</v>
      </c>
      <c r="AG16" s="197"/>
      <c r="AH16" s="194"/>
      <c r="AI16" s="194"/>
      <c r="AJ16" s="198"/>
      <c r="AK16" s="198"/>
      <c r="AL16" s="202" t="str">
        <f>IF(ROUND(SUM(IS!AH16:AK16),1)=ROUND(IS!AL16,1),"OK","ERROR")</f>
        <v>OK</v>
      </c>
      <c r="AM16" s="199"/>
      <c r="AN16" s="198"/>
      <c r="AO16" s="198"/>
      <c r="AP16" s="198"/>
      <c r="AQ16" s="198"/>
      <c r="AR16" s="202" t="str">
        <f>IF(ROUND(SUM(IS!AN16:AQ16),1)=ROUND(IS!AR16,1),"OK","ERROR")</f>
        <v>OK</v>
      </c>
      <c r="AS16" s="199"/>
      <c r="AT16" s="202"/>
      <c r="AU16" s="201"/>
      <c r="AV16" s="202"/>
      <c r="AW16" s="201"/>
      <c r="AX16" s="202"/>
    </row>
    <row r="17" spans="1:44" ht="14.25" customHeight="1" x14ac:dyDescent="0.25">
      <c r="A17" s="56"/>
      <c r="B17" s="70" t="s">
        <v>629</v>
      </c>
      <c r="D17" s="194"/>
      <c r="E17" s="194"/>
      <c r="F17" s="194"/>
      <c r="G17" s="194"/>
      <c r="H17" s="202" t="str">
        <f>IF(ROUND(SUM(IS!D17:G17),1)=ROUND(IS!H17,1),"OK","ERROR")</f>
        <v>OK</v>
      </c>
      <c r="I17" s="196"/>
      <c r="J17" s="194"/>
      <c r="K17" s="194"/>
      <c r="L17" s="194"/>
      <c r="M17" s="194"/>
      <c r="N17" s="202" t="str">
        <f>IF(ROUND(SUM(IS!J17:M17),1)=ROUND(IS!N17,1),"OK","ERROR")</f>
        <v>OK</v>
      </c>
      <c r="O17" s="202"/>
      <c r="P17" s="194"/>
      <c r="Q17" s="194"/>
      <c r="R17" s="194"/>
      <c r="S17" s="194"/>
      <c r="T17" s="202" t="str">
        <f>IF(ROUND(SUM(IS!P17:S17),1)=ROUND(IS!T17,1),"OK","ERROR")</f>
        <v>OK</v>
      </c>
      <c r="U17" s="202"/>
      <c r="V17" s="194"/>
      <c r="W17" s="194"/>
      <c r="X17" s="194"/>
      <c r="Y17" s="194"/>
      <c r="Z17" s="202" t="str">
        <f>IF(ROUND(SUM(IS!V17:Y17),1)=ROUND(IS!Z17,1),"OK","ERROR")</f>
        <v>OK</v>
      </c>
      <c r="AA17" s="202"/>
      <c r="AB17" s="194"/>
      <c r="AC17" s="194"/>
      <c r="AD17" s="194"/>
      <c r="AE17" s="194"/>
      <c r="AF17" s="202" t="str">
        <f>IF(ROUND(SUM(IS!AB17:AE17),1)=ROUND(IS!AF17,1),"OK","ERROR")</f>
        <v>OK</v>
      </c>
      <c r="AG17" s="197"/>
      <c r="AH17" s="194"/>
      <c r="AI17" s="194"/>
      <c r="AJ17" s="198"/>
      <c r="AK17" s="198"/>
      <c r="AL17" s="202" t="str">
        <f>IF(ROUND(SUM(IS!AH17:AK17),1)=ROUND(IS!AL17,1),"OK","ERROR")</f>
        <v>OK</v>
      </c>
      <c r="AM17" s="199"/>
      <c r="AN17" s="198"/>
      <c r="AO17" s="198"/>
      <c r="AP17" s="198"/>
      <c r="AQ17" s="198"/>
      <c r="AR17" s="202" t="str">
        <f>IF(ROUND(SUM(IS!AN17:AQ17),1)=ROUND(IS!AR17,1),"OK","ERROR")</f>
        <v>OK</v>
      </c>
    </row>
    <row r="18" spans="1:44" ht="14.25" customHeight="1" x14ac:dyDescent="0.25">
      <c r="A18" s="56"/>
      <c r="B18" s="76" t="s">
        <v>228</v>
      </c>
      <c r="D18" s="203"/>
      <c r="E18" s="203"/>
      <c r="F18" s="203" t="s">
        <v>730</v>
      </c>
      <c r="G18" s="203"/>
      <c r="H18" s="204" t="str">
        <f>IF(ROUND(SUM(IS!D18:G18),1)=ROUND(IS!H18,1),"OK","ERROR")</f>
        <v>OK</v>
      </c>
      <c r="I18" s="196"/>
      <c r="J18" s="203"/>
      <c r="K18" s="203"/>
      <c r="L18" s="203"/>
      <c r="M18" s="203"/>
      <c r="N18" s="204" t="str">
        <f>IF(ROUND(SUM(IS!J18:M18),1)=ROUND(IS!N18,1),"OK","ERROR")</f>
        <v>OK</v>
      </c>
      <c r="O18" s="195"/>
      <c r="P18" s="203"/>
      <c r="Q18" s="203"/>
      <c r="R18" s="203"/>
      <c r="S18" s="203"/>
      <c r="T18" s="204" t="str">
        <f>IF(ROUND(SUM(IS!P18:S18),1)=ROUND(IS!T18,1),"OK","ERROR")</f>
        <v>OK</v>
      </c>
      <c r="U18" s="195"/>
      <c r="V18" s="203"/>
      <c r="W18" s="203"/>
      <c r="X18" s="203"/>
      <c r="Y18" s="203"/>
      <c r="Z18" s="204" t="str">
        <f>IF(ROUND(SUM(IS!V18:Y18),1)=ROUND(IS!Z18,1),"OK","ERROR")</f>
        <v>OK</v>
      </c>
      <c r="AA18" s="195"/>
      <c r="AB18" s="203"/>
      <c r="AC18" s="203"/>
      <c r="AD18" s="203"/>
      <c r="AE18" s="203"/>
      <c r="AF18" s="204" t="str">
        <f>IF(ROUND(SUM(IS!AB18:AE18),1)=ROUND(IS!AF18,1),"OK","ERROR")</f>
        <v>OK</v>
      </c>
      <c r="AG18" s="197"/>
      <c r="AH18" s="203"/>
      <c r="AI18" s="203"/>
      <c r="AJ18" s="205"/>
      <c r="AK18" s="205"/>
      <c r="AL18" s="204" t="str">
        <f>IF(ROUND(SUM(IS!AH18:AK18),1)=ROUND(IS!AL18,1),"OK","ERROR")</f>
        <v>OK</v>
      </c>
      <c r="AM18" s="199"/>
      <c r="AN18" s="205"/>
      <c r="AO18" s="205"/>
      <c r="AP18" s="205"/>
      <c r="AQ18" s="205"/>
      <c r="AR18" s="204" t="str">
        <f>IF(ROUND(SUM(IS!AN18:AQ18),1)=ROUND(IS!AR18,1),"OK","ERROR")</f>
        <v>OK</v>
      </c>
    </row>
    <row r="19" spans="1:44" ht="14.25" customHeight="1" x14ac:dyDescent="0.25">
      <c r="A19" s="56"/>
      <c r="B19" s="64"/>
      <c r="D19" s="194"/>
      <c r="E19" s="194"/>
      <c r="F19" s="194"/>
      <c r="G19" s="194"/>
      <c r="H19" s="195"/>
      <c r="I19" s="196"/>
      <c r="J19" s="194"/>
      <c r="K19" s="194"/>
      <c r="L19" s="194"/>
      <c r="M19" s="194"/>
      <c r="N19" s="195"/>
      <c r="O19" s="195"/>
      <c r="P19" s="194"/>
      <c r="Q19" s="194"/>
      <c r="R19" s="194"/>
      <c r="S19" s="194"/>
      <c r="T19" s="195"/>
      <c r="U19" s="195"/>
      <c r="V19" s="194"/>
      <c r="W19" s="194"/>
      <c r="X19" s="194"/>
      <c r="Y19" s="194"/>
      <c r="Z19" s="195"/>
      <c r="AA19" s="195"/>
      <c r="AB19" s="194"/>
      <c r="AC19" s="194"/>
      <c r="AD19" s="194"/>
      <c r="AE19" s="194"/>
      <c r="AF19" s="195"/>
      <c r="AG19" s="197"/>
      <c r="AH19" s="194"/>
      <c r="AI19" s="194"/>
      <c r="AJ19" s="198"/>
      <c r="AK19" s="198"/>
      <c r="AL19" s="195"/>
      <c r="AM19" s="199"/>
      <c r="AN19" s="198"/>
      <c r="AO19" s="198"/>
      <c r="AP19" s="198"/>
      <c r="AQ19" s="198"/>
      <c r="AR19" s="195"/>
    </row>
    <row r="20" spans="1:44" ht="14.25" customHeight="1" x14ac:dyDescent="0.25">
      <c r="A20" s="45" t="s">
        <v>38</v>
      </c>
      <c r="B20" s="65" t="s">
        <v>631</v>
      </c>
      <c r="D20" s="194"/>
      <c r="E20" s="194"/>
      <c r="F20" s="194"/>
      <c r="G20" s="194"/>
      <c r="H20" s="206"/>
      <c r="I20" s="196"/>
      <c r="J20" s="194"/>
      <c r="K20" s="194"/>
      <c r="L20" s="194"/>
      <c r="M20" s="194"/>
      <c r="N20" s="206"/>
      <c r="O20" s="196"/>
      <c r="P20" s="194"/>
      <c r="Q20" s="194"/>
      <c r="R20" s="194"/>
      <c r="S20" s="194"/>
      <c r="T20" s="206"/>
      <c r="U20" s="196"/>
      <c r="V20" s="194"/>
      <c r="W20" s="194"/>
      <c r="X20" s="194"/>
      <c r="Y20" s="194"/>
      <c r="Z20" s="206"/>
      <c r="AA20" s="199"/>
      <c r="AB20" s="194"/>
      <c r="AC20" s="194"/>
      <c r="AD20" s="194"/>
      <c r="AE20" s="194"/>
      <c r="AF20" s="206"/>
      <c r="AG20" s="197"/>
      <c r="AH20" s="194"/>
      <c r="AI20" s="194"/>
      <c r="AJ20" s="198"/>
      <c r="AK20" s="198"/>
      <c r="AL20" s="206"/>
      <c r="AM20" s="207"/>
      <c r="AN20" s="198"/>
      <c r="AO20" s="198"/>
      <c r="AP20" s="198"/>
      <c r="AQ20" s="198"/>
      <c r="AR20" s="206"/>
    </row>
    <row r="21" spans="1:44" ht="14.25" customHeight="1" x14ac:dyDescent="0.25">
      <c r="A21" s="56"/>
      <c r="B21" s="70" t="s">
        <v>632</v>
      </c>
      <c r="D21" s="203"/>
      <c r="E21" s="203"/>
      <c r="F21" s="203"/>
      <c r="G21" s="203"/>
      <c r="H21" s="206" t="str">
        <f>IF(ROUND(SUM(IS!D21:G21),1)=ROUND(IS!H21,1),"OK","ERROR")</f>
        <v>ERROR</v>
      </c>
      <c r="I21" s="196"/>
      <c r="J21" s="203"/>
      <c r="K21" s="203"/>
      <c r="L21" s="203"/>
      <c r="M21" s="203"/>
      <c r="N21" s="206" t="str">
        <f>IF(ROUND(SUM(IS!J21:M21),1)=ROUND(IS!N21,1),"OK","ERROR")</f>
        <v>OK</v>
      </c>
      <c r="O21" s="196"/>
      <c r="P21" s="203"/>
      <c r="Q21" s="203"/>
      <c r="R21" s="203"/>
      <c r="S21" s="203"/>
      <c r="T21" s="206" t="str">
        <f>IF(ROUND(SUM(IS!P21:S21),1)=ROUND(IS!T21,1),"OK","ERROR")</f>
        <v>OK</v>
      </c>
      <c r="U21" s="196"/>
      <c r="V21" s="203"/>
      <c r="W21" s="203"/>
      <c r="X21" s="203"/>
      <c r="Y21" s="203"/>
      <c r="Z21" s="206" t="str">
        <f>IF(ROUND(SUM(IS!V21:Y21),1)=ROUND(IS!Z21,1),"OK","ERROR")</f>
        <v>OK</v>
      </c>
      <c r="AA21" s="199"/>
      <c r="AB21" s="203"/>
      <c r="AC21" s="203"/>
      <c r="AD21" s="203"/>
      <c r="AE21" s="203"/>
      <c r="AF21" s="206" t="str">
        <f>IF(ROUND(SUM(IS!AB21:AE21),1)=ROUND(IS!AF21,1),"OK","ERROR")</f>
        <v>OK</v>
      </c>
      <c r="AG21" s="197"/>
      <c r="AH21" s="203"/>
      <c r="AI21" s="203"/>
      <c r="AJ21" s="198"/>
      <c r="AK21" s="198"/>
      <c r="AL21" s="206" t="str">
        <f>IF(ROUND(SUM(IS!AH21:AK21),1)=ROUND(IS!AL21,1),"OK","ERROR")</f>
        <v>ERROR</v>
      </c>
      <c r="AM21" s="210"/>
      <c r="AN21" s="198"/>
      <c r="AO21" s="198"/>
      <c r="AP21" s="198"/>
      <c r="AQ21" s="198"/>
      <c r="AR21" s="206" t="str">
        <f>IF(ROUND(SUM(IS!AN21:AQ21),1)=ROUND(IS!AR21,1),"OK","ERROR")</f>
        <v>OK</v>
      </c>
    </row>
    <row r="22" spans="1:44" ht="14.25" customHeight="1" x14ac:dyDescent="0.25">
      <c r="A22" s="73"/>
      <c r="B22" s="70" t="s">
        <v>633</v>
      </c>
      <c r="D22" s="203"/>
      <c r="E22" s="194"/>
      <c r="F22" s="194"/>
      <c r="G22" s="194"/>
      <c r="H22" s="212" t="str">
        <f>IF(ROUND(SUM(IS!D22:G22),1)=ROUND(IS!H22,1),"OK","ERROR")</f>
        <v>OK</v>
      </c>
      <c r="I22" s="196"/>
      <c r="J22" s="203"/>
      <c r="K22" s="203"/>
      <c r="L22" s="203"/>
      <c r="M22" s="203"/>
      <c r="N22" s="212" t="str">
        <f>IF(ROUND(SUM(IS!J22:M22),1)=ROUND(IS!N22,1),"OK","ERROR")</f>
        <v>OK</v>
      </c>
      <c r="O22" s="196"/>
      <c r="P22" s="203"/>
      <c r="Q22" s="203"/>
      <c r="R22" s="203"/>
      <c r="S22" s="203"/>
      <c r="T22" s="212" t="str">
        <f>IF(ROUND(SUM(IS!P22:S22),1)=ROUND(IS!T22,1),"OK","ERROR")</f>
        <v>OK</v>
      </c>
      <c r="U22" s="196"/>
      <c r="V22" s="203"/>
      <c r="W22" s="203"/>
      <c r="X22" s="203"/>
      <c r="Y22" s="203"/>
      <c r="Z22" s="212" t="str">
        <f>IF(ROUND(SUM(IS!V22:Y22),1)=ROUND(IS!Z22,1),"OK","ERROR")</f>
        <v>OK</v>
      </c>
      <c r="AA22" s="199"/>
      <c r="AB22" s="203"/>
      <c r="AC22" s="203"/>
      <c r="AD22" s="203"/>
      <c r="AE22" s="203"/>
      <c r="AF22" s="212" t="str">
        <f>IF(ROUND(SUM(IS!AB22:AE22),1)=ROUND(IS!AF22,1),"OK","ERROR")</f>
        <v>OK</v>
      </c>
      <c r="AG22" s="197"/>
      <c r="AH22" s="203"/>
      <c r="AI22" s="203"/>
      <c r="AJ22" s="198"/>
      <c r="AK22" s="198"/>
      <c r="AL22" s="212" t="str">
        <f>IF(ROUND(SUM(IS!AH22:AK22),1)=ROUND(IS!AL22,1),"OK","ERROR")</f>
        <v>ERROR</v>
      </c>
      <c r="AM22" s="210"/>
      <c r="AN22" s="198"/>
      <c r="AO22" s="198"/>
      <c r="AP22" s="198"/>
      <c r="AQ22" s="198"/>
      <c r="AR22" s="212" t="str">
        <f>IF(ROUND(SUM(IS!AN22:AQ22),1)=ROUND(IS!AR22,1),"OK","ERROR")</f>
        <v>ERROR</v>
      </c>
    </row>
    <row r="23" spans="1:44" ht="14.25" customHeight="1" x14ac:dyDescent="0.25">
      <c r="A23" s="56"/>
      <c r="B23" s="76" t="s">
        <v>634</v>
      </c>
      <c r="D23" s="194"/>
      <c r="E23" s="194"/>
      <c r="F23" s="194"/>
      <c r="G23" s="194"/>
      <c r="H23" s="213" t="str">
        <f>IF(ROUND(SUM(IS!D23:G23),1)=ROUND(IS!H23,1),"OK","ERROR")</f>
        <v>OK</v>
      </c>
      <c r="I23" s="196"/>
      <c r="J23" s="194"/>
      <c r="K23" s="194"/>
      <c r="L23" s="194"/>
      <c r="M23" s="194"/>
      <c r="N23" s="213" t="str">
        <f>IF(ROUND(SUM(IS!J23:M23),1)=ROUND(IS!N23,1),"OK","ERROR")</f>
        <v>OK</v>
      </c>
      <c r="O23" s="196"/>
      <c r="P23" s="194"/>
      <c r="Q23" s="194"/>
      <c r="R23" s="194"/>
      <c r="S23" s="194"/>
      <c r="T23" s="213" t="str">
        <f>IF(ROUND(SUM(IS!P23:S23),1)=ROUND(IS!T23,1),"OK","ERROR")</f>
        <v>OK</v>
      </c>
      <c r="U23" s="196"/>
      <c r="V23" s="194"/>
      <c r="W23" s="194"/>
      <c r="X23" s="194"/>
      <c r="Y23" s="194"/>
      <c r="Z23" s="213" t="str">
        <f>IF(ROUND(SUM(IS!V23:Y23),1)=ROUND(IS!Z23,1),"OK","ERROR")</f>
        <v>OK</v>
      </c>
      <c r="AA23" s="199"/>
      <c r="AB23" s="194"/>
      <c r="AC23" s="194"/>
      <c r="AD23" s="194"/>
      <c r="AE23" s="194"/>
      <c r="AF23" s="213" t="str">
        <f>IF(ROUND(SUM(IS!AB23:AE23),1)=ROUND(IS!AF23,1),"OK","ERROR")</f>
        <v>OK</v>
      </c>
      <c r="AG23" s="197"/>
      <c r="AH23" s="194"/>
      <c r="AI23" s="194"/>
      <c r="AJ23" s="198"/>
      <c r="AK23" s="198"/>
      <c r="AL23" s="213" t="str">
        <f>IF(ROUND(SUM(IS!AH23:AK23),1)=ROUND(IS!AL23,1),"OK","ERROR")</f>
        <v>ERROR</v>
      </c>
      <c r="AM23" s="210"/>
      <c r="AN23" s="198"/>
      <c r="AO23" s="198"/>
      <c r="AP23" s="198"/>
      <c r="AQ23" s="198"/>
      <c r="AR23" s="213" t="str">
        <f>IF(ROUND(SUM(IS!AN23:AQ23),1)=ROUND(IS!AR23,1),"OK","ERROR")</f>
        <v>OK</v>
      </c>
    </row>
    <row r="24" spans="1:44" ht="14.25" customHeight="1" x14ac:dyDescent="0.25">
      <c r="A24" s="73"/>
      <c r="B24" s="79" t="s">
        <v>277</v>
      </c>
      <c r="D24" s="194"/>
      <c r="E24" s="194"/>
      <c r="F24" s="194"/>
      <c r="G24" s="194"/>
      <c r="H24" s="213" t="str">
        <f>IF(ROUND(SUM(IS!D24:G24),1)=ROUND(IS!H24,1),"OK","ERROR")</f>
        <v>OK</v>
      </c>
      <c r="I24" s="196"/>
      <c r="J24" s="194"/>
      <c r="K24" s="194"/>
      <c r="L24" s="194"/>
      <c r="M24" s="194"/>
      <c r="N24" s="213" t="str">
        <f>IF(ROUND(SUM(IS!J24:M24),1)=ROUND(IS!N24,1),"OK","ERROR")</f>
        <v>OK</v>
      </c>
      <c r="O24" s="196"/>
      <c r="P24" s="194"/>
      <c r="Q24" s="194"/>
      <c r="R24" s="194"/>
      <c r="S24" s="194"/>
      <c r="T24" s="213" t="str">
        <f>IF(ROUND(SUM(IS!P24:S24),1)=ROUND(IS!T24,1),"OK","ERROR")</f>
        <v>OK</v>
      </c>
      <c r="U24" s="196"/>
      <c r="V24" s="194"/>
      <c r="W24" s="194"/>
      <c r="X24" s="194"/>
      <c r="Y24" s="194"/>
      <c r="Z24" s="213" t="str">
        <f>IF(ROUND(SUM(IS!V24:Y24),1)=ROUND(IS!Z24,1),"OK","ERROR")</f>
        <v>OK</v>
      </c>
      <c r="AA24" s="199"/>
      <c r="AB24" s="194"/>
      <c r="AC24" s="194"/>
      <c r="AD24" s="194"/>
      <c r="AE24" s="194"/>
      <c r="AF24" s="213" t="str">
        <f>IF(ROUND(SUM(IS!AB24:AE24),1)=ROUND(IS!AF24,1),"OK","ERROR")</f>
        <v>OK</v>
      </c>
      <c r="AG24" s="197"/>
      <c r="AH24" s="194"/>
      <c r="AI24" s="194"/>
      <c r="AJ24" s="198"/>
      <c r="AK24" s="198"/>
      <c r="AL24" s="213" t="str">
        <f>IF(ROUND(SUM(IS!AH24:AK24),1)=ROUND(IS!AL24,1),"OK","ERROR")</f>
        <v>ERROR</v>
      </c>
      <c r="AM24" s="210"/>
      <c r="AN24" s="198"/>
      <c r="AO24" s="198"/>
      <c r="AP24" s="198"/>
      <c r="AQ24" s="198"/>
      <c r="AR24" s="213" t="str">
        <f>IF(ROUND(SUM(IS!AN24:AQ24),1)=ROUND(IS!AR24,1),"OK","ERROR")</f>
        <v>OK</v>
      </c>
    </row>
    <row r="25" spans="1:44" ht="14.25" customHeight="1" x14ac:dyDescent="0.25">
      <c r="A25" s="56"/>
      <c r="B25" s="80"/>
      <c r="D25" s="194"/>
      <c r="E25" s="194"/>
      <c r="F25" s="194"/>
      <c r="G25" s="194"/>
      <c r="H25" s="206"/>
      <c r="I25" s="196"/>
      <c r="J25" s="194"/>
      <c r="K25" s="194"/>
      <c r="L25" s="194"/>
      <c r="M25" s="194"/>
      <c r="N25" s="206"/>
      <c r="O25" s="196"/>
      <c r="P25" s="194"/>
      <c r="Q25" s="194"/>
      <c r="R25" s="194"/>
      <c r="S25" s="194"/>
      <c r="T25" s="206"/>
      <c r="U25" s="196"/>
      <c r="V25" s="194"/>
      <c r="W25" s="194"/>
      <c r="X25" s="194"/>
      <c r="Y25" s="194"/>
      <c r="Z25" s="206"/>
      <c r="AA25" s="199"/>
      <c r="AB25" s="194"/>
      <c r="AC25" s="194"/>
      <c r="AD25" s="194"/>
      <c r="AE25" s="194"/>
      <c r="AF25" s="206"/>
      <c r="AG25" s="197"/>
      <c r="AH25" s="194"/>
      <c r="AI25" s="194"/>
      <c r="AJ25" s="198"/>
      <c r="AK25" s="198"/>
      <c r="AL25" s="206"/>
      <c r="AM25" s="210"/>
      <c r="AN25" s="198"/>
      <c r="AO25" s="198"/>
      <c r="AP25" s="198"/>
      <c r="AQ25" s="198"/>
      <c r="AR25" s="206"/>
    </row>
    <row r="26" spans="1:44" ht="14.25" customHeight="1" x14ac:dyDescent="0.25">
      <c r="A26" s="45" t="s">
        <v>38</v>
      </c>
      <c r="B26" s="65" t="s">
        <v>635</v>
      </c>
      <c r="D26" s="194"/>
      <c r="E26" s="194"/>
      <c r="F26" s="194"/>
      <c r="G26" s="194"/>
      <c r="H26" s="206"/>
      <c r="I26" s="196"/>
      <c r="J26" s="194"/>
      <c r="K26" s="194"/>
      <c r="L26" s="194"/>
      <c r="M26" s="194"/>
      <c r="N26" s="206"/>
      <c r="O26" s="196"/>
      <c r="P26" s="194"/>
      <c r="Q26" s="194"/>
      <c r="R26" s="194"/>
      <c r="S26" s="194"/>
      <c r="T26" s="206"/>
      <c r="U26" s="196"/>
      <c r="V26" s="194"/>
      <c r="W26" s="194"/>
      <c r="X26" s="194"/>
      <c r="Y26" s="194"/>
      <c r="Z26" s="206"/>
      <c r="AA26" s="214"/>
      <c r="AB26" s="194"/>
      <c r="AC26" s="194"/>
      <c r="AD26" s="194"/>
      <c r="AE26" s="194"/>
      <c r="AF26" s="206"/>
      <c r="AG26" s="215"/>
      <c r="AH26" s="194"/>
      <c r="AI26" s="194"/>
      <c r="AJ26" s="198"/>
      <c r="AK26" s="198"/>
      <c r="AL26" s="206"/>
      <c r="AM26" s="214"/>
      <c r="AN26" s="198"/>
      <c r="AO26" s="198"/>
      <c r="AP26" s="198"/>
      <c r="AQ26" s="198"/>
      <c r="AR26" s="206"/>
    </row>
    <row r="27" spans="1:44" ht="14.25" customHeight="1" x14ac:dyDescent="0.25">
      <c r="A27" s="84"/>
      <c r="B27" s="70" t="s">
        <v>636</v>
      </c>
      <c r="D27" s="194"/>
      <c r="E27" s="194"/>
      <c r="F27" s="194"/>
      <c r="G27" s="194"/>
      <c r="H27" s="206" t="str">
        <f>IF(ROUND(SUM(IS!D27:G27),1)=ROUND(IS!I27,1),"OK","ERROR")</f>
        <v>ERROR</v>
      </c>
      <c r="I27" s="196"/>
      <c r="J27" s="194"/>
      <c r="K27" s="194"/>
      <c r="L27" s="194"/>
      <c r="M27" s="194"/>
      <c r="N27" s="206" t="str">
        <f>IF(ROUND(SUM(IS!J27:M27),1)=ROUND(IS!N27,1),"OK","ERROR")</f>
        <v>ERROR</v>
      </c>
      <c r="O27" s="196"/>
      <c r="P27" s="194"/>
      <c r="Q27" s="194"/>
      <c r="R27" s="194"/>
      <c r="S27" s="194"/>
      <c r="T27" s="206" t="str">
        <f>IF(ROUND(SUM(IS!P27:S27),1)=ROUND(IS!T27,1),"OK","ERROR")</f>
        <v>OK</v>
      </c>
      <c r="U27" s="196"/>
      <c r="V27" s="194"/>
      <c r="W27" s="194"/>
      <c r="X27" s="194"/>
      <c r="Y27" s="194"/>
      <c r="Z27" s="206" t="str">
        <f>IF(ROUND(SUM(IS!V27:Y27),1)=ROUND(IS!Z27,1),"OK","ERROR")</f>
        <v>OK</v>
      </c>
      <c r="AA27" s="214"/>
      <c r="AB27" s="194"/>
      <c r="AC27" s="194"/>
      <c r="AD27" s="194"/>
      <c r="AE27" s="194"/>
      <c r="AF27" s="206" t="str">
        <f>IF(ROUND(SUM(IS!AB27:AE27),1)=ROUND(IS!AF27,1),"OK","ERROR")</f>
        <v>OK</v>
      </c>
      <c r="AG27" s="215"/>
      <c r="AH27" s="194"/>
      <c r="AI27" s="194"/>
      <c r="AJ27" s="198"/>
      <c r="AK27" s="198"/>
      <c r="AL27" s="206" t="str">
        <f>IF(ROUND(SUM(IS!AH27:AK27),1)=ROUND(IS!AL27,1),"OK","ERROR")</f>
        <v>ERROR</v>
      </c>
      <c r="AM27" s="214"/>
      <c r="AN27" s="198"/>
      <c r="AO27" s="198"/>
      <c r="AP27" s="198"/>
      <c r="AQ27" s="198"/>
      <c r="AR27" s="206" t="str">
        <f>IF(ROUND(SUM(IS!AN27:AQ27),1)=ROUND(IS!AR27,1),"OK","ERROR")</f>
        <v>OK</v>
      </c>
    </row>
    <row r="28" spans="1:44" ht="14.25" customHeight="1" x14ac:dyDescent="0.25">
      <c r="A28" s="56"/>
      <c r="B28" s="70" t="s">
        <v>637</v>
      </c>
      <c r="D28" s="194"/>
      <c r="E28" s="194"/>
      <c r="F28" s="194"/>
      <c r="G28" s="194"/>
      <c r="H28" s="206" t="str">
        <f>IF(ROUND(SUM(IS!D28:G28),1)=ROUND(IS!H28,1),"OK","ERROR")</f>
        <v>OK</v>
      </c>
      <c r="I28" s="196"/>
      <c r="J28" s="194"/>
      <c r="K28" s="194"/>
      <c r="L28" s="194"/>
      <c r="M28" s="194"/>
      <c r="N28" s="206" t="str">
        <f>IF(ROUND(SUM(IS!J28:M28),1)=ROUND(IS!N28,1),"OK","ERROR")</f>
        <v>OK</v>
      </c>
      <c r="O28" s="196"/>
      <c r="P28" s="194"/>
      <c r="Q28" s="194"/>
      <c r="R28" s="194"/>
      <c r="S28" s="194"/>
      <c r="T28" s="206" t="str">
        <f>IF(ROUND(SUM(IS!P28:S28),1)=ROUND(IS!T28,1),"OK","ERROR")</f>
        <v>OK</v>
      </c>
      <c r="U28" s="196"/>
      <c r="V28" s="194"/>
      <c r="W28" s="194"/>
      <c r="X28" s="194"/>
      <c r="Y28" s="194"/>
      <c r="Z28" s="206" t="str">
        <f>IF(ROUND(SUM(IS!V28:Y28),1)=ROUND(IS!Z28,1),"OK","ERROR")</f>
        <v>OK</v>
      </c>
      <c r="AA28" s="199"/>
      <c r="AB28" s="194"/>
      <c r="AC28" s="194"/>
      <c r="AD28" s="194"/>
      <c r="AE28" s="194"/>
      <c r="AF28" s="206" t="str">
        <f>IF(ROUND(SUM(IS!AB28:AE28),1)=ROUND(IS!AF28,1),"OK","ERROR")</f>
        <v>OK</v>
      </c>
      <c r="AG28" s="197"/>
      <c r="AH28" s="194"/>
      <c r="AI28" s="194"/>
      <c r="AJ28" s="198"/>
      <c r="AK28" s="198"/>
      <c r="AL28" s="206" t="str">
        <f>IF(ROUND(SUM(IS!AH28:AK28),1)=ROUND(IS!AL28,1),"OK","ERROR")</f>
        <v>OK</v>
      </c>
      <c r="AM28" s="210"/>
      <c r="AN28" s="198"/>
      <c r="AO28" s="198"/>
      <c r="AP28" s="198"/>
      <c r="AQ28" s="198"/>
      <c r="AR28" s="206" t="str">
        <f>IF(ROUND(SUM(IS!AN28:AQ28),1)=ROUND(IS!AR28,1),"OK","ERROR")</f>
        <v>OK</v>
      </c>
    </row>
    <row r="29" spans="1:44" ht="14.25" customHeight="1" x14ac:dyDescent="0.25">
      <c r="A29" s="73"/>
      <c r="B29" s="70" t="s">
        <v>638</v>
      </c>
      <c r="D29" s="194"/>
      <c r="E29" s="194"/>
      <c r="F29" s="194"/>
      <c r="G29" s="194"/>
      <c r="H29" s="206" t="str">
        <f>IF(ROUND(SUM(IS!D29:G29),1)=ROUND(IS!H29,1),"OK","ERROR")</f>
        <v>OK</v>
      </c>
      <c r="I29" s="196"/>
      <c r="J29" s="194"/>
      <c r="K29" s="194"/>
      <c r="L29" s="194"/>
      <c r="M29" s="194"/>
      <c r="N29" s="206" t="str">
        <f>IF(ROUND(SUM(IS!J29:M29),1)=ROUND(IS!N29,1),"OK","ERROR")</f>
        <v>OK</v>
      </c>
      <c r="O29" s="196"/>
      <c r="P29" s="194"/>
      <c r="Q29" s="194"/>
      <c r="R29" s="194"/>
      <c r="S29" s="194"/>
      <c r="T29" s="206" t="str">
        <f>IF(ROUND(SUM(IS!P29:S29),1)=ROUND(IS!T29,1),"OK","ERROR")</f>
        <v>OK</v>
      </c>
      <c r="U29" s="196"/>
      <c r="V29" s="194"/>
      <c r="W29" s="194"/>
      <c r="X29" s="194"/>
      <c r="Y29" s="194"/>
      <c r="Z29" s="206" t="str">
        <f>IF(ROUND(SUM(IS!V29:Y29),1)=ROUND(IS!Z29,1),"OK","ERROR")</f>
        <v>OK</v>
      </c>
      <c r="AA29" s="214"/>
      <c r="AB29" s="194"/>
      <c r="AC29" s="194"/>
      <c r="AD29" s="194"/>
      <c r="AE29" s="194"/>
      <c r="AF29" s="206" t="str">
        <f>IF(ROUND(SUM(IS!AB29:AE29),1)=ROUND(IS!AF29,1),"OK","ERROR")</f>
        <v>OK</v>
      </c>
      <c r="AG29" s="215"/>
      <c r="AH29" s="194"/>
      <c r="AI29" s="194"/>
      <c r="AJ29" s="198"/>
      <c r="AK29" s="198"/>
      <c r="AL29" s="206" t="str">
        <f>IF(ROUND(SUM(IS!AH29:AK29),1)=ROUND(IS!AL29,1),"OK","ERROR")</f>
        <v>ERROR</v>
      </c>
      <c r="AM29" s="214"/>
      <c r="AN29" s="198"/>
      <c r="AO29" s="198"/>
      <c r="AP29" s="198"/>
      <c r="AQ29" s="198"/>
      <c r="AR29" s="206" t="str">
        <f>IF(ROUND(SUM(IS!AN29:AQ29),1)=ROUND(IS!AR29,1),"OK","ERROR")</f>
        <v>OK</v>
      </c>
    </row>
    <row r="30" spans="1:44" ht="14.25" customHeight="1" x14ac:dyDescent="0.25">
      <c r="A30" s="56"/>
      <c r="B30" s="70" t="s">
        <v>639</v>
      </c>
      <c r="D30" s="194"/>
      <c r="E30" s="194"/>
      <c r="F30" s="194"/>
      <c r="G30" s="194"/>
      <c r="H30" s="212" t="str">
        <f>IF(ROUND(SUM(IS!D30:G30),1)=ROUND(IS!H30,1),"OK","ERROR")</f>
        <v>OK</v>
      </c>
      <c r="I30" s="196"/>
      <c r="J30" s="194"/>
      <c r="K30" s="194"/>
      <c r="L30" s="194"/>
      <c r="M30" s="194"/>
      <c r="N30" s="212" t="str">
        <f>IF(ROUND(SUM(IS!J30:M30),1)=ROUND(IS!N30,1),"OK","ERROR")</f>
        <v>ERROR</v>
      </c>
      <c r="O30" s="196"/>
      <c r="P30" s="194"/>
      <c r="Q30" s="194"/>
      <c r="R30" s="194"/>
      <c r="S30" s="194"/>
      <c r="T30" s="212" t="str">
        <f>IF(ROUND(SUM(IS!P30:S30),1)=ROUND(IS!T30,1),"OK","ERROR")</f>
        <v>ERROR</v>
      </c>
      <c r="U30" s="196"/>
      <c r="V30" s="194"/>
      <c r="W30" s="194"/>
      <c r="X30" s="194"/>
      <c r="Y30" s="194"/>
      <c r="Z30" s="212" t="str">
        <f>IF(ROUND(SUM(IS!V30:Y30),1)=ROUND(IS!Z30,1),"OK","ERROR")</f>
        <v>ERROR</v>
      </c>
      <c r="AA30" s="199"/>
      <c r="AB30" s="194"/>
      <c r="AC30" s="194"/>
      <c r="AD30" s="194"/>
      <c r="AE30" s="194"/>
      <c r="AF30" s="212" t="str">
        <f>IF(ROUND(SUM(IS!AB30:AE30),1)=ROUND(IS!AF30,1),"OK","ERROR")</f>
        <v>ERROR</v>
      </c>
      <c r="AG30" s="197"/>
      <c r="AH30" s="194"/>
      <c r="AI30" s="194"/>
      <c r="AJ30" s="198"/>
      <c r="AK30" s="198"/>
      <c r="AL30" s="212" t="str">
        <f>IF(ROUND(SUM(IS!AH30:AK30),1)=ROUND(IS!AL30,1),"OK","ERROR")</f>
        <v>ERROR</v>
      </c>
      <c r="AM30" s="210"/>
      <c r="AN30" s="198"/>
      <c r="AO30" s="198"/>
      <c r="AP30" s="198"/>
      <c r="AQ30" s="198"/>
      <c r="AR30" s="212" t="str">
        <f>IF(ROUND(SUM(IS!AN30:AQ30),1)=ROUND(IS!AR30,1),"OK","ERROR")</f>
        <v>OK</v>
      </c>
    </row>
    <row r="31" spans="1:44" ht="14.25" customHeight="1" x14ac:dyDescent="0.25">
      <c r="A31" s="73"/>
      <c r="B31" s="76" t="s">
        <v>640</v>
      </c>
      <c r="D31" s="194"/>
      <c r="E31" s="194"/>
      <c r="F31" s="194"/>
      <c r="G31" s="194"/>
      <c r="H31" s="217" t="str">
        <f>IF(ROUND(SUM(IS!D31:G31),1)=ROUND(IS!H31,1),"OK","ERROR")</f>
        <v>OK</v>
      </c>
      <c r="I31" s="196"/>
      <c r="J31" s="194"/>
      <c r="K31" s="194"/>
      <c r="L31" s="194"/>
      <c r="M31" s="194"/>
      <c r="N31" s="217" t="str">
        <f>IF(ROUND(SUM(IS!J31:M31),1)=ROUND(IS!N31,1),"OK","ERROR")</f>
        <v>OK</v>
      </c>
      <c r="O31" s="196"/>
      <c r="P31" s="194"/>
      <c r="Q31" s="194"/>
      <c r="R31" s="194"/>
      <c r="S31" s="194"/>
      <c r="T31" s="217" t="str">
        <f>IF(ROUND(SUM(IS!P31:S31),1)=ROUND(IS!T31,1),"OK","ERROR")</f>
        <v>OK</v>
      </c>
      <c r="U31" s="196"/>
      <c r="V31" s="194"/>
      <c r="W31" s="194"/>
      <c r="X31" s="194"/>
      <c r="Y31" s="194"/>
      <c r="Z31" s="217" t="str">
        <f>IF(ROUND(SUM(IS!V31:Y31),1)=ROUND(IS!Z31,1),"OK","ERROR")</f>
        <v>OK</v>
      </c>
      <c r="AA31" s="214"/>
      <c r="AB31" s="194"/>
      <c r="AC31" s="194"/>
      <c r="AD31" s="194"/>
      <c r="AE31" s="194"/>
      <c r="AF31" s="217" t="str">
        <f>IF(ROUND(SUM(IS!AB31:AE31),1)=ROUND(IS!AF31,1),"OK","ERROR")</f>
        <v>ERROR</v>
      </c>
      <c r="AG31" s="215"/>
      <c r="AH31" s="194"/>
      <c r="AI31" s="194"/>
      <c r="AJ31" s="198"/>
      <c r="AK31" s="198"/>
      <c r="AL31" s="217" t="str">
        <f>IF(ROUND(SUM(IS!AH31:AK31),1)=ROUND(IS!AL31,1),"OK","ERROR")</f>
        <v>ERROR</v>
      </c>
      <c r="AM31" s="214"/>
      <c r="AN31" s="198"/>
      <c r="AO31" s="198"/>
      <c r="AP31" s="198"/>
      <c r="AQ31" s="198"/>
      <c r="AR31" s="217" t="str">
        <f>IF(ROUND(SUM(IS!AN31:AQ31),1)=ROUND(IS!AR31,1),"OK","ERROR")</f>
        <v>OK</v>
      </c>
    </row>
    <row r="32" spans="1:44" ht="14.25" customHeight="1" x14ac:dyDescent="0.25">
      <c r="A32" s="73"/>
      <c r="B32" s="76" t="s">
        <v>641</v>
      </c>
      <c r="D32" s="194"/>
      <c r="E32" s="194"/>
      <c r="F32" s="194"/>
      <c r="G32" s="194"/>
      <c r="H32" s="212" t="str">
        <f>IF(ROUND(SUM(IS!D32:G32),1)=ROUND(IS!H32,1),"OK","ERROR")</f>
        <v>OK</v>
      </c>
      <c r="I32" s="196"/>
      <c r="J32" s="194"/>
      <c r="K32" s="194"/>
      <c r="L32" s="194"/>
      <c r="M32" s="194"/>
      <c r="N32" s="212" t="str">
        <f>IF(ROUND(SUM(IS!J32:M32),1)=ROUND(IS!N32,1),"OK","ERROR")</f>
        <v>OK</v>
      </c>
      <c r="O32" s="196"/>
      <c r="P32" s="194"/>
      <c r="Q32" s="194"/>
      <c r="R32" s="194"/>
      <c r="S32" s="194"/>
      <c r="T32" s="212" t="str">
        <f>IF(ROUND(SUM(IS!P32:S32),1)=ROUND(IS!T32,1),"OK","ERROR")</f>
        <v>OK</v>
      </c>
      <c r="U32" s="196"/>
      <c r="V32" s="194"/>
      <c r="W32" s="194"/>
      <c r="X32" s="194"/>
      <c r="Y32" s="194"/>
      <c r="Z32" s="212" t="str">
        <f>IF(ROUND(SUM(IS!V32:Y32),1)=ROUND(IS!Z32,1),"OK","ERROR")</f>
        <v>OK</v>
      </c>
      <c r="AA32" s="218"/>
      <c r="AB32" s="194"/>
      <c r="AC32" s="194"/>
      <c r="AD32" s="194"/>
      <c r="AE32" s="194"/>
      <c r="AF32" s="212" t="str">
        <f>IF(ROUND(SUM(IS!AB32:AE32),1)=ROUND(IS!AF32,1),"OK","ERROR")</f>
        <v>OK</v>
      </c>
      <c r="AG32" s="215"/>
      <c r="AH32" s="194"/>
      <c r="AI32" s="194"/>
      <c r="AJ32" s="198"/>
      <c r="AK32" s="198"/>
      <c r="AL32" s="212" t="str">
        <f>IF(ROUND(SUM(IS!AH32:AK32),1)=ROUND(IS!AL32,1),"OK","ERROR")</f>
        <v>OK</v>
      </c>
      <c r="AM32" s="218"/>
      <c r="AN32" s="198"/>
      <c r="AO32" s="198"/>
      <c r="AP32" s="198"/>
      <c r="AQ32" s="198"/>
      <c r="AR32" s="212" t="str">
        <f>IF(ROUND(SUM(IS!AN32:AQ32),1)=ROUND(IS!AR32,1),"OK","ERROR")</f>
        <v>OK</v>
      </c>
    </row>
    <row r="33" spans="1:44" ht="14.25" customHeight="1" x14ac:dyDescent="0.25">
      <c r="A33" s="56"/>
      <c r="B33" s="79" t="s">
        <v>642</v>
      </c>
      <c r="D33" s="194"/>
      <c r="E33" s="194"/>
      <c r="F33" s="194"/>
      <c r="G33" s="194"/>
      <c r="H33" s="212" t="str">
        <f>IF(ROUND(SUM(IS!D33:G33),1)=ROUND(IS!H33,1),"OK","ERROR")</f>
        <v>OK</v>
      </c>
      <c r="I33" s="196"/>
      <c r="J33" s="194"/>
      <c r="K33" s="194"/>
      <c r="L33" s="194"/>
      <c r="M33" s="194"/>
      <c r="N33" s="212" t="str">
        <f>IF(ROUND(SUM(IS!J33:M33),1)=ROUND(IS!N33,1),"OK","ERROR")</f>
        <v>OK</v>
      </c>
      <c r="O33" s="196"/>
      <c r="P33" s="194"/>
      <c r="Q33" s="194"/>
      <c r="R33" s="194"/>
      <c r="S33" s="194"/>
      <c r="T33" s="212" t="str">
        <f>IF(ROUND(SUM(IS!P33:S33),1)=ROUND(IS!T33,1),"OK","ERROR")</f>
        <v>OK</v>
      </c>
      <c r="U33" s="196"/>
      <c r="V33" s="194"/>
      <c r="W33" s="194"/>
      <c r="X33" s="194"/>
      <c r="Y33" s="194"/>
      <c r="Z33" s="212" t="str">
        <f>IF(ROUND(SUM(IS!V33:Y33),1)=ROUND(IS!Z33,1),"OK","ERROR")</f>
        <v>OK</v>
      </c>
      <c r="AA33" s="199"/>
      <c r="AB33" s="194"/>
      <c r="AC33" s="194"/>
      <c r="AD33" s="194"/>
      <c r="AE33" s="194"/>
      <c r="AF33" s="212" t="str">
        <f>IF(ROUND(SUM(IS!AB33:AE33),1)=ROUND(IS!AF33,1),"OK","ERROR")</f>
        <v>ERROR</v>
      </c>
      <c r="AG33" s="197"/>
      <c r="AH33" s="194"/>
      <c r="AI33" s="194"/>
      <c r="AJ33" s="198"/>
      <c r="AK33" s="198"/>
      <c r="AL33" s="212" t="str">
        <f>IF(ROUND(SUM(IS!AH33:AK33),1)=ROUND(IS!AL33,1),"OK","ERROR")</f>
        <v>OK</v>
      </c>
      <c r="AM33" s="210"/>
      <c r="AN33" s="198"/>
      <c r="AO33" s="198"/>
      <c r="AP33" s="198"/>
      <c r="AQ33" s="198"/>
      <c r="AR33" s="212" t="str">
        <f>IF(ROUND(SUM(IS!AN33:AQ33),1)=ROUND(IS!AR33,1),"OK","ERROR")</f>
        <v>OK</v>
      </c>
    </row>
    <row r="34" spans="1:44" ht="14.25" customHeight="1" x14ac:dyDescent="0.25">
      <c r="A34" s="73"/>
      <c r="B34" s="192"/>
      <c r="D34" s="194"/>
      <c r="E34" s="194"/>
      <c r="F34" s="194"/>
      <c r="G34" s="194"/>
      <c r="H34" s="206"/>
      <c r="I34" s="196"/>
      <c r="J34" s="194"/>
      <c r="K34" s="194"/>
      <c r="L34" s="194"/>
      <c r="M34" s="194"/>
      <c r="N34" s="206"/>
      <c r="O34" s="196"/>
      <c r="P34" s="194"/>
      <c r="Q34" s="194"/>
      <c r="R34" s="194"/>
      <c r="S34" s="194"/>
      <c r="T34" s="206"/>
      <c r="U34" s="196"/>
      <c r="V34" s="194"/>
      <c r="W34" s="194"/>
      <c r="X34" s="194"/>
      <c r="Y34" s="194"/>
      <c r="Z34" s="206"/>
      <c r="AA34" s="214"/>
      <c r="AB34" s="194"/>
      <c r="AC34" s="194"/>
      <c r="AD34" s="194"/>
      <c r="AE34" s="194"/>
      <c r="AF34" s="206"/>
      <c r="AG34" s="215"/>
      <c r="AH34" s="194"/>
      <c r="AI34" s="194"/>
      <c r="AJ34" s="198"/>
      <c r="AK34" s="198"/>
      <c r="AL34" s="206"/>
      <c r="AM34" s="219"/>
      <c r="AN34" s="198"/>
      <c r="AO34" s="198"/>
      <c r="AP34" s="198"/>
      <c r="AQ34" s="198"/>
      <c r="AR34" s="206"/>
    </row>
    <row r="35" spans="1:44" ht="14.25" customHeight="1" x14ac:dyDescent="0.25">
      <c r="A35" s="45" t="s">
        <v>38</v>
      </c>
      <c r="B35" s="65" t="s">
        <v>643</v>
      </c>
      <c r="D35" s="194"/>
      <c r="E35" s="194"/>
      <c r="F35" s="194"/>
      <c r="G35" s="194"/>
      <c r="H35" s="206"/>
      <c r="I35" s="196"/>
      <c r="J35" s="194"/>
      <c r="K35" s="194"/>
      <c r="L35" s="194"/>
      <c r="M35" s="194"/>
      <c r="N35" s="206"/>
      <c r="O35" s="196"/>
      <c r="P35" s="194"/>
      <c r="Q35" s="194"/>
      <c r="R35" s="194"/>
      <c r="S35" s="194"/>
      <c r="T35" s="206"/>
      <c r="U35" s="196"/>
      <c r="V35" s="194"/>
      <c r="W35" s="194"/>
      <c r="X35" s="194"/>
      <c r="Y35" s="194"/>
      <c r="Z35" s="206"/>
      <c r="AA35" s="199"/>
      <c r="AB35" s="194"/>
      <c r="AC35" s="194"/>
      <c r="AD35" s="194"/>
      <c r="AE35" s="194"/>
      <c r="AF35" s="206"/>
      <c r="AG35" s="197"/>
      <c r="AH35" s="194"/>
      <c r="AI35" s="194"/>
      <c r="AJ35" s="198"/>
      <c r="AK35" s="198"/>
      <c r="AL35" s="206"/>
      <c r="AM35" s="210"/>
      <c r="AN35" s="198"/>
      <c r="AO35" s="198"/>
      <c r="AP35" s="198"/>
      <c r="AQ35" s="198"/>
      <c r="AR35" s="206"/>
    </row>
    <row r="36" spans="1:44" ht="14.25" customHeight="1" x14ac:dyDescent="0.25">
      <c r="A36" s="45"/>
      <c r="B36" s="70" t="s">
        <v>644</v>
      </c>
      <c r="D36" s="194"/>
      <c r="E36" s="194"/>
      <c r="F36" s="194"/>
      <c r="G36" s="194"/>
      <c r="H36" s="206" t="str">
        <f>IF(ROUND(SUM(IS!D36:G36),1)=ROUND(IS!H36,1),"OK","ERROR")</f>
        <v>ERROR</v>
      </c>
      <c r="I36" s="196"/>
      <c r="J36" s="194"/>
      <c r="K36" s="194"/>
      <c r="L36" s="194"/>
      <c r="M36" s="194"/>
      <c r="N36" s="206" t="str">
        <f>IF(ROUND(SUM(IS!J36:M36),1)=ROUND(IS!N36,1),"OK","ERROR")</f>
        <v>OK</v>
      </c>
      <c r="O36" s="196"/>
      <c r="P36" s="194"/>
      <c r="Q36" s="194"/>
      <c r="R36" s="194"/>
      <c r="S36" s="194"/>
      <c r="T36" s="206" t="str">
        <f>IF(ROUND(SUM(IS!P36:S36),1)=ROUND(IS!T36,1),"OK","ERROR")</f>
        <v>OK</v>
      </c>
      <c r="U36" s="196"/>
      <c r="V36" s="194"/>
      <c r="W36" s="194"/>
      <c r="X36" s="194"/>
      <c r="Y36" s="194"/>
      <c r="Z36" s="206" t="str">
        <f>IF(ROUND(SUM(IS!V36:Y36),1)=ROUND(IS!Z36,1),"OK","ERROR")</f>
        <v>ERROR</v>
      </c>
      <c r="AA36" s="199"/>
      <c r="AB36" s="194"/>
      <c r="AC36" s="194"/>
      <c r="AD36" s="194"/>
      <c r="AE36" s="194"/>
      <c r="AF36" s="206" t="str">
        <f>IF(ROUND(SUM(IS!AB36:AE36),1)=ROUND(IS!AF36,1),"OK","ERROR")</f>
        <v>ERROR</v>
      </c>
      <c r="AG36" s="197"/>
      <c r="AH36" s="194"/>
      <c r="AI36" s="194"/>
      <c r="AJ36" s="198"/>
      <c r="AK36" s="198"/>
      <c r="AL36" s="206" t="str">
        <f>IF(ROUND(SUM(IS!AH36:AK36),1)=ROUND(IS!AL36,1),"OK","ERROR")</f>
        <v>ERROR</v>
      </c>
      <c r="AM36" s="210"/>
      <c r="AN36" s="198"/>
      <c r="AO36" s="198"/>
      <c r="AP36" s="198"/>
      <c r="AQ36" s="198"/>
      <c r="AR36" s="206" t="str">
        <f>IF(ROUND(SUM(IS!AN36:AQ36),1)=ROUND(IS!AR36,1),"OK","ERROR")</f>
        <v>OK</v>
      </c>
    </row>
    <row r="37" spans="1:44" ht="14.25" customHeight="1" x14ac:dyDescent="0.25">
      <c r="A37" s="45"/>
      <c r="B37" s="70" t="s">
        <v>645</v>
      </c>
      <c r="D37" s="194"/>
      <c r="E37" s="194"/>
      <c r="F37" s="194"/>
      <c r="G37" s="194"/>
      <c r="H37" s="206" t="str">
        <f>IF(ROUND(SUM(IS!D37:G37),1)=ROUND(IS!H37,1),"OK","ERROR")</f>
        <v>OK</v>
      </c>
      <c r="I37" s="196"/>
      <c r="J37" s="194"/>
      <c r="K37" s="194"/>
      <c r="L37" s="194"/>
      <c r="M37" s="194"/>
      <c r="N37" s="206" t="str">
        <f>IF(ROUND(SUM(IS!J37:M37),1)=ROUND(IS!N37,1),"OK","ERROR")</f>
        <v>OK</v>
      </c>
      <c r="O37" s="196"/>
      <c r="P37" s="194"/>
      <c r="Q37" s="194"/>
      <c r="R37" s="194"/>
      <c r="S37" s="194"/>
      <c r="T37" s="206" t="str">
        <f>IF(ROUND(SUM(IS!P37:S37),1)=ROUND(IS!T37,1),"OK","ERROR")</f>
        <v>OK</v>
      </c>
      <c r="U37" s="196"/>
      <c r="V37" s="194"/>
      <c r="W37" s="194"/>
      <c r="X37" s="194"/>
      <c r="Y37" s="194"/>
      <c r="Z37" s="206" t="str">
        <f>IF(ROUND(SUM(IS!V37:Y37),1)=ROUND(IS!Z37,1),"OK","ERROR")</f>
        <v>OK</v>
      </c>
      <c r="AA37" s="199"/>
      <c r="AB37" s="194"/>
      <c r="AC37" s="194"/>
      <c r="AD37" s="194"/>
      <c r="AE37" s="194"/>
      <c r="AF37" s="206" t="str">
        <f>IF(ROUND(SUM(IS!AB37:AE37),1)=ROUND(IS!AF37,1),"OK","ERROR")</f>
        <v>OK</v>
      </c>
      <c r="AG37" s="197"/>
      <c r="AH37" s="194"/>
      <c r="AI37" s="194"/>
      <c r="AJ37" s="198"/>
      <c r="AK37" s="198"/>
      <c r="AL37" s="206" t="str">
        <f>IF(ROUND(SUM(IS!AH37:AK37),1)=ROUND(IS!AL37,1),"OK","ERROR")</f>
        <v>ERROR</v>
      </c>
      <c r="AM37" s="210"/>
      <c r="AN37" s="198"/>
      <c r="AO37" s="198"/>
      <c r="AP37" s="198"/>
      <c r="AQ37" s="198"/>
      <c r="AR37" s="206" t="str">
        <f>IF(ROUND(SUM(IS!AN37:AQ37),1)=ROUND(IS!AR37,1),"OK","ERROR")</f>
        <v>OK</v>
      </c>
    </row>
    <row r="38" spans="1:44" ht="14.25" customHeight="1" x14ac:dyDescent="0.25">
      <c r="A38" s="56" t="s">
        <v>38</v>
      </c>
      <c r="B38" s="76" t="s">
        <v>646</v>
      </c>
      <c r="D38" s="194"/>
      <c r="E38" s="194"/>
      <c r="F38" s="194"/>
      <c r="G38" s="194"/>
      <c r="H38" s="206" t="str">
        <f>IF(ROUND(SUM(IS!D38:G38),1)=ROUND(IS!H38,1),"OK","ERROR")</f>
        <v>OK</v>
      </c>
      <c r="I38" s="196"/>
      <c r="J38" s="194"/>
      <c r="K38" s="194"/>
      <c r="L38" s="194"/>
      <c r="M38" s="194"/>
      <c r="N38" s="206" t="str">
        <f>IF(ROUND(SUM(IS!J38:M38),1)=ROUND(IS!N38,1),"OK","ERROR")</f>
        <v>OK</v>
      </c>
      <c r="O38" s="196"/>
      <c r="P38" s="194"/>
      <c r="Q38" s="194"/>
      <c r="R38" s="194"/>
      <c r="S38" s="194"/>
      <c r="T38" s="206" t="str">
        <f>IF(ROUND(SUM(IS!P38:S38),1)=ROUND(IS!T38,1),"OK","ERROR")</f>
        <v>OK</v>
      </c>
      <c r="U38" s="196"/>
      <c r="V38" s="194"/>
      <c r="W38" s="194"/>
      <c r="X38" s="194"/>
      <c r="Y38" s="194"/>
      <c r="Z38" s="206" t="str">
        <f>IF(ROUND(SUM(IS!V38:Y38),1)=ROUND(IS!Z38,1),"OK","ERROR")</f>
        <v>OK</v>
      </c>
      <c r="AA38" s="199"/>
      <c r="AB38" s="194"/>
      <c r="AC38" s="194"/>
      <c r="AD38" s="194"/>
      <c r="AE38" s="194"/>
      <c r="AF38" s="206" t="str">
        <f>IF(ROUND(SUM(IS!AB38:AE38),1)=ROUND(IS!AF38,1),"OK","ERROR")</f>
        <v>OK</v>
      </c>
      <c r="AG38" s="197"/>
      <c r="AH38" s="194"/>
      <c r="AI38" s="194"/>
      <c r="AJ38" s="198"/>
      <c r="AK38" s="198"/>
      <c r="AL38" s="206" t="str">
        <f>IF(ROUND(SUM(IS!AH38:AK38),1)=ROUND(IS!AL38,1),"OK","ERROR")</f>
        <v>ERROR</v>
      </c>
      <c r="AM38" s="210"/>
      <c r="AN38" s="198"/>
      <c r="AO38" s="198"/>
      <c r="AP38" s="198"/>
      <c r="AQ38" s="198"/>
      <c r="AR38" s="206" t="str">
        <f>IF(ROUND(SUM(IS!AN38:AQ38),1)=ROUND(IS!AR38,1),"OK","ERROR")</f>
        <v>OK</v>
      </c>
    </row>
    <row r="39" spans="1:44" ht="14.25" customHeight="1" x14ac:dyDescent="0.25">
      <c r="A39" s="73"/>
      <c r="B39" s="76" t="s">
        <v>647</v>
      </c>
      <c r="D39" s="194"/>
      <c r="E39" s="194"/>
      <c r="F39" s="194"/>
      <c r="G39" s="194"/>
      <c r="H39" s="206" t="str">
        <f>IF(ROUND(SUM(IS!D39:G39),1)=ROUND(IS!H39,1),"OK","ERROR")</f>
        <v>OK</v>
      </c>
      <c r="I39" s="196"/>
      <c r="J39" s="194"/>
      <c r="K39" s="194"/>
      <c r="L39" s="194"/>
      <c r="M39" s="194"/>
      <c r="N39" s="206" t="str">
        <f>IF(ROUND(SUM(IS!J39:M39),1)=ROUND(IS!N39,1),"OK","ERROR")</f>
        <v>OK</v>
      </c>
      <c r="O39" s="196"/>
      <c r="P39" s="194"/>
      <c r="Q39" s="194"/>
      <c r="R39" s="194"/>
      <c r="S39" s="194"/>
      <c r="T39" s="206" t="str">
        <f>IF(ROUND(SUM(IS!P39:S39),1)=ROUND(IS!T39,1),"OK","ERROR")</f>
        <v>OK</v>
      </c>
      <c r="U39" s="196"/>
      <c r="V39" s="194"/>
      <c r="W39" s="194"/>
      <c r="X39" s="194"/>
      <c r="Y39" s="194"/>
      <c r="Z39" s="206" t="str">
        <f>IF(ROUND(SUM(IS!V39:Y39),1)=ROUND(IS!Z39,1),"OK","ERROR")</f>
        <v>OK</v>
      </c>
      <c r="AA39" s="214"/>
      <c r="AB39" s="194"/>
      <c r="AC39" s="194"/>
      <c r="AD39" s="194"/>
      <c r="AE39" s="194"/>
      <c r="AF39" s="206" t="str">
        <f>IF(ROUND(SUM(IS!AB39:AE39),1)=ROUND(IS!AF39,1),"OK","ERROR")</f>
        <v>OK</v>
      </c>
      <c r="AG39" s="215"/>
      <c r="AH39" s="194"/>
      <c r="AI39" s="194"/>
      <c r="AJ39" s="198"/>
      <c r="AK39" s="198"/>
      <c r="AL39" s="206" t="str">
        <f>IF(ROUND(SUM(IS!AH39:AK39),1)=ROUND(IS!AL39,1),"OK","ERROR")</f>
        <v>OK</v>
      </c>
      <c r="AM39" s="214"/>
      <c r="AN39" s="198"/>
      <c r="AO39" s="198"/>
      <c r="AP39" s="198"/>
      <c r="AQ39" s="198"/>
      <c r="AR39" s="206" t="str">
        <f>IF(ROUND(SUM(IS!AN39:AQ39),1)=ROUND(IS!AR39,1),"OK","ERROR")</f>
        <v>OK</v>
      </c>
    </row>
    <row r="40" spans="1:44" ht="14.25" customHeight="1" x14ac:dyDescent="0.25">
      <c r="A40" s="56"/>
      <c r="B40" s="76" t="s">
        <v>648</v>
      </c>
      <c r="D40" s="194"/>
      <c r="E40" s="194"/>
      <c r="F40" s="194"/>
      <c r="G40" s="194"/>
      <c r="H40" s="212" t="str">
        <f>IF(ROUND(SUM(IS!D40:G40),1)=ROUND(IS!H40,1),"OK","ERROR")</f>
        <v>OK</v>
      </c>
      <c r="I40" s="196"/>
      <c r="J40" s="194"/>
      <c r="K40" s="194"/>
      <c r="L40" s="194"/>
      <c r="M40" s="194"/>
      <c r="N40" s="212" t="str">
        <f>IF(ROUND(SUM(IS!J40:M40),1)=ROUND(IS!N40,1),"OK","ERROR")</f>
        <v>ERROR</v>
      </c>
      <c r="O40" s="196"/>
      <c r="P40" s="194"/>
      <c r="Q40" s="194"/>
      <c r="R40" s="194"/>
      <c r="S40" s="194"/>
      <c r="T40" s="212" t="str">
        <f>IF(ROUND(SUM(IS!P40:S40),1)=ROUND(IS!T40,1),"OK","ERROR")</f>
        <v>ERROR</v>
      </c>
      <c r="U40" s="196"/>
      <c r="V40" s="194"/>
      <c r="W40" s="194"/>
      <c r="X40" s="194"/>
      <c r="Y40" s="194"/>
      <c r="Z40" s="212" t="str">
        <f>IF(ROUND(SUM(IS!V40:Y40),1)=ROUND(IS!Z40,1),"OK","ERROR")</f>
        <v>ERROR</v>
      </c>
      <c r="AA40" s="199"/>
      <c r="AB40" s="194"/>
      <c r="AC40" s="194"/>
      <c r="AD40" s="194"/>
      <c r="AE40" s="194"/>
      <c r="AF40" s="212" t="str">
        <f>IF(ROUND(SUM(IS!AB40:AE40),1)=ROUND(IS!AF40,1),"OK","ERROR")</f>
        <v>ERROR</v>
      </c>
      <c r="AG40" s="197"/>
      <c r="AH40" s="194"/>
      <c r="AI40" s="194"/>
      <c r="AJ40" s="198"/>
      <c r="AK40" s="198"/>
      <c r="AL40" s="212" t="str">
        <f>IF(ROUND(SUM(IS!AH40:AK40),1)=ROUND(IS!AL40,1),"OK","ERROR")</f>
        <v>ERROR</v>
      </c>
      <c r="AM40" s="199"/>
      <c r="AN40" s="198"/>
      <c r="AO40" s="198"/>
      <c r="AP40" s="198"/>
      <c r="AQ40" s="198"/>
      <c r="AR40" s="212" t="str">
        <f>IF(ROUND(SUM(IS!AN40:AQ40),1)=ROUND(IS!AR40,1),"OK","ERROR")</f>
        <v>OK</v>
      </c>
    </row>
    <row r="41" spans="1:44" ht="14.25" customHeight="1" x14ac:dyDescent="0.25">
      <c r="A41" s="73"/>
      <c r="B41" s="79" t="s">
        <v>649</v>
      </c>
      <c r="D41" s="194"/>
      <c r="E41" s="194"/>
      <c r="F41" s="194"/>
      <c r="G41" s="194"/>
      <c r="H41" s="213" t="str">
        <f>IF(ROUND(SUM(IS!D41:G41),1)=ROUND(IS!H41,1),"OK","ERROR")</f>
        <v>OK</v>
      </c>
      <c r="I41" s="196"/>
      <c r="J41" s="194"/>
      <c r="K41" s="194"/>
      <c r="L41" s="194"/>
      <c r="M41" s="194"/>
      <c r="N41" s="213" t="str">
        <f>IF(ROUND(SUM(IS!J41:M41),1)=ROUND(IS!N41,1),"OK","ERROR")</f>
        <v>ERROR</v>
      </c>
      <c r="O41" s="196"/>
      <c r="P41" s="194"/>
      <c r="Q41" s="194"/>
      <c r="R41" s="194"/>
      <c r="S41" s="194"/>
      <c r="T41" s="213" t="str">
        <f>IF(ROUND(SUM(IS!P41:S41),1)=ROUND(IS!T41,1),"OK","ERROR")</f>
        <v>ERROR</v>
      </c>
      <c r="U41" s="196"/>
      <c r="V41" s="194"/>
      <c r="W41" s="194"/>
      <c r="X41" s="194"/>
      <c r="Y41" s="194"/>
      <c r="Z41" s="213" t="str">
        <f>IF(ROUND(SUM(IS!V41:Y41),1)=ROUND(IS!Z41,1),"OK","ERROR")</f>
        <v>ERROR</v>
      </c>
      <c r="AA41" s="218"/>
      <c r="AB41" s="194"/>
      <c r="AC41" s="194"/>
      <c r="AD41" s="194"/>
      <c r="AE41" s="194"/>
      <c r="AF41" s="213" t="str">
        <f>IF(ROUND(SUM(IS!AB41:AE41),1)=ROUND(IS!AF41,1),"OK","ERROR")</f>
        <v>ERROR</v>
      </c>
      <c r="AG41" s="215"/>
      <c r="AH41" s="194"/>
      <c r="AI41" s="194"/>
      <c r="AJ41" s="198"/>
      <c r="AK41" s="198"/>
      <c r="AL41" s="213" t="str">
        <f>IF(ROUND(SUM(IS!AH41:AK41),1)=ROUND(IS!AL41,1),"OK","ERROR")</f>
        <v>ERROR</v>
      </c>
      <c r="AM41" s="214"/>
      <c r="AN41" s="198"/>
      <c r="AO41" s="198"/>
      <c r="AP41" s="198"/>
      <c r="AQ41" s="198"/>
      <c r="AR41" s="213" t="str">
        <f>IF(ROUND(SUM(IS!AN41:AQ41),1)=ROUND(IS!AR41,1),"OK","ERROR")</f>
        <v>OK</v>
      </c>
    </row>
    <row r="42" spans="1:44" ht="14.25" customHeight="1" x14ac:dyDescent="0.25">
      <c r="A42" s="84"/>
      <c r="B42" s="89" t="s">
        <v>575</v>
      </c>
      <c r="D42" s="194"/>
      <c r="E42" s="194"/>
      <c r="F42" s="194"/>
      <c r="G42" s="194"/>
      <c r="H42" s="213" t="str">
        <f>IF(ROUND(SUM(IS!D42:G42),1)=ROUND(IS!H42,1),"OK","ERROR")</f>
        <v>OK</v>
      </c>
      <c r="I42" s="196"/>
      <c r="J42" s="194"/>
      <c r="K42" s="194"/>
      <c r="L42" s="194"/>
      <c r="M42" s="194"/>
      <c r="N42" s="213" t="str">
        <f>IF(ROUND(SUM(IS!J42:M42),1)=ROUND(IS!N42,1),"OK","ERROR")</f>
        <v>ERROR</v>
      </c>
      <c r="O42" s="196"/>
      <c r="P42" s="194"/>
      <c r="Q42" s="194"/>
      <c r="R42" s="194"/>
      <c r="S42" s="194"/>
      <c r="T42" s="213" t="str">
        <f>IF(ROUND(SUM(IS!P42:S42),1)=ROUND(IS!T42,1),"OK","ERROR")</f>
        <v>ERROR</v>
      </c>
      <c r="U42" s="196"/>
      <c r="V42" s="194"/>
      <c r="W42" s="194"/>
      <c r="X42" s="194"/>
      <c r="Y42" s="194"/>
      <c r="Z42" s="213" t="str">
        <f>IF(ROUND(SUM(IS!V42:Y42),1)=ROUND(IS!Z42,1),"OK","ERROR")</f>
        <v>ERROR</v>
      </c>
      <c r="AA42" s="199"/>
      <c r="AB42" s="194"/>
      <c r="AC42" s="194"/>
      <c r="AD42" s="194"/>
      <c r="AE42" s="194"/>
      <c r="AF42" s="213" t="str">
        <f>IF(ROUND(SUM(IS!AB42:AE42),1)=ROUND(IS!AF42,1),"OK","ERROR")</f>
        <v>ERROR</v>
      </c>
      <c r="AG42" s="197"/>
      <c r="AH42" s="194"/>
      <c r="AI42" s="194"/>
      <c r="AJ42" s="198"/>
      <c r="AK42" s="198"/>
      <c r="AL42" s="213" t="str">
        <f>IF(ROUND(SUM(IS!AH42:AK42),1)=ROUND(IS!AL42,1),"OK","ERROR")</f>
        <v>ERROR</v>
      </c>
      <c r="AM42" s="199"/>
      <c r="AN42" s="198"/>
      <c r="AO42" s="198"/>
      <c r="AP42" s="198"/>
      <c r="AQ42" s="198"/>
      <c r="AR42" s="213" t="str">
        <f>IF(ROUND(SUM(IS!AN42:AQ42),1)=ROUND(IS!AR42,1),"OK","ERROR")</f>
        <v>OK</v>
      </c>
    </row>
    <row r="43" spans="1:44" ht="14.25" customHeight="1" x14ac:dyDescent="0.25">
      <c r="A43" s="73"/>
      <c r="B43" s="76"/>
      <c r="D43" s="194"/>
      <c r="E43" s="194"/>
      <c r="F43" s="194"/>
      <c r="G43" s="194"/>
      <c r="H43" s="206"/>
      <c r="I43" s="196"/>
      <c r="J43" s="194"/>
      <c r="K43" s="194"/>
      <c r="L43" s="194"/>
      <c r="M43" s="194"/>
      <c r="N43" s="206"/>
      <c r="O43" s="196"/>
      <c r="P43" s="194"/>
      <c r="Q43" s="194"/>
      <c r="R43" s="194"/>
      <c r="S43" s="194"/>
      <c r="T43" s="206"/>
      <c r="U43" s="196"/>
      <c r="V43" s="194"/>
      <c r="W43" s="194"/>
      <c r="X43" s="194"/>
      <c r="Y43" s="194"/>
      <c r="Z43" s="206"/>
      <c r="AA43" s="199"/>
      <c r="AB43" s="194"/>
      <c r="AC43" s="194"/>
      <c r="AD43" s="194"/>
      <c r="AE43" s="194"/>
      <c r="AF43" s="206"/>
      <c r="AG43" s="197"/>
      <c r="AH43" s="194"/>
      <c r="AI43" s="194"/>
      <c r="AJ43" s="198"/>
      <c r="AK43" s="198"/>
      <c r="AL43" s="206"/>
      <c r="AM43" s="199"/>
      <c r="AN43" s="198"/>
      <c r="AO43" s="198"/>
      <c r="AP43" s="198"/>
      <c r="AQ43" s="198"/>
      <c r="AR43" s="206"/>
    </row>
    <row r="44" spans="1:44" ht="14.25" customHeight="1" x14ac:dyDescent="0.25">
      <c r="A44" s="45" t="s">
        <v>38</v>
      </c>
      <c r="B44" s="65" t="s">
        <v>650</v>
      </c>
      <c r="D44" s="194"/>
      <c r="E44" s="194"/>
      <c r="F44" s="194"/>
      <c r="G44" s="194"/>
      <c r="H44" s="206"/>
      <c r="I44" s="196"/>
      <c r="J44" s="194"/>
      <c r="K44" s="194"/>
      <c r="L44" s="194"/>
      <c r="M44" s="194"/>
      <c r="N44" s="206"/>
      <c r="O44" s="196"/>
      <c r="P44" s="194"/>
      <c r="Q44" s="194"/>
      <c r="R44" s="194"/>
      <c r="S44" s="194"/>
      <c r="T44" s="206"/>
      <c r="U44" s="196"/>
      <c r="V44" s="194"/>
      <c r="W44" s="194"/>
      <c r="X44" s="194"/>
      <c r="Y44" s="194"/>
      <c r="Z44" s="206"/>
      <c r="AA44" s="199"/>
      <c r="AB44" s="194"/>
      <c r="AC44" s="194"/>
      <c r="AD44" s="194"/>
      <c r="AE44" s="194"/>
      <c r="AF44" s="206"/>
      <c r="AG44" s="197"/>
      <c r="AH44" s="194"/>
      <c r="AI44" s="194"/>
      <c r="AJ44" s="198"/>
      <c r="AK44" s="198"/>
      <c r="AL44" s="206"/>
      <c r="AM44" s="199"/>
      <c r="AN44" s="198"/>
      <c r="AO44" s="198"/>
      <c r="AP44" s="198"/>
      <c r="AQ44" s="198"/>
      <c r="AR44" s="206"/>
    </row>
    <row r="45" spans="1:44" ht="14.25" customHeight="1" x14ac:dyDescent="0.25">
      <c r="A45" s="84"/>
      <c r="B45" s="70" t="s">
        <v>576</v>
      </c>
      <c r="D45" s="194"/>
      <c r="E45" s="194"/>
      <c r="F45" s="194"/>
      <c r="G45" s="194"/>
      <c r="H45" s="206" t="str">
        <f>IF(ROUND(SUM(IS!D45:G45),1)=ROUND(IS!H45,1),"OK","ERROR")</f>
        <v>OK</v>
      </c>
      <c r="I45" s="196"/>
      <c r="J45" s="194"/>
      <c r="K45" s="194"/>
      <c r="L45" s="194"/>
      <c r="M45" s="194"/>
      <c r="N45" s="206" t="str">
        <f>IF(ROUND(SUM(IS!J45:M45),1)=ROUND(IS!N45,1),"OK","ERROR")</f>
        <v>ERROR</v>
      </c>
      <c r="O45" s="196"/>
      <c r="P45" s="194"/>
      <c r="Q45" s="194"/>
      <c r="R45" s="194"/>
      <c r="S45" s="194"/>
      <c r="T45" s="206" t="str">
        <f>IF(ROUND(SUM(IS!P45:S45),1)=ROUND(IS!T45,1),"OK","ERROR")</f>
        <v>ERROR</v>
      </c>
      <c r="U45" s="196"/>
      <c r="V45" s="194"/>
      <c r="W45" s="194"/>
      <c r="X45" s="194"/>
      <c r="Y45" s="194"/>
      <c r="Z45" s="206" t="str">
        <f>IF(ROUND(SUM(IS!V45:Y45),1)=ROUND(IS!Z45,1),"OK","ERROR")</f>
        <v>ERROR</v>
      </c>
      <c r="AA45" s="210"/>
      <c r="AB45" s="194"/>
      <c r="AC45" s="194"/>
      <c r="AD45" s="194"/>
      <c r="AE45" s="194"/>
      <c r="AF45" s="206" t="str">
        <f>IF(ROUND(SUM(IS!AB45:AE45),1)=ROUND(IS!AF45,1),"OK","ERROR")</f>
        <v>ERROR</v>
      </c>
      <c r="AG45" s="197"/>
      <c r="AH45" s="194"/>
      <c r="AI45" s="194"/>
      <c r="AJ45" s="198"/>
      <c r="AK45" s="198"/>
      <c r="AL45" s="206" t="str">
        <f>IF(ROUND(SUM(IS!AH45:AK45),1)=ROUND(IS!AL45,1),"OK","ERROR")</f>
        <v>ERROR</v>
      </c>
      <c r="AM45" s="221"/>
      <c r="AN45" s="198"/>
      <c r="AO45" s="198"/>
      <c r="AP45" s="198"/>
      <c r="AQ45" s="198"/>
      <c r="AR45" s="206" t="str">
        <f>IF(ROUND(SUM(IS!AN45:AQ45),1)=ROUND(IS!AR45,1),"OK","ERROR")</f>
        <v>OK</v>
      </c>
    </row>
    <row r="46" spans="1:44" ht="14.25" customHeight="1" x14ac:dyDescent="0.25">
      <c r="A46" s="84"/>
      <c r="B46" s="70" t="s">
        <v>651</v>
      </c>
      <c r="D46" s="194"/>
      <c r="E46" s="194"/>
      <c r="F46" s="194"/>
      <c r="G46" s="194"/>
      <c r="H46" s="206" t="str">
        <f>IF(ROUND(SUM(IS!D46:G46),1)=ROUND(IS!H46,1),"OK","ERROR")</f>
        <v>OK</v>
      </c>
      <c r="I46" s="196"/>
      <c r="J46" s="194"/>
      <c r="K46" s="194"/>
      <c r="L46" s="194"/>
      <c r="M46" s="194"/>
      <c r="N46" s="206" t="str">
        <f>IF(ROUND(SUM(IS!J46:M46),1)=ROUND(IS!N46,1),"OK","ERROR")</f>
        <v>OK</v>
      </c>
      <c r="O46" s="196"/>
      <c r="P46" s="194"/>
      <c r="Q46" s="194"/>
      <c r="R46" s="194"/>
      <c r="S46" s="194"/>
      <c r="T46" s="206" t="str">
        <f>IF(ROUND(SUM(IS!P46:S46),1)=ROUND(IS!T46,1),"OK","ERROR")</f>
        <v>OK</v>
      </c>
      <c r="U46" s="196"/>
      <c r="V46" s="194"/>
      <c r="W46" s="194"/>
      <c r="X46" s="194"/>
      <c r="Y46" s="194"/>
      <c r="Z46" s="206" t="str">
        <f>IF(ROUND(SUM(IS!V46:Y46),1)=ROUND(IS!Z46,1),"OK","ERROR")</f>
        <v>OK</v>
      </c>
      <c r="AA46" s="199"/>
      <c r="AB46" s="194"/>
      <c r="AC46" s="194"/>
      <c r="AD46" s="194"/>
      <c r="AE46" s="194"/>
      <c r="AF46" s="206" t="str">
        <f>IF(ROUND(SUM(IS!AB46:AE46),1)=ROUND(IS!AF46,1),"OK","ERROR")</f>
        <v>OK</v>
      </c>
      <c r="AG46" s="197"/>
      <c r="AH46" s="194"/>
      <c r="AI46" s="194"/>
      <c r="AJ46" s="198"/>
      <c r="AK46" s="198"/>
      <c r="AL46" s="206" t="str">
        <f>IF(ROUND(SUM(IS!AH46:AK46),1)=ROUND(IS!AL46,1),"OK","ERROR")</f>
        <v>OK</v>
      </c>
      <c r="AM46" s="222"/>
      <c r="AN46" s="198"/>
      <c r="AO46" s="198"/>
      <c r="AP46" s="198"/>
      <c r="AQ46" s="198"/>
      <c r="AR46" s="206" t="str">
        <f>IF(ROUND(SUM(IS!AN46:AQ46),1)=ROUND(IS!AR46,1),"OK","ERROR")</f>
        <v>OK</v>
      </c>
    </row>
    <row r="47" spans="1:44" ht="14.25" customHeight="1" thickBot="1" x14ac:dyDescent="0.3">
      <c r="A47" s="73"/>
      <c r="B47" s="70" t="s">
        <v>652</v>
      </c>
      <c r="D47" s="194"/>
      <c r="E47" s="194"/>
      <c r="F47" s="194"/>
      <c r="G47" s="194"/>
      <c r="H47" s="223" t="str">
        <f>IF(ROUND(SUM(IS!D47:G47),1)=ROUND(IS!H47,1),"OK","ERROR")</f>
        <v>OK</v>
      </c>
      <c r="I47" s="196"/>
      <c r="J47" s="194"/>
      <c r="K47" s="194"/>
      <c r="L47" s="194"/>
      <c r="M47" s="194"/>
      <c r="N47" s="223" t="str">
        <f>IF(ROUND(SUM(IS!J47:M47),1)=ROUND(IS!N47,1),"OK","ERROR")</f>
        <v>ERROR</v>
      </c>
      <c r="O47" s="196"/>
      <c r="P47" s="194"/>
      <c r="Q47" s="194"/>
      <c r="R47" s="194"/>
      <c r="S47" s="194"/>
      <c r="T47" s="223" t="str">
        <f>IF(ROUND(SUM(IS!P47:S47),1)=ROUND(IS!T47,1),"OK","ERROR")</f>
        <v>ERROR</v>
      </c>
      <c r="U47" s="196"/>
      <c r="V47" s="194"/>
      <c r="W47" s="194"/>
      <c r="X47" s="194"/>
      <c r="Y47" s="194"/>
      <c r="Z47" s="223" t="str">
        <f>IF(ROUND(SUM(IS!V47:Y47),1)=ROUND(IS!Z47,1),"OK","ERROR")</f>
        <v>ERROR</v>
      </c>
      <c r="AA47" s="199"/>
      <c r="AB47" s="194"/>
      <c r="AC47" s="194"/>
      <c r="AD47" s="194"/>
      <c r="AE47" s="194"/>
      <c r="AF47" s="223" t="str">
        <f>IF(ROUND(SUM(IS!AB47:AE47),1)=ROUND(IS!AF47,1),"OK","ERROR")</f>
        <v>ERROR</v>
      </c>
      <c r="AG47" s="197"/>
      <c r="AH47" s="194"/>
      <c r="AI47" s="194"/>
      <c r="AJ47" s="198"/>
      <c r="AK47" s="198"/>
      <c r="AL47" s="223" t="str">
        <f>IF(ROUND(SUM(IS!AH47:AK47),1)=ROUND(IS!AL47,1),"OK","ERROR")</f>
        <v>ERROR</v>
      </c>
      <c r="AM47" s="222"/>
      <c r="AN47" s="198"/>
      <c r="AO47" s="198"/>
      <c r="AP47" s="198"/>
      <c r="AQ47" s="198"/>
      <c r="AR47" s="223" t="str">
        <f>IF(ROUND(SUM(IS!AN47:AQ47),1)=ROUND(IS!AR47,1),"OK","ERROR")</f>
        <v>OK</v>
      </c>
    </row>
    <row r="49" spans="1:50" ht="14.25" customHeight="1" x14ac:dyDescent="0.25">
      <c r="A49" s="45" t="s">
        <v>38</v>
      </c>
      <c r="B49" s="65" t="s">
        <v>653</v>
      </c>
      <c r="D49" s="194"/>
      <c r="E49" s="194"/>
      <c r="F49" s="194"/>
      <c r="G49" s="194"/>
      <c r="H49" s="206"/>
      <c r="I49" s="196"/>
      <c r="J49" s="194"/>
      <c r="K49" s="194"/>
      <c r="L49" s="194"/>
      <c r="M49" s="194"/>
      <c r="N49" s="206"/>
      <c r="O49" s="196"/>
      <c r="P49" s="194"/>
      <c r="Q49" s="194"/>
      <c r="R49" s="194"/>
      <c r="S49" s="194"/>
      <c r="T49" s="206"/>
      <c r="U49" s="196"/>
      <c r="V49" s="194"/>
      <c r="W49" s="194"/>
      <c r="X49" s="194"/>
      <c r="Y49" s="194"/>
      <c r="Z49" s="206"/>
      <c r="AA49" s="196"/>
      <c r="AB49" s="194"/>
      <c r="AC49" s="194"/>
      <c r="AD49" s="194"/>
      <c r="AE49" s="194"/>
      <c r="AF49" s="206"/>
      <c r="AG49" s="224"/>
      <c r="AH49" s="194"/>
      <c r="AI49" s="194"/>
      <c r="AJ49" s="198"/>
      <c r="AK49" s="198"/>
      <c r="AL49" s="206"/>
      <c r="AM49" s="196"/>
      <c r="AN49" s="198"/>
      <c r="AO49" s="198"/>
      <c r="AP49" s="198"/>
      <c r="AQ49" s="198"/>
      <c r="AR49" s="206"/>
      <c r="AS49" s="196"/>
      <c r="AT49" s="206"/>
      <c r="AU49" s="225"/>
      <c r="AV49" s="206"/>
      <c r="AW49" s="225"/>
      <c r="AX49" s="206"/>
    </row>
    <row r="50" spans="1:50" ht="14.25" customHeight="1" x14ac:dyDescent="0.25">
      <c r="A50" s="73"/>
      <c r="B50" s="70" t="s">
        <v>654</v>
      </c>
      <c r="D50" s="194"/>
      <c r="E50" s="194"/>
      <c r="F50" s="194"/>
      <c r="G50" s="194"/>
      <c r="H50" s="206" t="str">
        <f>IF(ROUND(SUM(IS!D50:G50),1)=ROUND(IS!H50,1),"OK","ERROR")</f>
        <v>OK</v>
      </c>
      <c r="I50" s="196"/>
      <c r="J50" s="194"/>
      <c r="K50" s="194"/>
      <c r="L50" s="194"/>
      <c r="M50" s="194"/>
      <c r="N50" s="206" t="str">
        <f>IF(ROUND(SUM(IS!J50:M50),1)=ROUND(IS!N50,1),"OK","ERROR")</f>
        <v>OK</v>
      </c>
      <c r="O50" s="196"/>
      <c r="P50" s="194"/>
      <c r="Q50" s="194"/>
      <c r="R50" s="194"/>
      <c r="S50" s="194"/>
      <c r="T50" s="206" t="str">
        <f>IF(ROUND(SUM(IS!P50:S50),1)=ROUND(IS!T50,1),"OK","ERROR")</f>
        <v>OK</v>
      </c>
      <c r="U50" s="196"/>
      <c r="V50" s="194"/>
      <c r="W50" s="194"/>
      <c r="X50" s="194"/>
      <c r="Y50" s="194"/>
      <c r="Z50" s="206" t="str">
        <f>IF(ROUND(SUM(IS!V50:Y50),1)=ROUND(IS!Z50,1),"OK","ERROR")</f>
        <v>OK</v>
      </c>
      <c r="AA50" s="214"/>
      <c r="AB50" s="194"/>
      <c r="AC50" s="194"/>
      <c r="AD50" s="194"/>
      <c r="AE50" s="194"/>
      <c r="AF50" s="206" t="str">
        <f>IF(ROUND(SUM(IS!AB50:AE50),1)=ROUND(IS!AF50,1),"OK","ERROR")</f>
        <v>OK</v>
      </c>
      <c r="AG50" s="215"/>
      <c r="AH50" s="194"/>
      <c r="AI50" s="194"/>
      <c r="AJ50" s="198"/>
      <c r="AK50" s="198"/>
      <c r="AL50" s="206" t="str">
        <f>IF(ROUND(SUM(IS!AH50:AK50),1)=ROUND(IS!AL50,1),"OK","ERROR")</f>
        <v>OK</v>
      </c>
      <c r="AM50" s="214"/>
      <c r="AN50" s="198"/>
      <c r="AO50" s="198"/>
      <c r="AP50" s="198"/>
      <c r="AQ50" s="198"/>
      <c r="AR50" s="206" t="str">
        <f>IF(ROUND(SUM(IS!AN50:AQ50),1)=ROUND(IS!AR50,1),"OK","ERROR")</f>
        <v>OK</v>
      </c>
      <c r="AS50" s="214"/>
      <c r="AT50" s="206"/>
      <c r="AU50" s="216"/>
      <c r="AV50" s="206"/>
      <c r="AW50" s="216"/>
      <c r="AX50" s="206"/>
    </row>
    <row r="51" spans="1:50" ht="14.25" customHeight="1" x14ac:dyDescent="0.25">
      <c r="A51" s="56"/>
      <c r="B51" s="70" t="s">
        <v>655</v>
      </c>
      <c r="D51" s="194"/>
      <c r="E51" s="194"/>
      <c r="F51" s="194"/>
      <c r="G51" s="194"/>
      <c r="H51" s="212" t="str">
        <f>IF(ROUND(SUM(IS!D51:G51),1)=ROUND(IS!H51,1),"OK","ERROR")</f>
        <v>OK</v>
      </c>
      <c r="I51" s="196"/>
      <c r="J51" s="194"/>
      <c r="K51" s="194"/>
      <c r="L51" s="194"/>
      <c r="M51" s="194"/>
      <c r="N51" s="212" t="str">
        <f>IF(ROUND(SUM(IS!J51:M51),1)=ROUND(IS!N51,1),"OK","ERROR")</f>
        <v>OK</v>
      </c>
      <c r="O51" s="196"/>
      <c r="P51" s="194"/>
      <c r="Q51" s="194"/>
      <c r="R51" s="194"/>
      <c r="S51" s="194"/>
      <c r="T51" s="212" t="str">
        <f>IF(ROUND(SUM(IS!P51:S51),1)=ROUND(IS!T51,1),"OK","ERROR")</f>
        <v>OK</v>
      </c>
      <c r="U51" s="196"/>
      <c r="V51" s="194"/>
      <c r="W51" s="194"/>
      <c r="X51" s="194"/>
      <c r="Y51" s="194"/>
      <c r="Z51" s="212" t="str">
        <f>IF(ROUND(SUM(IS!V51:Y51),1)=ROUND(IS!Z51,1),"OK","ERROR")</f>
        <v>OK</v>
      </c>
      <c r="AA51" s="196"/>
      <c r="AB51" s="194"/>
      <c r="AC51" s="194"/>
      <c r="AD51" s="194"/>
      <c r="AE51" s="194"/>
      <c r="AF51" s="212" t="str">
        <f>IF(ROUND(SUM(IS!AB51:AE51),1)=ROUND(IS!AF51,1),"OK","ERROR")</f>
        <v>OK</v>
      </c>
      <c r="AG51" s="224"/>
      <c r="AH51" s="194"/>
      <c r="AI51" s="194"/>
      <c r="AJ51" s="198"/>
      <c r="AK51" s="198"/>
      <c r="AL51" s="212" t="str">
        <f>IF(ROUND(SUM(IS!AH51:AK51),1)=ROUND(IS!AL51,1),"OK","ERROR")</f>
        <v>ERROR</v>
      </c>
      <c r="AM51" s="196"/>
      <c r="AN51" s="198"/>
      <c r="AO51" s="198"/>
      <c r="AP51" s="198"/>
      <c r="AQ51" s="198"/>
      <c r="AR51" s="212" t="str">
        <f>IF(ROUND(SUM(IS!AN51:AQ51),1)=ROUND(IS!AR51,1),"OK","ERROR")</f>
        <v>OK</v>
      </c>
      <c r="AS51" s="196"/>
      <c r="AT51" s="212"/>
      <c r="AU51" s="225"/>
      <c r="AV51" s="212"/>
      <c r="AW51" s="225"/>
      <c r="AX51" s="212"/>
    </row>
    <row r="52" spans="1:50" ht="14.25" customHeight="1" thickBot="1" x14ac:dyDescent="0.3">
      <c r="A52" s="73"/>
      <c r="B52" s="76" t="s">
        <v>656</v>
      </c>
      <c r="D52" s="194"/>
      <c r="E52" s="194"/>
      <c r="F52" s="194"/>
      <c r="G52" s="194"/>
      <c r="H52" s="223" t="str">
        <f>IF(ROUND(SUM(IS!D52:G52),1)=ROUND(IS!H52,1),"OK","ERROR")</f>
        <v>OK</v>
      </c>
      <c r="I52" s="196"/>
      <c r="J52" s="194"/>
      <c r="K52" s="194"/>
      <c r="L52" s="194"/>
      <c r="M52" s="194"/>
      <c r="N52" s="223" t="str">
        <f>IF(ROUND(SUM(IS!J52:M52),1)=ROUND(IS!N52,1),"OK","ERROR")</f>
        <v>ERROR</v>
      </c>
      <c r="O52" s="196"/>
      <c r="P52" s="194"/>
      <c r="Q52" s="194"/>
      <c r="R52" s="194"/>
      <c r="S52" s="194"/>
      <c r="T52" s="223" t="str">
        <f>IF(ROUND(SUM(IS!P52:S52),1)=ROUND(IS!T52,1),"OK","ERROR")</f>
        <v>ERROR</v>
      </c>
      <c r="U52" s="196"/>
      <c r="V52" s="194"/>
      <c r="W52" s="194"/>
      <c r="X52" s="194"/>
      <c r="Y52" s="194"/>
      <c r="Z52" s="223" t="str">
        <f>IF(ROUND(SUM(IS!V52:Y52),1)=ROUND(IS!Z52,1),"OK","ERROR")</f>
        <v>ERROR</v>
      </c>
      <c r="AA52" s="196"/>
      <c r="AB52" s="194"/>
      <c r="AC52" s="194"/>
      <c r="AD52" s="194"/>
      <c r="AE52" s="194"/>
      <c r="AF52" s="223" t="str">
        <f>IF(ROUND(SUM(IS!AB52:AE52),1)=ROUND(IS!AF52,1),"OK","ERROR")</f>
        <v>ERROR</v>
      </c>
      <c r="AG52" s="224"/>
      <c r="AH52" s="194"/>
      <c r="AI52" s="194"/>
      <c r="AJ52" s="198"/>
      <c r="AK52" s="198"/>
      <c r="AL52" s="223" t="str">
        <f>IF(ROUND(SUM(IS!AH52:AK52),1)=ROUND(IS!AL52,1),"OK","ERROR")</f>
        <v>ERROR</v>
      </c>
      <c r="AM52" s="196"/>
      <c r="AN52" s="198"/>
      <c r="AO52" s="198"/>
      <c r="AP52" s="198"/>
      <c r="AQ52" s="198"/>
      <c r="AR52" s="223" t="str">
        <f>IF(ROUND(SUM(IS!AN52:AQ52),1)=ROUND(IS!AR52,1),"OK","ERROR")</f>
        <v>OK</v>
      </c>
      <c r="AS52" s="196"/>
      <c r="AT52" s="223"/>
      <c r="AU52" s="225"/>
      <c r="AV52" s="223"/>
      <c r="AW52" s="225"/>
      <c r="AX52" s="223"/>
    </row>
    <row r="53" spans="1:50" ht="14.25" customHeight="1" thickTop="1" x14ac:dyDescent="0.25">
      <c r="A53" s="56"/>
      <c r="B53" s="193"/>
      <c r="D53" s="194"/>
      <c r="E53" s="194"/>
      <c r="F53" s="194"/>
      <c r="G53" s="194"/>
      <c r="H53" s="206"/>
      <c r="I53" s="196"/>
      <c r="J53" s="194"/>
      <c r="K53" s="194"/>
      <c r="L53" s="194"/>
      <c r="M53" s="194"/>
      <c r="N53" s="206"/>
      <c r="O53" s="196"/>
      <c r="P53" s="194"/>
      <c r="Q53" s="194"/>
      <c r="R53" s="194"/>
      <c r="S53" s="194"/>
      <c r="T53" s="206"/>
      <c r="U53" s="196"/>
      <c r="V53" s="194"/>
      <c r="W53" s="194"/>
      <c r="X53" s="194"/>
      <c r="Y53" s="194"/>
      <c r="Z53" s="206"/>
      <c r="AA53" s="196"/>
      <c r="AB53" s="194"/>
      <c r="AC53" s="194"/>
      <c r="AD53" s="194"/>
      <c r="AE53" s="194"/>
      <c r="AF53" s="206"/>
      <c r="AG53" s="224"/>
      <c r="AH53" s="194"/>
      <c r="AI53" s="194"/>
      <c r="AJ53" s="198"/>
      <c r="AK53" s="198"/>
      <c r="AL53" s="206"/>
      <c r="AM53" s="196"/>
      <c r="AN53" s="198"/>
      <c r="AO53" s="198"/>
      <c r="AP53" s="198"/>
      <c r="AQ53" s="198"/>
      <c r="AR53" s="206"/>
      <c r="AS53" s="196"/>
      <c r="AT53" s="206"/>
      <c r="AU53" s="225"/>
      <c r="AV53" s="206"/>
      <c r="AW53" s="225"/>
      <c r="AX53" s="206"/>
    </row>
    <row r="54" spans="1:50" ht="14.25" customHeight="1" x14ac:dyDescent="0.25">
      <c r="A54" s="45" t="s">
        <v>38</v>
      </c>
      <c r="B54" s="65" t="s">
        <v>657</v>
      </c>
      <c r="D54" s="194"/>
      <c r="E54" s="194"/>
      <c r="F54" s="194"/>
      <c r="G54" s="194"/>
      <c r="H54" s="206"/>
      <c r="I54" s="196"/>
      <c r="J54" s="194"/>
      <c r="K54" s="194"/>
      <c r="L54" s="194"/>
      <c r="M54" s="194"/>
      <c r="N54" s="206"/>
      <c r="O54" s="196"/>
      <c r="P54" s="194"/>
      <c r="Q54" s="194"/>
      <c r="R54" s="194"/>
      <c r="S54" s="194"/>
      <c r="T54" s="206"/>
      <c r="U54" s="196"/>
      <c r="V54" s="194"/>
      <c r="W54" s="194"/>
      <c r="X54" s="194"/>
      <c r="Y54" s="194"/>
      <c r="Z54" s="206"/>
      <c r="AA54" s="196"/>
      <c r="AB54" s="194"/>
      <c r="AC54" s="194"/>
      <c r="AD54" s="194"/>
      <c r="AE54" s="194"/>
      <c r="AF54" s="206"/>
      <c r="AG54" s="224"/>
      <c r="AH54" s="194"/>
      <c r="AI54" s="194"/>
      <c r="AJ54" s="198"/>
      <c r="AK54" s="198"/>
      <c r="AL54" s="206"/>
      <c r="AM54" s="196"/>
      <c r="AN54" s="198"/>
      <c r="AO54" s="198"/>
      <c r="AP54" s="198"/>
      <c r="AQ54" s="198"/>
      <c r="AR54" s="206"/>
      <c r="AS54" s="196"/>
      <c r="AT54" s="206"/>
      <c r="AU54" s="225"/>
      <c r="AV54" s="206"/>
      <c r="AW54" s="225"/>
      <c r="AX54" s="206"/>
    </row>
    <row r="55" spans="1:50" ht="14.25" customHeight="1" x14ac:dyDescent="0.25">
      <c r="A55" s="56"/>
      <c r="B55" s="76" t="s">
        <v>658</v>
      </c>
      <c r="D55" s="226"/>
      <c r="E55" s="226"/>
      <c r="F55" s="226"/>
      <c r="G55" s="226"/>
      <c r="H55" s="227" t="str">
        <f>IF(ROUND(AVERAGE(IS!D55:G55),0)-ROUND(IS!H55,0)&lt;0.01*ROUND(IS!H55,0),"OK","ERROR")</f>
        <v>ERROR</v>
      </c>
      <c r="I55" s="228"/>
      <c r="J55" s="226"/>
      <c r="K55" s="226"/>
      <c r="L55" s="226"/>
      <c r="M55" s="226"/>
      <c r="N55" s="227" t="str">
        <f>IF(ROUND(AVERAGE(IS!J55:M55),0)-ROUND(IS!N55,0)&lt;0.01*ROUND(IS!N55,0),"OK","ERROR")</f>
        <v>OK</v>
      </c>
      <c r="O55" s="228"/>
      <c r="P55" s="226"/>
      <c r="Q55" s="226"/>
      <c r="R55" s="226"/>
      <c r="S55" s="226"/>
      <c r="T55" s="227" t="str">
        <f>IF(ROUND(AVERAGE(IS!P55:S55),0)-ROUND(IS!T55,0)&lt;0.01*ROUND(IS!T55,0),"OK","ERROR")</f>
        <v>OK</v>
      </c>
      <c r="U55" s="228"/>
      <c r="V55" s="226"/>
      <c r="W55" s="226"/>
      <c r="X55" s="226"/>
      <c r="Y55" s="226"/>
      <c r="Z55" s="227" t="str">
        <f>IF(ROUND(AVERAGE(IS!V55:Y55),0)-ROUND(IS!Z55,0)&lt;0.01*ROUND(IS!Z55,0),"OK","ERROR")</f>
        <v>OK</v>
      </c>
      <c r="AA55" s="228"/>
      <c r="AB55" s="226"/>
      <c r="AC55" s="226"/>
      <c r="AD55" s="226"/>
      <c r="AE55" s="226"/>
      <c r="AF55" s="227" t="str">
        <f>IF(ROUND(AVERAGE(IS!AB55:AE55),0)-ROUND(IS!AF55,0)&lt;0.01*ROUND(IS!AF55,0),"OK","ERROR")</f>
        <v>OK</v>
      </c>
      <c r="AG55" s="229"/>
      <c r="AH55" s="226"/>
      <c r="AI55" s="226"/>
      <c r="AJ55" s="230"/>
      <c r="AK55" s="230"/>
      <c r="AL55" s="227" t="str">
        <f>IF(ROUND(AVERAGE(IS!AH55:AK55),0)-ROUND(IS!AL55,0)&lt;0.01*ROUND(IS!AL55,0),"OK","ERROR")</f>
        <v>ERROR</v>
      </c>
      <c r="AM55" s="228"/>
      <c r="AN55" s="230"/>
      <c r="AO55" s="230"/>
      <c r="AP55" s="230"/>
      <c r="AQ55" s="230"/>
      <c r="AR55" s="227" t="e">
        <f>IF(ROUND(AVERAGE(IS!AN55:AQ55),0)-ROUND(IS!AR55,0)&lt;0.01*ROUND(IS!AR55,0),"OK","ERROR")</f>
        <v>#DIV/0!</v>
      </c>
      <c r="AS55" s="228"/>
      <c r="AT55" s="227"/>
      <c r="AU55" s="231"/>
      <c r="AV55" s="227"/>
      <c r="AW55" s="231"/>
      <c r="AX55" s="227"/>
    </row>
    <row r="56" spans="1:50" ht="14.25" customHeight="1" x14ac:dyDescent="0.25">
      <c r="A56" s="73"/>
      <c r="B56" s="76" t="s">
        <v>659</v>
      </c>
      <c r="D56" s="226"/>
      <c r="E56" s="226"/>
      <c r="F56" s="226"/>
      <c r="G56" s="226"/>
      <c r="H56" s="227" t="str">
        <f>IF(ROUND(AVERAGE(IS!D56:G56),0)-ROUND(IS!H56,0)&lt;0.01*ROUND(IS!H56,0),"OK","ERROR")</f>
        <v>ERROR</v>
      </c>
      <c r="I56" s="228"/>
      <c r="J56" s="226"/>
      <c r="K56" s="226"/>
      <c r="L56" s="226"/>
      <c r="M56" s="226"/>
      <c r="N56" s="227" t="str">
        <f>IF(ROUND(AVERAGE(IS!J56:M56),0)-ROUND(IS!N56,0)&lt;0.01*ROUND(IS!N56,0),"OK","ERROR")</f>
        <v>OK</v>
      </c>
      <c r="O56" s="228"/>
      <c r="P56" s="226"/>
      <c r="Q56" s="226"/>
      <c r="R56" s="226"/>
      <c r="S56" s="226"/>
      <c r="T56" s="227" t="str">
        <f>IF(ROUND(AVERAGE(IS!P56:S56),0)-ROUND(IS!T56,0)&lt;0.01*ROUND(IS!T56,0),"OK","ERROR")</f>
        <v>OK</v>
      </c>
      <c r="U56" s="228"/>
      <c r="V56" s="226"/>
      <c r="W56" s="226"/>
      <c r="X56" s="226"/>
      <c r="Y56" s="226"/>
      <c r="Z56" s="227" t="str">
        <f>IF(ROUND(AVERAGE(IS!V56:Y56),0)-ROUND(IS!Z56,0)&lt;0.01*ROUND(IS!Z56,0),"OK","ERROR")</f>
        <v>OK</v>
      </c>
      <c r="AA56" s="228"/>
      <c r="AB56" s="226"/>
      <c r="AC56" s="226"/>
      <c r="AD56" s="226"/>
      <c r="AE56" s="226"/>
      <c r="AF56" s="227" t="str">
        <f>IF(ROUND(AVERAGE(IS!AB56:AE56),0)-ROUND(IS!AF56,0)&lt;0.01*ROUND(IS!AF56,0),"OK","ERROR")</f>
        <v>OK</v>
      </c>
      <c r="AG56" s="229"/>
      <c r="AH56" s="226"/>
      <c r="AI56" s="226"/>
      <c r="AJ56" s="230"/>
      <c r="AK56" s="230"/>
      <c r="AL56" s="227" t="str">
        <f>IF(ROUND(AVERAGE(IS!AH56:AK56),0)-ROUND(IS!AL56,0)&lt;0.01*ROUND(IS!AL56,0),"OK","ERROR")</f>
        <v>ERROR</v>
      </c>
      <c r="AM56" s="228"/>
      <c r="AN56" s="230"/>
      <c r="AO56" s="230"/>
      <c r="AP56" s="230"/>
      <c r="AQ56" s="230"/>
      <c r="AR56" s="227" t="e">
        <f>IF(ROUND(AVERAGE(IS!AN56:AQ56),0)-ROUND(IS!AR56,0)&lt;0.01*ROUND(IS!AR56,0),"OK","ERROR")</f>
        <v>#DIV/0!</v>
      </c>
      <c r="AS56" s="228"/>
      <c r="AT56" s="227"/>
      <c r="AU56" s="231"/>
      <c r="AV56" s="227"/>
      <c r="AW56" s="231"/>
      <c r="AX56" s="227"/>
    </row>
    <row r="57" spans="1:50" ht="14.25" customHeight="1" x14ac:dyDescent="0.25">
      <c r="A57" s="56"/>
      <c r="B57" s="193"/>
      <c r="D57" s="194"/>
      <c r="E57" s="194"/>
      <c r="F57" s="194"/>
      <c r="G57" s="194"/>
      <c r="H57" s="206"/>
      <c r="I57" s="196"/>
      <c r="J57" s="194"/>
      <c r="K57" s="194"/>
      <c r="L57" s="194"/>
      <c r="M57" s="194"/>
      <c r="N57" s="206"/>
      <c r="O57" s="196"/>
      <c r="P57" s="194"/>
      <c r="Q57" s="194"/>
      <c r="R57" s="194"/>
      <c r="S57" s="194"/>
      <c r="T57" s="206"/>
      <c r="U57" s="196"/>
      <c r="V57" s="194"/>
      <c r="W57" s="194"/>
      <c r="X57" s="194"/>
      <c r="Y57" s="194"/>
      <c r="Z57" s="206"/>
      <c r="AA57" s="196"/>
      <c r="AB57" s="194"/>
      <c r="AC57" s="194"/>
      <c r="AD57" s="194"/>
      <c r="AE57" s="194"/>
      <c r="AF57" s="206"/>
      <c r="AG57" s="224"/>
      <c r="AH57" s="194"/>
      <c r="AI57" s="194"/>
      <c r="AJ57" s="198"/>
      <c r="AK57" s="198"/>
      <c r="AL57" s="206"/>
      <c r="AM57" s="196"/>
      <c r="AN57" s="198"/>
      <c r="AO57" s="198"/>
      <c r="AP57" s="198"/>
      <c r="AQ57" s="198"/>
      <c r="AR57" s="206"/>
      <c r="AS57" s="196"/>
      <c r="AT57" s="206"/>
      <c r="AU57" s="225"/>
      <c r="AV57" s="206"/>
      <c r="AW57" s="225"/>
      <c r="AX57" s="206"/>
    </row>
    <row r="58" spans="1:50" ht="14.25" customHeight="1" x14ac:dyDescent="0.25">
      <c r="A58" s="45" t="s">
        <v>38</v>
      </c>
      <c r="B58" s="65" t="s">
        <v>660</v>
      </c>
      <c r="D58" s="194"/>
      <c r="E58" s="194"/>
      <c r="F58" s="194"/>
      <c r="G58" s="194"/>
      <c r="H58" s="206"/>
      <c r="I58" s="196"/>
      <c r="J58" s="194"/>
      <c r="K58" s="194"/>
      <c r="L58" s="194"/>
      <c r="M58" s="194"/>
      <c r="N58" s="206"/>
      <c r="O58" s="196"/>
      <c r="P58" s="194"/>
      <c r="Q58" s="194"/>
      <c r="R58" s="194"/>
      <c r="S58" s="194"/>
      <c r="T58" s="206"/>
      <c r="U58" s="196"/>
      <c r="V58" s="194"/>
      <c r="W58" s="194"/>
      <c r="X58" s="194"/>
      <c r="Y58" s="194"/>
      <c r="Z58" s="206"/>
      <c r="AA58" s="196"/>
      <c r="AB58" s="194"/>
      <c r="AC58" s="194"/>
      <c r="AD58" s="194"/>
      <c r="AE58" s="194"/>
      <c r="AF58" s="206"/>
      <c r="AG58" s="224"/>
      <c r="AH58" s="194"/>
      <c r="AI58" s="194"/>
      <c r="AJ58" s="198"/>
      <c r="AK58" s="198"/>
      <c r="AL58" s="206"/>
      <c r="AM58" s="196"/>
      <c r="AN58" s="198"/>
      <c r="AO58" s="198"/>
      <c r="AP58" s="198"/>
      <c r="AQ58" s="198"/>
      <c r="AR58" s="206"/>
      <c r="AS58" s="196"/>
      <c r="AT58" s="206"/>
      <c r="AU58" s="225"/>
      <c r="AV58" s="206"/>
      <c r="AW58" s="225"/>
      <c r="AX58" s="206"/>
    </row>
    <row r="59" spans="1:50" ht="14.25" customHeight="1" x14ac:dyDescent="0.25">
      <c r="B59" s="70" t="s">
        <v>661</v>
      </c>
      <c r="D59" s="194"/>
      <c r="E59" s="194"/>
      <c r="F59" s="194"/>
      <c r="G59" s="194"/>
      <c r="H59" s="206" t="str">
        <f>IF(ROUND(AVERAGE(IS!D59:G59),0)-ROUND(IS!H59,0)&lt;0.01*ROUND(IS!H59,0),"OK","ERROR")</f>
        <v>OK</v>
      </c>
      <c r="I59" s="196"/>
      <c r="J59" s="194"/>
      <c r="K59" s="194"/>
      <c r="L59" s="194"/>
      <c r="M59" s="194"/>
      <c r="N59" s="206" t="str">
        <f>IF(ROUND(AVERAGE(IS!J59:M59),0)-ROUND(IS!N59,0)&lt;0.01*ROUND(IS!N59,0),"OK","ERROR")</f>
        <v>OK</v>
      </c>
      <c r="O59" s="196"/>
      <c r="P59" s="194"/>
      <c r="Q59" s="194"/>
      <c r="R59" s="194"/>
      <c r="S59" s="194"/>
      <c r="T59" s="206" t="str">
        <f>IF(ROUND(AVERAGE(IS!P59:S59),0)-ROUND(IS!T59,0)&lt;0.01*ROUND(IS!T59,0),"OK","ERROR")</f>
        <v>OK</v>
      </c>
      <c r="U59" s="196"/>
      <c r="V59" s="194"/>
      <c r="W59" s="194"/>
      <c r="X59" s="194"/>
      <c r="Y59" s="194"/>
      <c r="Z59" s="206" t="str">
        <f>IF(ROUND(AVERAGE(IS!V59:Y59),0)-ROUND(IS!Z59,0)&lt;0.01*ROUND(IS!Z59,0),"OK","ERROR")</f>
        <v>OK</v>
      </c>
      <c r="AA59" s="196"/>
      <c r="AB59" s="194"/>
      <c r="AC59" s="194"/>
      <c r="AD59" s="194"/>
      <c r="AE59" s="194"/>
      <c r="AF59" s="206" t="str">
        <f>IF(ROUND(AVERAGE(IS!AB59:AE59),0)-ROUND(IS!AF59,0)&lt;0.01*ROUND(IS!AF59,0),"OK","ERROR")</f>
        <v>OK</v>
      </c>
      <c r="AG59" s="224"/>
      <c r="AH59" s="194"/>
      <c r="AI59" s="194"/>
      <c r="AJ59" s="198"/>
      <c r="AK59" s="198"/>
      <c r="AL59" s="206" t="str">
        <f>IF(ROUND(AVERAGE(IS!AH59:AK59),0)-ROUND(IS!AL59,0)&lt;0.01*ROUND(IS!AL59,0),"OK","ERROR")</f>
        <v>OK</v>
      </c>
      <c r="AM59" s="196"/>
      <c r="AN59" s="198"/>
      <c r="AO59" s="198"/>
      <c r="AP59" s="198"/>
      <c r="AQ59" s="198"/>
      <c r="AR59" s="206" t="str">
        <f>IF(ROUND(AVERAGE(IS!AN59:AQ59),0)-ROUND(IS!AR59,0)&lt;0.01*ROUND(IS!AR59,0),"OK","ERROR")</f>
        <v>OK</v>
      </c>
      <c r="AS59" s="196"/>
      <c r="AT59" s="206"/>
      <c r="AU59" s="225"/>
      <c r="AV59" s="206"/>
      <c r="AW59" s="225"/>
      <c r="AX59" s="206"/>
    </row>
    <row r="60" spans="1:50" ht="14.25" customHeight="1" x14ac:dyDescent="0.25">
      <c r="B60" s="70" t="s">
        <v>662</v>
      </c>
      <c r="D60" s="194"/>
      <c r="E60" s="194"/>
      <c r="F60" s="194"/>
      <c r="G60" s="194"/>
      <c r="H60" s="206" t="str">
        <f>IF(ROUND(AVERAGE(IS!D60:G60),0)-ROUND(IS!H60,0)&lt;0.01*ROUND(IS!H60,0),"OK","ERROR")</f>
        <v>OK</v>
      </c>
      <c r="I60" s="196"/>
      <c r="J60" s="194"/>
      <c r="K60" s="194"/>
      <c r="L60" s="194"/>
      <c r="M60" s="194"/>
      <c r="N60" s="206" t="str">
        <f>IF(ROUND(AVERAGE(IS!J60:M60),0)-ROUND(IS!N60,0)&lt;0.01*ROUND(IS!N60,0),"OK","ERROR")</f>
        <v>ERROR</v>
      </c>
      <c r="O60" s="196"/>
      <c r="P60" s="194"/>
      <c r="Q60" s="194"/>
      <c r="R60" s="194"/>
      <c r="S60" s="194"/>
      <c r="T60" s="206" t="str">
        <f>IF(ROUND(AVERAGE(IS!P60:S60),0)-ROUND(IS!T60,0)&lt;0.01*ROUND(IS!T60,0),"OK","ERROR")</f>
        <v>OK</v>
      </c>
      <c r="U60" s="196"/>
      <c r="V60" s="194"/>
      <c r="W60" s="194"/>
      <c r="X60" s="194"/>
      <c r="Y60" s="194"/>
      <c r="Z60" s="206" t="str">
        <f>IF(ROUND(AVERAGE(IS!V60:Y60),0)-ROUND(IS!Z60,0)&lt;0.01*ROUND(IS!Z60,0),"OK","ERROR")</f>
        <v>OK</v>
      </c>
      <c r="AA60" s="196"/>
      <c r="AB60" s="194"/>
      <c r="AC60" s="194"/>
      <c r="AD60" s="194"/>
      <c r="AE60" s="194"/>
      <c r="AF60" s="206" t="str">
        <f>IF(ROUND(AVERAGE(IS!AB60:AE60),0)-ROUND(IS!AF60,0)&lt;0.01*ROUND(IS!AF60,0),"OK","ERROR")</f>
        <v>ERROR</v>
      </c>
      <c r="AG60" s="224"/>
      <c r="AH60" s="194"/>
      <c r="AI60" s="194"/>
      <c r="AJ60" s="198"/>
      <c r="AK60" s="198"/>
      <c r="AL60" s="206" t="str">
        <f>IF(ROUND(AVERAGE(IS!AH60:AK60),0)-ROUND(IS!AL60,0)&lt;0.01*ROUND(IS!AL60,0),"OK","ERROR")</f>
        <v>OK</v>
      </c>
      <c r="AM60" s="196"/>
      <c r="AN60" s="198"/>
      <c r="AO60" s="198"/>
      <c r="AP60" s="198"/>
      <c r="AQ60" s="198"/>
      <c r="AR60" s="206" t="str">
        <f>IF(ROUND(AVERAGE(IS!AN60:AQ60),0)-ROUND(IS!AR60,0)&lt;0.01*ROUND(IS!AR60,0),"OK","ERROR")</f>
        <v>OK</v>
      </c>
      <c r="AS60" s="196"/>
      <c r="AT60" s="206"/>
      <c r="AU60" s="225"/>
      <c r="AV60" s="206"/>
      <c r="AW60" s="225"/>
      <c r="AX60" s="206"/>
    </row>
    <row r="62" spans="1:50" s="42" customFormat="1" ht="15" customHeight="1" x14ac:dyDescent="0.3">
      <c r="B62" s="147" t="s">
        <v>731</v>
      </c>
      <c r="C62" s="19"/>
      <c r="D62" s="188">
        <f>F62</f>
        <v>2020</v>
      </c>
      <c r="E62" s="188">
        <f>F62</f>
        <v>2020</v>
      </c>
      <c r="F62" s="188">
        <v>2020</v>
      </c>
      <c r="G62" s="188">
        <f>F62</f>
        <v>2020</v>
      </c>
      <c r="H62" s="188">
        <f>F62</f>
        <v>2020</v>
      </c>
      <c r="I62" s="19"/>
      <c r="J62" s="188">
        <f>L62</f>
        <v>2021</v>
      </c>
      <c r="K62" s="188">
        <f>L62</f>
        <v>2021</v>
      </c>
      <c r="L62" s="188">
        <v>2021</v>
      </c>
      <c r="M62" s="188">
        <f>L62</f>
        <v>2021</v>
      </c>
      <c r="N62" s="188">
        <f>L62</f>
        <v>2021</v>
      </c>
      <c r="O62" s="155"/>
      <c r="P62" s="188">
        <f>R62</f>
        <v>2022</v>
      </c>
      <c r="Q62" s="188">
        <f>R62</f>
        <v>2022</v>
      </c>
      <c r="R62" s="188">
        <v>2022</v>
      </c>
      <c r="S62" s="188">
        <f>R62</f>
        <v>2022</v>
      </c>
      <c r="T62" s="188">
        <f>R62</f>
        <v>2022</v>
      </c>
      <c r="U62" s="155"/>
      <c r="V62" s="188">
        <f>X62</f>
        <v>2023</v>
      </c>
      <c r="W62" s="188">
        <f>X62</f>
        <v>2023</v>
      </c>
      <c r="X62" s="188">
        <v>2023</v>
      </c>
      <c r="Y62" s="188">
        <f>X62</f>
        <v>2023</v>
      </c>
      <c r="Z62" s="188">
        <f>X62</f>
        <v>2023</v>
      </c>
      <c r="AA62" s="156"/>
      <c r="AB62" s="188">
        <f>AD62</f>
        <v>2024</v>
      </c>
      <c r="AC62" s="188">
        <f>AD62</f>
        <v>2024</v>
      </c>
      <c r="AD62" s="188">
        <v>2024</v>
      </c>
      <c r="AE62" s="188">
        <f>AD62</f>
        <v>2024</v>
      </c>
      <c r="AF62" s="188">
        <f>AD62</f>
        <v>2024</v>
      </c>
      <c r="AG62" s="156"/>
      <c r="AH62" s="188">
        <f>AJ62</f>
        <v>2025</v>
      </c>
      <c r="AI62" s="188">
        <f>AJ62</f>
        <v>2025</v>
      </c>
      <c r="AJ62" s="189">
        <v>2025</v>
      </c>
      <c r="AK62" s="188">
        <f>AJ62</f>
        <v>2025</v>
      </c>
      <c r="AL62" s="188">
        <f>AJ62</f>
        <v>2025</v>
      </c>
      <c r="AM62" s="157"/>
      <c r="AN62" s="188">
        <f>AP62</f>
        <v>2025</v>
      </c>
      <c r="AO62" s="188">
        <f>AP62</f>
        <v>2025</v>
      </c>
      <c r="AP62" s="189">
        <v>2025</v>
      </c>
      <c r="AQ62" s="188">
        <f>AP62</f>
        <v>2025</v>
      </c>
      <c r="AR62" s="188">
        <f>AP62</f>
        <v>2025</v>
      </c>
      <c r="AS62" s="19"/>
      <c r="AT62" s="148"/>
      <c r="AU62" s="19"/>
      <c r="AV62" s="149"/>
      <c r="AW62" s="19"/>
      <c r="AX62" s="149"/>
    </row>
    <row r="63" spans="1:50" s="42" customFormat="1" ht="15" customHeight="1" x14ac:dyDescent="0.3">
      <c r="B63" s="150"/>
      <c r="C63" s="19"/>
      <c r="D63" s="803">
        <v>2020</v>
      </c>
      <c r="E63" s="803"/>
      <c r="F63" s="803"/>
      <c r="G63" s="803"/>
      <c r="H63" s="803"/>
      <c r="I63" s="155"/>
      <c r="J63" s="803">
        <f>D63+1</f>
        <v>2021</v>
      </c>
      <c r="K63" s="803"/>
      <c r="L63" s="803"/>
      <c r="M63" s="803"/>
      <c r="N63" s="803"/>
      <c r="O63" s="155"/>
      <c r="P63" s="803">
        <f>J63+1</f>
        <v>2022</v>
      </c>
      <c r="Q63" s="803"/>
      <c r="R63" s="803"/>
      <c r="S63" s="803"/>
      <c r="T63" s="803"/>
      <c r="U63" s="155"/>
      <c r="V63" s="803">
        <f>P63+1</f>
        <v>2023</v>
      </c>
      <c r="W63" s="803"/>
      <c r="X63" s="803"/>
      <c r="Y63" s="803"/>
      <c r="Z63" s="803"/>
      <c r="AA63" s="155"/>
      <c r="AB63" s="803">
        <f>V63+1</f>
        <v>2024</v>
      </c>
      <c r="AC63" s="803"/>
      <c r="AD63" s="803"/>
      <c r="AE63" s="803"/>
      <c r="AF63" s="803"/>
      <c r="AG63" s="155"/>
      <c r="AH63" s="802">
        <f>AB63+1</f>
        <v>2025</v>
      </c>
      <c r="AI63" s="802"/>
      <c r="AJ63" s="802"/>
      <c r="AK63" s="802"/>
      <c r="AL63" s="802"/>
      <c r="AM63" s="155"/>
      <c r="AN63" s="802">
        <f>AH63+1</f>
        <v>2026</v>
      </c>
      <c r="AO63" s="802"/>
      <c r="AP63" s="802"/>
      <c r="AQ63" s="802"/>
      <c r="AR63" s="802"/>
      <c r="AS63" s="157"/>
      <c r="AT63" s="152">
        <f>AN63+1</f>
        <v>2027</v>
      </c>
      <c r="AU63" s="153"/>
      <c r="AV63" s="152">
        <f>+AT63+1</f>
        <v>2028</v>
      </c>
      <c r="AW63" s="153"/>
      <c r="AX63" s="152">
        <f>+AV63+1</f>
        <v>2029</v>
      </c>
    </row>
    <row r="64" spans="1:50" s="42" customFormat="1" ht="14.25" customHeight="1" x14ac:dyDescent="0.3">
      <c r="B64" s="150"/>
      <c r="C64" s="19"/>
      <c r="D64" s="154" t="s">
        <v>219</v>
      </c>
      <c r="E64" s="154" t="s">
        <v>220</v>
      </c>
      <c r="F64" s="154" t="s">
        <v>221</v>
      </c>
      <c r="G64" s="154" t="s">
        <v>222</v>
      </c>
      <c r="H64" s="154" t="s">
        <v>223</v>
      </c>
      <c r="I64" s="19"/>
      <c r="J64" s="154" t="s">
        <v>219</v>
      </c>
      <c r="K64" s="154" t="s">
        <v>220</v>
      </c>
      <c r="L64" s="154" t="s">
        <v>221</v>
      </c>
      <c r="M64" s="154" t="s">
        <v>222</v>
      </c>
      <c r="N64" s="154" t="s">
        <v>223</v>
      </c>
      <c r="O64" s="151"/>
      <c r="P64" s="154" t="s">
        <v>219</v>
      </c>
      <c r="Q64" s="154" t="s">
        <v>220</v>
      </c>
      <c r="R64" s="154" t="s">
        <v>221</v>
      </c>
      <c r="S64" s="154" t="s">
        <v>222</v>
      </c>
      <c r="T64" s="154" t="s">
        <v>223</v>
      </c>
      <c r="U64" s="151"/>
      <c r="V64" s="154" t="s">
        <v>219</v>
      </c>
      <c r="W64" s="154" t="s">
        <v>220</v>
      </c>
      <c r="X64" s="154" t="s">
        <v>221</v>
      </c>
      <c r="Y64" s="154" t="s">
        <v>222</v>
      </c>
      <c r="Z64" s="154" t="s">
        <v>223</v>
      </c>
      <c r="AA64" s="151"/>
      <c r="AB64" s="154" t="s">
        <v>219</v>
      </c>
      <c r="AC64" s="154" t="s">
        <v>220</v>
      </c>
      <c r="AD64" s="154" t="s">
        <v>221</v>
      </c>
      <c r="AE64" s="154" t="s">
        <v>222</v>
      </c>
      <c r="AF64" s="154" t="s">
        <v>223</v>
      </c>
      <c r="AG64" s="151"/>
      <c r="AH64" s="154" t="s">
        <v>219</v>
      </c>
      <c r="AI64" s="154" t="s">
        <v>220</v>
      </c>
      <c r="AJ64" s="154" t="s">
        <v>221</v>
      </c>
      <c r="AK64" s="154" t="s">
        <v>222</v>
      </c>
      <c r="AL64" s="154" t="s">
        <v>223</v>
      </c>
      <c r="AM64" s="151"/>
      <c r="AN64" s="154" t="s">
        <v>219</v>
      </c>
      <c r="AO64" s="154" t="s">
        <v>220</v>
      </c>
      <c r="AP64" s="154" t="s">
        <v>221</v>
      </c>
      <c r="AQ64" s="154" t="s">
        <v>222</v>
      </c>
      <c r="AR64" s="154" t="s">
        <v>223</v>
      </c>
      <c r="AS64" s="151"/>
      <c r="AT64" s="154" t="s">
        <v>223</v>
      </c>
      <c r="AU64" s="151"/>
      <c r="AV64" s="154" t="s">
        <v>223</v>
      </c>
      <c r="AW64" s="151"/>
      <c r="AX64" s="154" t="s">
        <v>223</v>
      </c>
    </row>
    <row r="67" spans="1:50" ht="14.25" customHeight="1" x14ac:dyDescent="0.25">
      <c r="A67" s="45" t="s">
        <v>38</v>
      </c>
      <c r="B67" s="65" t="s">
        <v>624</v>
      </c>
      <c r="D67" s="47"/>
      <c r="E67" s="47"/>
      <c r="F67" s="47"/>
      <c r="G67" s="47"/>
      <c r="H67" s="48"/>
      <c r="I67" s="49"/>
      <c r="J67" s="47"/>
      <c r="K67" s="47"/>
      <c r="L67" s="47"/>
      <c r="M67" s="47"/>
      <c r="N67" s="48"/>
      <c r="O67" s="48"/>
      <c r="P67" s="47"/>
      <c r="Q67" s="47"/>
      <c r="R67" s="47"/>
      <c r="S67" s="47"/>
      <c r="T67" s="48"/>
      <c r="U67" s="48"/>
      <c r="V67" s="47"/>
      <c r="W67" s="47"/>
      <c r="X67" s="47"/>
      <c r="Y67" s="47"/>
      <c r="Z67" s="48"/>
      <c r="AA67" s="48"/>
      <c r="AB67" s="47"/>
      <c r="AC67" s="47"/>
      <c r="AD67" s="47"/>
      <c r="AE67" s="47"/>
      <c r="AF67" s="48"/>
      <c r="AG67" s="50"/>
      <c r="AH67" s="47"/>
      <c r="AI67" s="47"/>
      <c r="AJ67" s="51"/>
      <c r="AK67" s="51"/>
      <c r="AL67" s="48"/>
      <c r="AM67" s="52"/>
      <c r="AN67" s="51"/>
      <c r="AO67" s="51"/>
      <c r="AP67" s="51"/>
      <c r="AQ67" s="51"/>
      <c r="AR67" s="48"/>
      <c r="AS67" s="52"/>
      <c r="AT67" s="53"/>
      <c r="AU67" s="54"/>
      <c r="AV67" s="53"/>
      <c r="AW67" s="54"/>
      <c r="AX67" s="53"/>
    </row>
    <row r="68" spans="1:50" ht="14.25" customHeight="1" x14ac:dyDescent="0.25">
      <c r="A68" s="56"/>
      <c r="B68" s="76" t="s">
        <v>228</v>
      </c>
      <c r="D68" s="203" t="str">
        <f>IF(ROUND(SUM(IS!D13:D17),0)=IS!D18,"OK","ERROR")</f>
        <v>ERROR</v>
      </c>
      <c r="E68" s="203" t="str">
        <f>IF(ROUND(SUM(IS!E13:E17),0)=IS!E18,"OK","ERROR")</f>
        <v>ERROR</v>
      </c>
      <c r="F68" s="203" t="str">
        <f>IF(ROUND(SUM(IS!F13:F17),0)=IS!F18,"OK","ERROR")</f>
        <v>ERROR</v>
      </c>
      <c r="G68" s="203" t="str">
        <f>IF(ROUND(SUM(IS!G13:G17),0)=IS!G18,"OK","ERROR")</f>
        <v>ERROR</v>
      </c>
      <c r="H68" s="204" t="str">
        <f>IF(ROUND(SUM(IS!H13:H17),0)=IS!H18,"OK","ERROR")</f>
        <v>ERROR</v>
      </c>
      <c r="I68" s="196"/>
      <c r="J68" s="203" t="str">
        <f>IF(ROUND(SUM(IS!J13:J17),0)=IS!J18,"OK","ERROR")</f>
        <v>ERROR</v>
      </c>
      <c r="K68" s="203" t="str">
        <f>IF(ROUND(SUM(IS!K13:K17),0)=IS!K18,"OK","ERROR")</f>
        <v>ERROR</v>
      </c>
      <c r="L68" s="203" t="str">
        <f>IF(ROUND(SUM(IS!L13:L17),0)=IS!L18,"OK","ERROR")</f>
        <v>ERROR</v>
      </c>
      <c r="M68" s="203" t="str">
        <f>IF(ROUND(SUM(IS!M13:M17),0)=IS!M18,"OK","ERROR")</f>
        <v>ERROR</v>
      </c>
      <c r="N68" s="204" t="str">
        <f>IF(ROUND(SUM(IS!N13:N17),0)=IS!N18,"OK","ERROR")</f>
        <v>ERROR</v>
      </c>
      <c r="O68" s="195"/>
      <c r="P68" s="203" t="str">
        <f>IF(ROUND(SUM(IS!P13:P17),0)=IS!P18,"OK","ERROR")</f>
        <v>ERROR</v>
      </c>
      <c r="Q68" s="203" t="str">
        <f>IF(ROUND(SUM(IS!Q13:Q17),0)=IS!Q18,"OK","ERROR")</f>
        <v>ERROR</v>
      </c>
      <c r="R68" s="203" t="str">
        <f>IF(ROUND(SUM(IS!R13:R17),0)=IS!R18,"OK","ERROR")</f>
        <v>ERROR</v>
      </c>
      <c r="S68" s="203" t="str">
        <f>IF(ROUND(SUM(IS!S13:S17),0)=IS!S18,"OK","ERROR")</f>
        <v>ERROR</v>
      </c>
      <c r="T68" s="204" t="str">
        <f>IF(ROUND(SUM(IS!T13:T17),0)=IS!T18,"OK","ERROR")</f>
        <v>ERROR</v>
      </c>
      <c r="U68" s="195"/>
      <c r="V68" s="203" t="str">
        <f>IF(ROUND(SUM(IS!V13:V17),0)=IS!V18,"OK","ERROR")</f>
        <v>ERROR</v>
      </c>
      <c r="W68" s="203" t="str">
        <f>IF(ROUND(SUM(IS!W13:W17),0)=IS!W18,"OK","ERROR")</f>
        <v>ERROR</v>
      </c>
      <c r="X68" s="203" t="str">
        <f>IF(ROUND(SUM(IS!X13:X17),0)=IS!X18,"OK","ERROR")</f>
        <v>ERROR</v>
      </c>
      <c r="Y68" s="203" t="str">
        <f>IF(ROUND(SUM(IS!Y13:Y17),0)=IS!Y18,"OK","ERROR")</f>
        <v>ERROR</v>
      </c>
      <c r="Z68" s="204" t="str">
        <f>IF(ROUND(SUM(IS!Z13:Z17),0)=IS!Z18,"OK","ERROR")</f>
        <v>ERROR</v>
      </c>
      <c r="AA68" s="195"/>
      <c r="AB68" s="203" t="str">
        <f>IF(ROUND(SUM(IS!AB13:AB17),0)=IS!AB18,"OK","ERROR")</f>
        <v>ERROR</v>
      </c>
      <c r="AC68" s="203" t="str">
        <f>IF(ROUND(SUM(IS!AC13:AC17),0)=IS!AC18,"OK","ERROR")</f>
        <v>ERROR</v>
      </c>
      <c r="AD68" s="203" t="str">
        <f>IF(ROUND(SUM(IS!AD13:AD17),0)=IS!AD18,"OK","ERROR")</f>
        <v>ERROR</v>
      </c>
      <c r="AE68" s="203" t="str">
        <f>IF(ROUND(SUM(IS!AE13:AE17),0)=IS!AE18,"OK","ERROR")</f>
        <v>ERROR</v>
      </c>
      <c r="AF68" s="204" t="str">
        <f>IF(ROUND(SUM(IS!AF13:AF17),0)=IS!AF18,"OK","ERROR")</f>
        <v>ERROR</v>
      </c>
      <c r="AG68" s="197"/>
      <c r="AH68" s="203" t="str">
        <f>IF(ROUND(SUM(IS!AH13:AH17),0)=IS!AH18,"OK","ERROR")</f>
        <v>ERROR</v>
      </c>
      <c r="AI68" s="203" t="str">
        <f>IF(ROUND(SUM(IS!AI13:AI17),0)=IS!AI18,"OK","ERROR")</f>
        <v>ERROR</v>
      </c>
      <c r="AJ68" s="203" t="str">
        <f>IF(ROUND(SUM(IS!AJ13:AJ17),0)=IS!AJ18,"OK","ERROR")</f>
        <v>ERROR</v>
      </c>
      <c r="AK68" s="203" t="str">
        <f>IF(ROUND(SUM(IS!AK13:AK17),0)=IS!AK18,"OK","ERROR")</f>
        <v>ERROR</v>
      </c>
      <c r="AL68" s="204" t="str">
        <f>IF(ROUND(SUM(IS!AL13:AL17),0)=IS!AL18,"OK","ERROR")</f>
        <v>ERROR</v>
      </c>
      <c r="AM68" s="199"/>
      <c r="AN68" s="203" t="str">
        <f>IF(ROUND(SUM(IS!AN13:AN17),0)=IS!AN18,"OK","ERROR")</f>
        <v>ERROR</v>
      </c>
      <c r="AO68" s="203" t="str">
        <f>IF(ROUND(SUM(IS!AO13:AO17),0)=IS!AO18,"OK","ERROR")</f>
        <v>ERROR</v>
      </c>
      <c r="AP68" s="203" t="str">
        <f>IF(ROUND(SUM(IS!AP13:AP17),0)=IS!AP18,"OK","ERROR")</f>
        <v>ERROR</v>
      </c>
      <c r="AQ68" s="203" t="str">
        <f>IF(ROUND(SUM(IS!AQ13:AQ17),0)=IS!AQ18,"OK","ERROR")</f>
        <v>ERROR</v>
      </c>
      <c r="AR68" s="204" t="str">
        <f>IF(ROUND(SUM(IS!AR13:AR17),0)=IS!AR18,"OK","ERROR")</f>
        <v>ERROR</v>
      </c>
      <c r="AS68" s="199"/>
      <c r="AT68" s="204" t="str">
        <f>IF(ROUND(SUM(IS!AT13:AT17),0)=IS!AT18,"OK","ERROR")</f>
        <v>ERROR</v>
      </c>
      <c r="AU68" s="201"/>
      <c r="AV68" s="204" t="str">
        <f>IF(ROUND(SUM(IS!AV13:AV17),0)=IS!AV18,"OK","ERROR")</f>
        <v>ERROR</v>
      </c>
      <c r="AW68" s="201"/>
      <c r="AX68" s="204" t="str">
        <f>IF(ROUND(SUM(IS!AX13:AX17),0)=IS!AX18,"OK","ERROR")</f>
        <v>ERROR</v>
      </c>
    </row>
    <row r="69" spans="1:50" ht="14.25" customHeight="1" x14ac:dyDescent="0.25">
      <c r="A69" s="56"/>
      <c r="B69" s="64"/>
      <c r="D69" s="194"/>
      <c r="E69" s="194"/>
      <c r="F69" s="194"/>
      <c r="G69" s="194"/>
      <c r="H69" s="195"/>
      <c r="I69" s="196"/>
      <c r="J69" s="194"/>
      <c r="K69" s="194"/>
      <c r="L69" s="194"/>
      <c r="M69" s="194"/>
      <c r="N69" s="195"/>
      <c r="O69" s="195"/>
      <c r="P69" s="194"/>
      <c r="Q69" s="194"/>
      <c r="R69" s="194"/>
      <c r="S69" s="194"/>
      <c r="T69" s="195"/>
      <c r="U69" s="195"/>
      <c r="V69" s="194"/>
      <c r="W69" s="194"/>
      <c r="X69" s="194"/>
      <c r="Y69" s="194"/>
      <c r="Z69" s="195"/>
      <c r="AA69" s="195"/>
      <c r="AB69" s="194"/>
      <c r="AC69" s="194"/>
      <c r="AD69" s="194"/>
      <c r="AE69" s="194"/>
      <c r="AF69" s="195"/>
      <c r="AG69" s="197"/>
      <c r="AH69" s="194"/>
      <c r="AI69" s="194"/>
      <c r="AJ69" s="194"/>
      <c r="AK69" s="194"/>
      <c r="AL69" s="195"/>
      <c r="AM69" s="199"/>
      <c r="AN69" s="194"/>
      <c r="AO69" s="194"/>
      <c r="AP69" s="194"/>
      <c r="AQ69" s="194"/>
      <c r="AR69" s="195"/>
      <c r="AS69" s="199"/>
      <c r="AT69" s="195"/>
      <c r="AU69" s="201"/>
      <c r="AV69" s="195"/>
      <c r="AW69" s="201"/>
      <c r="AX69" s="195"/>
    </row>
    <row r="70" spans="1:50" ht="14.25" customHeight="1" x14ac:dyDescent="0.25">
      <c r="A70" s="45" t="s">
        <v>38</v>
      </c>
      <c r="B70" s="65" t="s">
        <v>631</v>
      </c>
      <c r="D70" s="194"/>
      <c r="E70" s="194"/>
      <c r="F70" s="194"/>
      <c r="G70" s="194"/>
      <c r="H70" s="206"/>
      <c r="I70" s="196"/>
      <c r="J70" s="194"/>
      <c r="K70" s="194"/>
      <c r="L70" s="194"/>
      <c r="M70" s="194"/>
      <c r="N70" s="206"/>
      <c r="O70" s="196"/>
      <c r="P70" s="194"/>
      <c r="Q70" s="194"/>
      <c r="R70" s="194"/>
      <c r="S70" s="194"/>
      <c r="T70" s="206"/>
      <c r="U70" s="196"/>
      <c r="V70" s="194"/>
      <c r="W70" s="194"/>
      <c r="X70" s="194"/>
      <c r="Y70" s="194"/>
      <c r="Z70" s="206"/>
      <c r="AA70" s="199"/>
      <c r="AB70" s="194"/>
      <c r="AC70" s="194"/>
      <c r="AD70" s="194"/>
      <c r="AE70" s="194"/>
      <c r="AF70" s="206"/>
      <c r="AG70" s="197"/>
      <c r="AH70" s="194"/>
      <c r="AI70" s="194"/>
      <c r="AJ70" s="194"/>
      <c r="AK70" s="194"/>
      <c r="AL70" s="206"/>
      <c r="AM70" s="207"/>
      <c r="AN70" s="194"/>
      <c r="AO70" s="194"/>
      <c r="AP70" s="194"/>
      <c r="AQ70" s="194"/>
      <c r="AR70" s="206"/>
      <c r="AS70" s="207"/>
      <c r="AT70" s="206"/>
      <c r="AU70" s="209"/>
      <c r="AV70" s="206"/>
      <c r="AW70" s="209"/>
      <c r="AX70" s="206"/>
    </row>
    <row r="71" spans="1:50" ht="14.25" customHeight="1" x14ac:dyDescent="0.25">
      <c r="A71" s="73"/>
      <c r="B71" s="79" t="s">
        <v>277</v>
      </c>
      <c r="D71" s="194" t="str">
        <f>IF(ROUND(IS!D18,0)-ROUND(SUM(IS!D21:D22),0)=ROUND(IS!D24,0),"OK","ERROR")</f>
        <v>ERROR</v>
      </c>
      <c r="E71" s="194" t="str">
        <f>IF(ROUND(IS!E18,0)-ROUND(SUM(IS!E21:E22),0)=ROUND(IS!E24,0),"OK","ERROR")</f>
        <v>OK</v>
      </c>
      <c r="F71" s="194" t="str">
        <f>IF(ROUND(IS!F18,0)-ROUND(SUM(IS!F21:F22),0)=ROUND(IS!F24,0),"OK","ERROR")</f>
        <v>ERROR</v>
      </c>
      <c r="G71" s="194" t="str">
        <f>IF(ROUND(IS!G18,0)-ROUND(SUM(IS!G21:G22),0)=ROUND(IS!G24,0),"OK","ERROR")</f>
        <v>OK</v>
      </c>
      <c r="H71" s="213" t="str">
        <f>IF(ROUND(IS!H18,0)-ROUND(SUM(IS!H21:H22),0)=ROUND(IS!H24,0),"OK","ERROR")</f>
        <v>OK</v>
      </c>
      <c r="I71" s="196"/>
      <c r="J71" s="194" t="str">
        <f>IF(ROUND(IS!J18,0)-ROUND(SUM(IS!J21:J22),0)=ROUND(IS!J24,0),"OK","ERROR")</f>
        <v>OK</v>
      </c>
      <c r="K71" s="194" t="str">
        <f>IF(ROUND(IS!K18,0)-ROUND(SUM(IS!K21:K22),0)=ROUND(IS!K24,0),"OK","ERROR")</f>
        <v>OK</v>
      </c>
      <c r="L71" s="194" t="str">
        <f>IF(ROUND(IS!L18,0)-ROUND(SUM(IS!L21:L22),0)=ROUND(IS!L24,0),"OK","ERROR")</f>
        <v>OK</v>
      </c>
      <c r="M71" s="194" t="str">
        <f>IF(ROUND(IS!M18,0)-ROUND(SUM(IS!M21:M22),0)=ROUND(IS!M24,0),"OK","ERROR")</f>
        <v>OK</v>
      </c>
      <c r="N71" s="213" t="str">
        <f>IF(ROUND(IS!N18,0)-ROUND(SUM(IS!N21:N22),0)=ROUND(IS!N24,0),"OK","ERROR")</f>
        <v>OK</v>
      </c>
      <c r="O71" s="196"/>
      <c r="P71" s="194" t="str">
        <f>IF(ROUND(IS!P18,0)-ROUND(SUM(IS!P21:P22),0)=ROUND(IS!P24,0),"OK","ERROR")</f>
        <v>ERROR</v>
      </c>
      <c r="Q71" s="194" t="str">
        <f>IF(ROUND(IS!Q18,0)-ROUND(SUM(IS!Q21:Q22),0)=ROUND(IS!Q24,0),"OK","ERROR")</f>
        <v>OK</v>
      </c>
      <c r="R71" s="194" t="str">
        <f>IF(ROUND(IS!R18,0)-ROUND(SUM(IS!R21:R22),0)=ROUND(IS!R24,0),"OK","ERROR")</f>
        <v>OK</v>
      </c>
      <c r="S71" s="194" t="str">
        <f>IF(ROUND(IS!S18,0)-ROUND(SUM(IS!S21:S22),0)=ROUND(IS!S24,0),"OK","ERROR")</f>
        <v>OK</v>
      </c>
      <c r="T71" s="213" t="str">
        <f>IF(ROUND(IS!T18,0)-ROUND(SUM(IS!T21:T22),0)=ROUND(IS!T24,0),"OK","ERROR")</f>
        <v>OK</v>
      </c>
      <c r="U71" s="196"/>
      <c r="V71" s="194" t="str">
        <f>IF(ROUND(IS!V18,0)-ROUND(SUM(IS!V21:V22),0)=ROUND(IS!V24,0),"OK","ERROR")</f>
        <v>OK</v>
      </c>
      <c r="W71" s="194" t="str">
        <f>IF(ROUND(IS!W18,0)-ROUND(SUM(IS!W21:W22),0)=ROUND(IS!W24,0),"OK","ERROR")</f>
        <v>OK</v>
      </c>
      <c r="X71" s="194" t="str">
        <f>IF(ROUND(IS!X18,0)-ROUND(SUM(IS!X21:X22),0)=ROUND(IS!X24,0),"OK","ERROR")</f>
        <v>OK</v>
      </c>
      <c r="Y71" s="194" t="str">
        <f>IF(ROUND(IS!Y18,0)-ROUND(SUM(IS!Y21:Y22),0)=ROUND(IS!Y24,0),"OK","ERROR")</f>
        <v>OK</v>
      </c>
      <c r="Z71" s="213" t="str">
        <f>IF(ROUND(IS!Z18,0)-ROUND(SUM(IS!Z21:Z22),0)=ROUND(IS!Z24,0),"OK","ERROR")</f>
        <v>OK</v>
      </c>
      <c r="AA71" s="199"/>
      <c r="AB71" s="194" t="str">
        <f>IF(ROUND(IS!AB18,0)-ROUND(SUM(IS!AB21:AB22),0)=ROUND(IS!AB24,0),"OK","ERROR")</f>
        <v>OK</v>
      </c>
      <c r="AC71" s="194" t="str">
        <f>IF(ROUND(IS!AC18,0)-ROUND(SUM(IS!AC21:AC22),0)=ROUND(IS!AC24,0),"OK","ERROR")</f>
        <v>ERROR</v>
      </c>
      <c r="AD71" s="194" t="str">
        <f>IF(ROUND(IS!AD18,0)-ROUND(SUM(IS!AD21:AD22),0)=ROUND(IS!AD24,0),"OK","ERROR")</f>
        <v>OK</v>
      </c>
      <c r="AE71" s="194" t="str">
        <f>IF(ROUND(IS!AE18,0)-ROUND(SUM(IS!AE21:AE22),0)=ROUND(IS!AE24,0),"OK","ERROR")</f>
        <v>ERROR</v>
      </c>
      <c r="AF71" s="213" t="str">
        <f>IF(ROUND(IS!AF18,0)-ROUND(SUM(IS!AF21:AF22),0)=ROUND(IS!AF24,0),"OK","ERROR")</f>
        <v>ERROR</v>
      </c>
      <c r="AG71" s="197"/>
      <c r="AH71" s="194" t="str">
        <f>IF(ROUND(IS!AH18,0)-ROUND(SUM(IS!AH21:AH22),0)=ROUND(IS!AH24,0),"OK","ERROR")</f>
        <v>ERROR</v>
      </c>
      <c r="AI71" s="194" t="str">
        <f>IF(ROUND(IS!AI18,0)-ROUND(SUM(IS!AI21:AI22),0)=ROUND(IS!AI24,0),"OK","ERROR")</f>
        <v>OK</v>
      </c>
      <c r="AJ71" s="194" t="str">
        <f>IF(ROUND(IS!AJ18,0)-ROUND(SUM(IS!AJ21:AJ22),0)=ROUND(IS!AJ24,0),"OK","ERROR")</f>
        <v>ERROR</v>
      </c>
      <c r="AK71" s="194" t="str">
        <f>IF(ROUND(IS!AK18,0)-ROUND(SUM(IS!AK21:AK22),0)=ROUND(IS!AK24,0),"OK","ERROR")</f>
        <v>ERROR</v>
      </c>
      <c r="AL71" s="213" t="str">
        <f>IF(ROUND(IS!AL18,0)-ROUND(SUM(IS!AL21:AL22),0)=ROUND(IS!AL24,0),"OK","ERROR")</f>
        <v>ERROR</v>
      </c>
      <c r="AM71" s="210"/>
      <c r="AN71" s="194" t="str">
        <f>IF(ROUND(IS!AN18,0)-ROUND(SUM(IS!AN21:AN22),0)=ROUND(IS!AN24,0),"OK","ERROR")</f>
        <v>ERROR</v>
      </c>
      <c r="AO71" s="194" t="str">
        <f>IF(ROUND(IS!AO18,0)-ROUND(SUM(IS!AO21:AO22),0)=ROUND(IS!AO24,0),"OK","ERROR")</f>
        <v>ERROR</v>
      </c>
      <c r="AP71" s="194" t="str">
        <f>IF(ROUND(IS!AP18,0)-ROUND(SUM(IS!AP21:AP22),0)=ROUND(IS!AP24,0),"OK","ERROR")</f>
        <v>ERROR</v>
      </c>
      <c r="AQ71" s="194" t="str">
        <f>IF(ROUND(IS!AQ18,0)-ROUND(SUM(IS!AQ21:AQ22),0)=ROUND(IS!AQ24,0),"OK","ERROR")</f>
        <v>ERROR</v>
      </c>
      <c r="AR71" s="213" t="str">
        <f>IF(ROUND(IS!AR18,0)-ROUND(SUM(IS!AR21:AR22),0)=ROUND(IS!AR24,0),"OK","ERROR")</f>
        <v>ERROR</v>
      </c>
      <c r="AS71" s="210"/>
      <c r="AT71" s="213" t="str">
        <f>IF(ROUND(IS!AT18,0)-ROUND(SUM(IS!AT21:AT22),0)=ROUND(IS!AT24,0),"OK","ERROR")</f>
        <v>ERROR</v>
      </c>
      <c r="AU71" s="211"/>
      <c r="AV71" s="213" t="str">
        <f>IF(ROUND(IS!AV18,0)-ROUND(SUM(IS!AV21:AV22),0)=ROUND(IS!AV24,0),"OK","ERROR")</f>
        <v>ERROR</v>
      </c>
      <c r="AW71" s="211"/>
      <c r="AX71" s="213" t="str">
        <f>IF(ROUND(IS!AX18,0)-ROUND(SUM(IS!AX21:AX22),0)=ROUND(IS!AX24,0),"OK","ERROR")</f>
        <v>ERROR</v>
      </c>
    </row>
    <row r="72" spans="1:50" ht="14.25" customHeight="1" x14ac:dyDescent="0.25">
      <c r="A72" s="56"/>
      <c r="B72" s="80"/>
      <c r="D72" s="194"/>
      <c r="E72" s="194"/>
      <c r="F72" s="194"/>
      <c r="G72" s="194"/>
      <c r="H72" s="206"/>
      <c r="I72" s="196"/>
      <c r="J72" s="194"/>
      <c r="K72" s="194"/>
      <c r="L72" s="194"/>
      <c r="M72" s="194"/>
      <c r="N72" s="206"/>
      <c r="O72" s="196"/>
      <c r="P72" s="194"/>
      <c r="Q72" s="194"/>
      <c r="R72" s="194"/>
      <c r="S72" s="194"/>
      <c r="T72" s="206"/>
      <c r="U72" s="196"/>
      <c r="V72" s="194"/>
      <c r="W72" s="194"/>
      <c r="X72" s="194"/>
      <c r="Y72" s="194"/>
      <c r="Z72" s="206"/>
      <c r="AA72" s="199"/>
      <c r="AB72" s="194"/>
      <c r="AC72" s="194"/>
      <c r="AD72" s="194"/>
      <c r="AE72" s="194"/>
      <c r="AF72" s="206"/>
      <c r="AG72" s="197"/>
      <c r="AH72" s="194"/>
      <c r="AI72" s="194"/>
      <c r="AJ72" s="194"/>
      <c r="AK72" s="194"/>
      <c r="AL72" s="206"/>
      <c r="AM72" s="210"/>
      <c r="AN72" s="194"/>
      <c r="AO72" s="194"/>
      <c r="AP72" s="194"/>
      <c r="AQ72" s="194"/>
      <c r="AR72" s="206"/>
      <c r="AS72" s="210"/>
      <c r="AT72" s="206"/>
      <c r="AU72" s="211"/>
      <c r="AV72" s="206"/>
      <c r="AW72" s="211"/>
      <c r="AX72" s="206"/>
    </row>
    <row r="73" spans="1:50" ht="14.25" customHeight="1" x14ac:dyDescent="0.25">
      <c r="A73" s="45" t="s">
        <v>38</v>
      </c>
      <c r="B73" s="65" t="s">
        <v>635</v>
      </c>
      <c r="D73" s="194"/>
      <c r="E73" s="194"/>
      <c r="F73" s="194"/>
      <c r="G73" s="194"/>
      <c r="H73" s="206"/>
      <c r="I73" s="196"/>
      <c r="J73" s="194"/>
      <c r="K73" s="194"/>
      <c r="L73" s="194"/>
      <c r="M73" s="194"/>
      <c r="N73" s="206"/>
      <c r="O73" s="196"/>
      <c r="P73" s="194"/>
      <c r="Q73" s="194"/>
      <c r="R73" s="194"/>
      <c r="S73" s="194"/>
      <c r="T73" s="206"/>
      <c r="U73" s="196"/>
      <c r="V73" s="194"/>
      <c r="W73" s="194"/>
      <c r="X73" s="194"/>
      <c r="Y73" s="194"/>
      <c r="Z73" s="206"/>
      <c r="AA73" s="214"/>
      <c r="AB73" s="194"/>
      <c r="AC73" s="194"/>
      <c r="AD73" s="194"/>
      <c r="AE73" s="194"/>
      <c r="AF73" s="206"/>
      <c r="AG73" s="215"/>
      <c r="AH73" s="194"/>
      <c r="AI73" s="194"/>
      <c r="AJ73" s="194"/>
      <c r="AK73" s="194"/>
      <c r="AL73" s="206"/>
      <c r="AM73" s="214"/>
      <c r="AN73" s="194"/>
      <c r="AO73" s="194"/>
      <c r="AP73" s="194"/>
      <c r="AQ73" s="194"/>
      <c r="AR73" s="206"/>
      <c r="AS73" s="214"/>
      <c r="AT73" s="206"/>
      <c r="AU73" s="216"/>
      <c r="AV73" s="206"/>
      <c r="AW73" s="216"/>
      <c r="AX73" s="206"/>
    </row>
    <row r="74" spans="1:50" ht="14.25" customHeight="1" x14ac:dyDescent="0.25">
      <c r="A74" s="56"/>
      <c r="B74" s="79" t="s">
        <v>642</v>
      </c>
      <c r="D74" s="194" t="str">
        <f>IF(ROUND(IS!D24,0)-ROUND(SUM(IS!D31:D32),0)=ROUND(IS!D33,0),"OK","ERROR")</f>
        <v>OK</v>
      </c>
      <c r="E74" s="194" t="str">
        <f>IF(ROUND(IS!E24,0)-ROUND(SUM(IS!E31:E32),0)=ROUND(IS!E33,0),"OK","ERROR")</f>
        <v>OK</v>
      </c>
      <c r="F74" s="194" t="str">
        <f>IF(ROUND(IS!F24,0)-ROUND(SUM(IS!F31:F32),0)=ROUND(IS!F33,0),"OK","ERROR")</f>
        <v>ERROR</v>
      </c>
      <c r="G74" s="194" t="str">
        <f>IF(ROUND(IS!G24,0)-ROUND(SUM(IS!G31:G32),0)=ROUND(IS!G33,0),"OK","ERROR")</f>
        <v>ERROR</v>
      </c>
      <c r="H74" s="212" t="str">
        <f>IF(ROUND(IS!H24,0)-ROUND(SUM(IS!H31:H32),0)=ROUND(IS!H33,0),"OK","ERROR")</f>
        <v>ERROR</v>
      </c>
      <c r="I74" s="196"/>
      <c r="J74" s="194" t="str">
        <f>IF(ROUND(IS!J24,0)-ROUND(SUM(IS!J31:J32),0)=ROUND(IS!J33,0),"OK","ERROR")</f>
        <v>OK</v>
      </c>
      <c r="K74" s="194" t="str">
        <f>IF(ROUND(IS!K24,0)-ROUND(SUM(IS!K31:K32),0)=ROUND(IS!K33,0),"OK","ERROR")</f>
        <v>ERROR</v>
      </c>
      <c r="L74" s="194" t="str">
        <f>IF(ROUND(IS!L24,0)-ROUND(SUM(IS!L31:L32),0)=ROUND(IS!L33,0),"OK","ERROR")</f>
        <v>OK</v>
      </c>
      <c r="M74" s="194" t="str">
        <f>IF(ROUND(IS!M24,0)-ROUND(SUM(IS!M31:M32),0)=ROUND(IS!M33,0),"OK","ERROR")</f>
        <v>OK</v>
      </c>
      <c r="N74" s="212" t="str">
        <f>IF(ROUND(IS!N24,0)-ROUND(SUM(IS!N31:N32),0)=ROUND(IS!N33,0),"OK","ERROR")</f>
        <v>OK</v>
      </c>
      <c r="O74" s="196"/>
      <c r="P74" s="194" t="str">
        <f>IF(ROUND(IS!P24,0)-ROUND(SUM(IS!P31:P32),0)=ROUND(IS!P33,0),"OK","ERROR")</f>
        <v>OK</v>
      </c>
      <c r="Q74" s="194" t="str">
        <f>IF(ROUND(IS!Q24,0)-ROUND(SUM(IS!Q31:Q32),0)=ROUND(IS!Q33,0),"OK","ERROR")</f>
        <v>OK</v>
      </c>
      <c r="R74" s="194" t="str">
        <f>IF(ROUND(IS!R24,0)-ROUND(SUM(IS!R31:R32),0)=ROUND(IS!R33,0),"OK","ERROR")</f>
        <v>OK</v>
      </c>
      <c r="S74" s="194" t="str">
        <f>IF(ROUND(IS!S24,0)-ROUND(SUM(IS!S31:S32),0)=ROUND(IS!S33,0),"OK","ERROR")</f>
        <v>OK</v>
      </c>
      <c r="T74" s="212" t="str">
        <f>IF(ROUND(IS!T24,0)-ROUND(SUM(IS!T31:T32),0)=ROUND(IS!T33,0),"OK","ERROR")</f>
        <v>OK</v>
      </c>
      <c r="U74" s="196"/>
      <c r="V74" s="194" t="str">
        <f>IF(ROUND(IS!V24,0)-ROUND(SUM(IS!V31:V32),0)=ROUND(IS!V33,0),"OK","ERROR")</f>
        <v>OK</v>
      </c>
      <c r="W74" s="194" t="str">
        <f>IF(ROUND(IS!W24,0)-ROUND(SUM(IS!W31:W32),0)=ROUND(IS!W33,0),"OK","ERROR")</f>
        <v>ERROR</v>
      </c>
      <c r="X74" s="194" t="str">
        <f>IF(ROUND(IS!X24,0)-ROUND(SUM(IS!X31:X32),0)=ROUND(IS!X33,0),"OK","ERROR")</f>
        <v>ERROR</v>
      </c>
      <c r="Y74" s="194" t="str">
        <f>IF(ROUND(IS!Y24,0)-ROUND(SUM(IS!Y31:Y32),0)=ROUND(IS!Y33,0),"OK","ERROR")</f>
        <v>OK</v>
      </c>
      <c r="Z74" s="212" t="str">
        <f>IF(ROUND(IS!Z24,0)-ROUND(SUM(IS!Z31:Z32),0)=ROUND(IS!Z33,0),"OK","ERROR")</f>
        <v>OK</v>
      </c>
      <c r="AA74" s="199"/>
      <c r="AB74" s="194" t="str">
        <f>IF(ROUND(IS!AB24,0)-ROUND(SUM(IS!AB31:AB32),0)=ROUND(IS!AB33,0),"OK","ERROR")</f>
        <v>OK</v>
      </c>
      <c r="AC74" s="194" t="str">
        <f>IF(ROUND(IS!AC24,0)-ROUND(SUM(IS!AC31:AC32),0)=ROUND(IS!AC33,0),"OK","ERROR")</f>
        <v>OK</v>
      </c>
      <c r="AD74" s="194" t="str">
        <f>IF(ROUND(IS!AD24,0)-ROUND(SUM(IS!AD31:AD32),0)=ROUND(IS!AD33,0),"OK","ERROR")</f>
        <v>OK</v>
      </c>
      <c r="AE74" s="194" t="str">
        <f>IF(ROUND(IS!AE24,0)-ROUND(SUM(IS!AE31:AE32),0)=ROUND(IS!AE33,0),"OK","ERROR")</f>
        <v>OK</v>
      </c>
      <c r="AF74" s="212" t="str">
        <f>IF(ROUND(IS!AF24,0)-ROUND(SUM(IS!AF31:AF32),0)=ROUND(IS!AF33,0),"OK","ERROR")</f>
        <v>OK</v>
      </c>
      <c r="AG74" s="197"/>
      <c r="AH74" s="194" t="str">
        <f>IF(ROUND(IS!AH24,0)-ROUND(SUM(IS!AH31:AH32),0)=ROUND(IS!AH33,0),"OK","ERROR")</f>
        <v>OK</v>
      </c>
      <c r="AI74" s="194" t="str">
        <f>IF(ROUND(IS!AI24,0)-ROUND(SUM(IS!AI31:AI32),0)=ROUND(IS!AI33,0),"OK","ERROR")</f>
        <v>ERROR</v>
      </c>
      <c r="AJ74" s="194" t="str">
        <f>IF(ROUND(IS!AJ24,0)-ROUND(SUM(IS!AJ31:AJ32),0)=ROUND(IS!AJ33,0),"OK","ERROR")</f>
        <v>ERROR</v>
      </c>
      <c r="AK74" s="194" t="str">
        <f>IF(ROUND(IS!AK24,0)-ROUND(SUM(IS!AK31:AK32),0)=ROUND(IS!AK33,0),"OK","ERROR")</f>
        <v>ERROR</v>
      </c>
      <c r="AL74" s="212" t="str">
        <f>IF(ROUND(IS!AL24,0)-ROUND(SUM(IS!AL31:AL32),0)=ROUND(IS!AL33,0),"OK","ERROR")</f>
        <v>ERROR</v>
      </c>
      <c r="AM74" s="210"/>
      <c r="AN74" s="194" t="str">
        <f>IF(ROUND(IS!AN24,0)-ROUND(SUM(IS!AN31:AN32),0)=ROUND(IS!AN33,0),"OK","ERROR")</f>
        <v>ERROR</v>
      </c>
      <c r="AO74" s="194" t="str">
        <f>IF(ROUND(IS!AO24,0)-ROUND(SUM(IS!AO31:AO32),0)=ROUND(IS!AO33,0),"OK","ERROR")</f>
        <v>ERROR</v>
      </c>
      <c r="AP74" s="194" t="str">
        <f>IF(ROUND(IS!AP24,0)-ROUND(SUM(IS!AP31:AP32),0)=ROUND(IS!AP33,0),"OK","ERROR")</f>
        <v>ERROR</v>
      </c>
      <c r="AQ74" s="194" t="str">
        <f>IF(ROUND(IS!AQ24,0)-ROUND(SUM(IS!AQ31:AQ32),0)=ROUND(IS!AQ33,0),"OK","ERROR")</f>
        <v>ERROR</v>
      </c>
      <c r="AR74" s="212" t="str">
        <f>IF(ROUND(IS!AR24,0)-ROUND(SUM(IS!AR31:AR32),0)=ROUND(IS!AR33,0),"OK","ERROR")</f>
        <v>ERROR</v>
      </c>
      <c r="AS74" s="210"/>
      <c r="AT74" s="212" t="str">
        <f>IF(ROUND(IS!AT24,0)-ROUND(SUM(IS!AT31:AT32),0)=ROUND(IS!AT33,0),"OK","ERROR")</f>
        <v>ERROR</v>
      </c>
      <c r="AU74" s="211"/>
      <c r="AV74" s="212" t="str">
        <f>IF(ROUND(IS!AV24,0)-ROUND(SUM(IS!AV31:AV32),0)=ROUND(IS!AV33,0),"OK","ERROR")</f>
        <v>ERROR</v>
      </c>
      <c r="AW74" s="211"/>
      <c r="AX74" s="212" t="str">
        <f>IF(ROUND(IS!AX24,0)-ROUND(SUM(IS!AX31:AX32),0)=ROUND(IS!AX33,0),"OK","ERROR")</f>
        <v>ERROR</v>
      </c>
    </row>
    <row r="75" spans="1:50" ht="14.25" customHeight="1" x14ac:dyDescent="0.25">
      <c r="A75" s="73"/>
      <c r="B75" s="73"/>
      <c r="D75" s="194"/>
      <c r="E75" s="194"/>
      <c r="F75" s="194"/>
      <c r="G75" s="194"/>
      <c r="H75" s="206"/>
      <c r="I75" s="196"/>
      <c r="J75" s="194"/>
      <c r="K75" s="194"/>
      <c r="L75" s="194"/>
      <c r="M75" s="194"/>
      <c r="N75" s="206"/>
      <c r="O75" s="196"/>
      <c r="P75" s="194"/>
      <c r="Q75" s="194"/>
      <c r="R75" s="194"/>
      <c r="S75" s="194"/>
      <c r="T75" s="206"/>
      <c r="U75" s="196"/>
      <c r="V75" s="194"/>
      <c r="W75" s="194"/>
      <c r="X75" s="194"/>
      <c r="Y75" s="194"/>
      <c r="Z75" s="206"/>
      <c r="AA75" s="214"/>
      <c r="AB75" s="194"/>
      <c r="AC75" s="194"/>
      <c r="AD75" s="194"/>
      <c r="AE75" s="194"/>
      <c r="AF75" s="206"/>
      <c r="AG75" s="215"/>
      <c r="AH75" s="194"/>
      <c r="AI75" s="194"/>
      <c r="AJ75" s="194"/>
      <c r="AK75" s="194"/>
      <c r="AL75" s="206"/>
      <c r="AM75" s="219"/>
      <c r="AN75" s="194"/>
      <c r="AO75" s="194"/>
      <c r="AP75" s="194"/>
      <c r="AQ75" s="194"/>
      <c r="AR75" s="206"/>
      <c r="AS75" s="219"/>
      <c r="AT75" s="206"/>
      <c r="AU75" s="220"/>
      <c r="AV75" s="206"/>
      <c r="AW75" s="220"/>
      <c r="AX75" s="206"/>
    </row>
    <row r="76" spans="1:50" ht="14.25" customHeight="1" x14ac:dyDescent="0.25">
      <c r="A76" s="45" t="s">
        <v>38</v>
      </c>
      <c r="B76" s="65" t="s">
        <v>643</v>
      </c>
      <c r="D76" s="194"/>
      <c r="E76" s="194"/>
      <c r="F76" s="194"/>
      <c r="G76" s="194"/>
      <c r="H76" s="206"/>
      <c r="I76" s="196"/>
      <c r="J76" s="194"/>
      <c r="K76" s="194"/>
      <c r="L76" s="194"/>
      <c r="M76" s="194"/>
      <c r="N76" s="206"/>
      <c r="O76" s="196"/>
      <c r="P76" s="194"/>
      <c r="Q76" s="194"/>
      <c r="R76" s="194"/>
      <c r="S76" s="194"/>
      <c r="T76" s="206"/>
      <c r="U76" s="196"/>
      <c r="V76" s="194"/>
      <c r="W76" s="194"/>
      <c r="X76" s="194"/>
      <c r="Y76" s="194"/>
      <c r="Z76" s="206"/>
      <c r="AA76" s="199"/>
      <c r="AB76" s="194"/>
      <c r="AC76" s="194"/>
      <c r="AD76" s="194"/>
      <c r="AE76" s="194"/>
      <c r="AF76" s="206"/>
      <c r="AG76" s="197"/>
      <c r="AH76" s="194"/>
      <c r="AI76" s="194"/>
      <c r="AJ76" s="194"/>
      <c r="AK76" s="194"/>
      <c r="AL76" s="206"/>
      <c r="AM76" s="210"/>
      <c r="AN76" s="194"/>
      <c r="AO76" s="194"/>
      <c r="AP76" s="194"/>
      <c r="AQ76" s="194"/>
      <c r="AR76" s="206"/>
      <c r="AS76" s="210"/>
      <c r="AT76" s="206"/>
      <c r="AU76" s="211"/>
      <c r="AV76" s="206"/>
      <c r="AW76" s="211"/>
      <c r="AX76" s="206"/>
    </row>
    <row r="77" spans="1:50" ht="14.25" customHeight="1" x14ac:dyDescent="0.25">
      <c r="A77" s="84"/>
      <c r="B77" s="89" t="s">
        <v>575</v>
      </c>
      <c r="D77" s="194" t="str">
        <f>IF(ROUND(IS!D33,0)-ROUND(IS!D41,0)=ROUND(IS!D42,0),"OK","ERROR")</f>
        <v>OK</v>
      </c>
      <c r="E77" s="194" t="str">
        <f>IF(ROUND(IS!E33,0)-ROUND(IS!E41,0)=ROUND(IS!E42,0),"OK","ERROR")</f>
        <v>OK</v>
      </c>
      <c r="F77" s="194" t="str">
        <f>IF(ROUND(IS!F33,0)-ROUND(IS!F41,0)=ROUND(IS!F42,0),"OK","ERROR")</f>
        <v>ERROR</v>
      </c>
      <c r="G77" s="194" t="str">
        <f>IF(ROUND(IS!G33,0)-ROUND(IS!G41,0)=ROUND(IS!G42,0),"OK","ERROR")</f>
        <v>ERROR</v>
      </c>
      <c r="H77" s="213" t="str">
        <f>IF(ROUND(IS!H33,0)-ROUND(IS!H41,0)=ROUND(IS!H42,0),"OK","ERROR")</f>
        <v>ERROR</v>
      </c>
      <c r="I77" s="196"/>
      <c r="J77" s="194" t="str">
        <f>IF(ROUND(IS!J33,0)-ROUND(IS!J41,0)=ROUND(IS!J42,0),"OK","ERROR")</f>
        <v>OK</v>
      </c>
      <c r="K77" s="194" t="str">
        <f>IF(ROUND(IS!K33,0)-ROUND(IS!K41,0)=ROUND(IS!K42,0),"OK","ERROR")</f>
        <v>OK</v>
      </c>
      <c r="L77" s="194" t="str">
        <f>IF(ROUND(IS!L33,0)-ROUND(IS!L41,0)=ROUND(IS!L42,0),"OK","ERROR")</f>
        <v>OK</v>
      </c>
      <c r="M77" s="194" t="str">
        <f>IF(ROUND(IS!M33,0)-ROUND(IS!M41,0)=ROUND(IS!M42,0),"OK","ERROR")</f>
        <v>OK</v>
      </c>
      <c r="N77" s="213" t="str">
        <f>IF(ROUND(IS!N33,0)-ROUND(IS!N41,0)=ROUND(IS!N42,0),"OK","ERROR")</f>
        <v>ERROR</v>
      </c>
      <c r="O77" s="196"/>
      <c r="P77" s="194" t="str">
        <f>IF(ROUND(IS!P33,0)-ROUND(IS!P41,0)=ROUND(IS!P42,0),"OK","ERROR")</f>
        <v>ERROR</v>
      </c>
      <c r="Q77" s="194" t="str">
        <f>IF(ROUND(IS!Q33,0)-ROUND(IS!Q41,0)=ROUND(IS!Q42,0),"OK","ERROR")</f>
        <v>OK</v>
      </c>
      <c r="R77" s="194" t="str">
        <f>IF(ROUND(IS!R33,0)-ROUND(IS!R41,0)=ROUND(IS!R42,0),"OK","ERROR")</f>
        <v>OK</v>
      </c>
      <c r="S77" s="194" t="str">
        <f>IF(ROUND(IS!S33,0)-ROUND(IS!S41,0)=ROUND(IS!S42,0),"OK","ERROR")</f>
        <v>OK</v>
      </c>
      <c r="T77" s="213" t="str">
        <f>IF(ROUND(IS!T33,0)-ROUND(IS!T41,0)=ROUND(IS!T42,0),"OK","ERROR")</f>
        <v>OK</v>
      </c>
      <c r="U77" s="196"/>
      <c r="V77" s="194" t="str">
        <f>IF(ROUND(IS!V33,0)-ROUND(IS!V41,0)=ROUND(IS!V42,0),"OK","ERROR")</f>
        <v>OK</v>
      </c>
      <c r="W77" s="194" t="str">
        <f>IF(ROUND(IS!W33,0)-ROUND(IS!W41,0)=ROUND(IS!W42,0),"OK","ERROR")</f>
        <v>ERROR</v>
      </c>
      <c r="X77" s="194" t="str">
        <f>IF(ROUND(IS!X33,0)-ROUND(IS!X41,0)=ROUND(IS!X42,0),"OK","ERROR")</f>
        <v>OK</v>
      </c>
      <c r="Y77" s="194" t="str">
        <f>IF(ROUND(IS!Y33,0)-ROUND(IS!Y41,0)=ROUND(IS!Y42,0),"OK","ERROR")</f>
        <v>ERROR</v>
      </c>
      <c r="Z77" s="213" t="str">
        <f>IF(ROUND(IS!Z33,0)-ROUND(IS!Z41,0)=ROUND(IS!Z42,0),"OK","ERROR")</f>
        <v>OK</v>
      </c>
      <c r="AA77" s="199"/>
      <c r="AB77" s="194" t="str">
        <f>IF(ROUND(IS!AB33,0)-ROUND(IS!AB41,0)=ROUND(IS!AB42,0),"OK","ERROR")</f>
        <v>OK</v>
      </c>
      <c r="AC77" s="194" t="str">
        <f>IF(ROUND(IS!AC33,0)-ROUND(IS!AC41,0)=ROUND(IS!AC42,0),"OK","ERROR")</f>
        <v>OK</v>
      </c>
      <c r="AD77" s="194" t="str">
        <f>IF(ROUND(IS!AD33,0)-ROUND(IS!AD41,0)=ROUND(IS!AD42,0),"OK","ERROR")</f>
        <v>OK</v>
      </c>
      <c r="AE77" s="194" t="str">
        <f>IF(ROUND(IS!AE33,0)-ROUND(IS!AE41,0)=ROUND(IS!AE42,0),"OK","ERROR")</f>
        <v>OK</v>
      </c>
      <c r="AF77" s="213" t="str">
        <f>IF(ROUND(IS!AF33,0)-ROUND(IS!AF41,0)=ROUND(IS!AF42,0),"OK","ERROR")</f>
        <v>OK</v>
      </c>
      <c r="AG77" s="197"/>
      <c r="AH77" s="194" t="str">
        <f>IF(ROUND(IS!AH33,0)-ROUND(IS!AH41,0)=ROUND(IS!AH42,0),"OK","ERROR")</f>
        <v>OK</v>
      </c>
      <c r="AI77" s="194" t="str">
        <f>IF(ROUND(IS!AI33,0)-ROUND(IS!AI41,0)=ROUND(IS!AI42,0),"OK","ERROR")</f>
        <v>ERROR</v>
      </c>
      <c r="AJ77" s="194" t="str">
        <f>IF(ROUND(IS!AJ33,0)-ROUND(IS!AJ41,0)=ROUND(IS!AJ42,0),"OK","ERROR")</f>
        <v>ERROR</v>
      </c>
      <c r="AK77" s="194" t="str">
        <f>IF(ROUND(IS!AK33,0)-ROUND(IS!AK41,0)=ROUND(IS!AK42,0),"OK","ERROR")</f>
        <v>ERROR</v>
      </c>
      <c r="AL77" s="213" t="str">
        <f>IF(ROUND(IS!AL33,0)-ROUND(IS!AL41,0)=ROUND(IS!AL42,0),"OK","ERROR")</f>
        <v>ERROR</v>
      </c>
      <c r="AM77" s="199"/>
      <c r="AN77" s="194" t="str">
        <f>IF(ROUND(IS!AN33,0)-ROUND(IS!AN41,0)=ROUND(IS!AN42,0),"OK","ERROR")</f>
        <v>ERROR</v>
      </c>
      <c r="AO77" s="194" t="str">
        <f>IF(ROUND(IS!AO33,0)-ROUND(IS!AO41,0)=ROUND(IS!AO42,0),"OK","ERROR")</f>
        <v>ERROR</v>
      </c>
      <c r="AP77" s="194" t="str">
        <f>IF(ROUND(IS!AP33,0)-ROUND(IS!AP41,0)=ROUND(IS!AP42,0),"OK","ERROR")</f>
        <v>ERROR</v>
      </c>
      <c r="AQ77" s="194" t="str">
        <f>IF(ROUND(IS!AQ33,0)-ROUND(IS!AQ41,0)=ROUND(IS!AQ42,0),"OK","ERROR")</f>
        <v>ERROR</v>
      </c>
      <c r="AR77" s="213" t="str">
        <f>IF(ROUND(IS!AR33,0)-ROUND(IS!AR41,0)=ROUND(IS!AR42,0),"OK","ERROR")</f>
        <v>ERROR</v>
      </c>
      <c r="AS77" s="199"/>
      <c r="AT77" s="213" t="str">
        <f>IF(ROUND(IS!AT33,0)-ROUND(IS!AT41,0)=ROUND(IS!AT42,0),"OK","ERROR")</f>
        <v>ERROR</v>
      </c>
      <c r="AU77" s="201"/>
      <c r="AV77" s="213" t="str">
        <f>IF(ROUND(IS!AV33,0)-ROUND(IS!AV41,0)=ROUND(IS!AV42,0),"OK","ERROR")</f>
        <v>ERROR</v>
      </c>
      <c r="AW77" s="201"/>
      <c r="AX77" s="213" t="str">
        <f>IF(ROUND(IS!AX33,0)-ROUND(IS!AX41,0)=ROUND(IS!AX42,0),"OK","ERROR")</f>
        <v>ERROR</v>
      </c>
    </row>
    <row r="78" spans="1:50" ht="14.25" customHeight="1" x14ac:dyDescent="0.25">
      <c r="A78" s="73"/>
      <c r="B78" s="76"/>
      <c r="D78" s="194"/>
      <c r="E78" s="194"/>
      <c r="F78" s="194"/>
      <c r="G78" s="194"/>
      <c r="H78" s="206"/>
      <c r="I78" s="196"/>
      <c r="J78" s="194"/>
      <c r="K78" s="194"/>
      <c r="L78" s="194"/>
      <c r="M78" s="194"/>
      <c r="N78" s="206"/>
      <c r="O78" s="196"/>
      <c r="P78" s="194"/>
      <c r="Q78" s="194"/>
      <c r="R78" s="194"/>
      <c r="S78" s="194"/>
      <c r="T78" s="206"/>
      <c r="U78" s="196"/>
      <c r="V78" s="194"/>
      <c r="W78" s="194"/>
      <c r="X78" s="194"/>
      <c r="Y78" s="194"/>
      <c r="Z78" s="206"/>
      <c r="AA78" s="199"/>
      <c r="AB78" s="194"/>
      <c r="AC78" s="194"/>
      <c r="AD78" s="194"/>
      <c r="AE78" s="194"/>
      <c r="AF78" s="206"/>
      <c r="AG78" s="197"/>
      <c r="AH78" s="194"/>
      <c r="AI78" s="194"/>
      <c r="AJ78" s="194"/>
      <c r="AK78" s="194"/>
      <c r="AL78" s="206"/>
      <c r="AM78" s="199"/>
      <c r="AN78" s="194"/>
      <c r="AO78" s="194"/>
      <c r="AP78" s="194"/>
      <c r="AQ78" s="194"/>
      <c r="AR78" s="206"/>
      <c r="AS78" s="199"/>
      <c r="AT78" s="206"/>
      <c r="AU78" s="201"/>
      <c r="AV78" s="206"/>
      <c r="AW78" s="201"/>
      <c r="AX78" s="206"/>
    </row>
    <row r="79" spans="1:50" ht="14.25" customHeight="1" x14ac:dyDescent="0.25">
      <c r="A79" s="45" t="s">
        <v>38</v>
      </c>
      <c r="B79" s="65" t="s">
        <v>650</v>
      </c>
      <c r="D79" s="194"/>
      <c r="E79" s="194"/>
      <c r="F79" s="194"/>
      <c r="G79" s="194"/>
      <c r="H79" s="206"/>
      <c r="I79" s="196"/>
      <c r="J79" s="194"/>
      <c r="K79" s="194"/>
      <c r="L79" s="194"/>
      <c r="M79" s="194"/>
      <c r="N79" s="206"/>
      <c r="O79" s="196"/>
      <c r="P79" s="194"/>
      <c r="Q79" s="194"/>
      <c r="R79" s="194"/>
      <c r="S79" s="194"/>
      <c r="T79" s="206"/>
      <c r="U79" s="196"/>
      <c r="V79" s="194"/>
      <c r="W79" s="194"/>
      <c r="X79" s="194"/>
      <c r="Y79" s="194"/>
      <c r="Z79" s="206"/>
      <c r="AA79" s="199"/>
      <c r="AB79" s="194"/>
      <c r="AC79" s="194"/>
      <c r="AD79" s="194"/>
      <c r="AE79" s="194"/>
      <c r="AF79" s="206"/>
      <c r="AG79" s="197"/>
      <c r="AH79" s="194"/>
      <c r="AI79" s="194"/>
      <c r="AJ79" s="194"/>
      <c r="AK79" s="194"/>
      <c r="AL79" s="206"/>
      <c r="AM79" s="199"/>
      <c r="AN79" s="194"/>
      <c r="AO79" s="194"/>
      <c r="AP79" s="194"/>
      <c r="AQ79" s="194"/>
      <c r="AR79" s="206"/>
      <c r="AS79" s="199"/>
      <c r="AT79" s="206"/>
      <c r="AU79" s="201"/>
      <c r="AV79" s="206"/>
      <c r="AW79" s="201"/>
      <c r="AX79" s="206"/>
    </row>
    <row r="80" spans="1:50" ht="14.25" customHeight="1" thickBot="1" x14ac:dyDescent="0.3">
      <c r="A80" s="73"/>
      <c r="B80" s="70" t="s">
        <v>652</v>
      </c>
      <c r="D80" s="194" t="str">
        <f>IF(ROUND(IS!D42,0)-ROUND(SUM(IS!D45:D46),0)=ROUND(IS!D47,0),"OK","ERROR")</f>
        <v>OK</v>
      </c>
      <c r="E80" s="194" t="str">
        <f>IF(ROUND(IS!E42,0)-ROUND(SUM(IS!E45:E46),0)=ROUND(IS!E47,0),"OK","ERROR")</f>
        <v>OK</v>
      </c>
      <c r="F80" s="194" t="str">
        <f>IF(ROUND(IS!F42,0)-ROUND(SUM(IS!F45:F46),0)=ROUND(IS!F47,0),"OK","ERROR")</f>
        <v>OK</v>
      </c>
      <c r="G80" s="194" t="str">
        <f>IF(ROUND(IS!G42,0)-ROUND(SUM(IS!G45:G46),0)=ROUND(IS!G47,0),"OK","ERROR")</f>
        <v>ERROR</v>
      </c>
      <c r="H80" s="223" t="str">
        <f>IF(ROUND(IS!H42,0)-ROUND(SUM(IS!H45:H46),0)=ROUND(IS!H47,0),"OK","ERROR")</f>
        <v>OK</v>
      </c>
      <c r="I80" s="196"/>
      <c r="J80" s="194" t="str">
        <f>IF(ROUND(IS!J42,0)-ROUND(SUM(IS!J45:J46),0)=ROUND(IS!J47,0),"OK","ERROR")</f>
        <v>OK</v>
      </c>
      <c r="K80" s="194" t="str">
        <f>IF(ROUND(IS!K42,0)-ROUND(SUM(IS!K45:K46),0)=ROUND(IS!K47,0),"OK","ERROR")</f>
        <v>OK</v>
      </c>
      <c r="L80" s="194" t="str">
        <f>IF(ROUND(IS!L42,0)-ROUND(SUM(IS!L45:L46),0)=ROUND(IS!L47,0),"OK","ERROR")</f>
        <v>OK</v>
      </c>
      <c r="M80" s="194" t="str">
        <f>IF(ROUND(IS!M42,0)-ROUND(SUM(IS!M45:M46),0)=ROUND(IS!M47,0),"OK","ERROR")</f>
        <v>OK</v>
      </c>
      <c r="N80" s="223" t="str">
        <f>IF(ROUND(IS!N42,0)-ROUND(SUM(IS!N45:N46),0)=ROUND(IS!N47,0),"OK","ERROR")</f>
        <v>OK</v>
      </c>
      <c r="O80" s="196"/>
      <c r="P80" s="194" t="str">
        <f>IF(ROUND(IS!P42,0)-ROUND(SUM(IS!P45:P46),0)=ROUND(IS!P47,0),"OK","ERROR")</f>
        <v>OK</v>
      </c>
      <c r="Q80" s="194" t="str">
        <f>IF(ROUND(IS!Q42,0)-ROUND(SUM(IS!Q45:Q46),0)=ROUND(IS!Q47,0),"OK","ERROR")</f>
        <v>OK</v>
      </c>
      <c r="R80" s="194" t="str">
        <f>IF(ROUND(IS!R42,0)-ROUND(SUM(IS!R45:R46),0)=ROUND(IS!R47,0),"OK","ERROR")</f>
        <v>ERROR</v>
      </c>
      <c r="S80" s="194" t="str">
        <f>IF(ROUND(IS!S42,0)-ROUND(SUM(IS!S45:S46),0)=ROUND(IS!S47,0),"OK","ERROR")</f>
        <v>OK</v>
      </c>
      <c r="T80" s="223" t="str">
        <f>IF(ROUND(IS!T42,0)-ROUND(SUM(IS!T45:T46),0)=ROUND(IS!T47,0),"OK","ERROR")</f>
        <v>OK</v>
      </c>
      <c r="U80" s="196"/>
      <c r="V80" s="194" t="str">
        <f>IF(ROUND(IS!V42,0)-ROUND(SUM(IS!V45:V46),0)=ROUND(IS!V47,0),"OK","ERROR")</f>
        <v>ERROR</v>
      </c>
      <c r="W80" s="194" t="str">
        <f>IF(ROUND(IS!W42,0)-ROUND(SUM(IS!W45:W46),0)=ROUND(IS!W47,0),"OK","ERROR")</f>
        <v>OK</v>
      </c>
      <c r="X80" s="194" t="str">
        <f>IF(ROUND(IS!X42,0)-ROUND(SUM(IS!X45:X46),0)=ROUND(IS!X47,0),"OK","ERROR")</f>
        <v>ERROR</v>
      </c>
      <c r="Y80" s="194" t="str">
        <f>IF(ROUND(IS!Y42,0)-ROUND(SUM(IS!Y45:Y46),0)=ROUND(IS!Y47,0),"OK","ERROR")</f>
        <v>OK</v>
      </c>
      <c r="Z80" s="223" t="str">
        <f>IF(ROUND(IS!Z42,0)-ROUND(SUM(IS!Z45:Z46),0)=ROUND(IS!Z47,0),"OK","ERROR")</f>
        <v>OK</v>
      </c>
      <c r="AA80" s="199"/>
      <c r="AB80" s="194" t="str">
        <f>IF(ROUND(IS!AB42,0)-ROUND(SUM(IS!AB45:AB46),0)=ROUND(IS!AB47,0),"OK","ERROR")</f>
        <v>OK</v>
      </c>
      <c r="AC80" s="194" t="str">
        <f>IF(ROUND(IS!AC42,0)-ROUND(SUM(IS!AC45:AC46),0)=ROUND(IS!AC47,0),"OK","ERROR")</f>
        <v>OK</v>
      </c>
      <c r="AD80" s="194" t="str">
        <f>IF(ROUND(IS!AD42,0)-ROUND(SUM(IS!AD45:AD46),0)=ROUND(IS!AD47,0),"OK","ERROR")</f>
        <v>OK</v>
      </c>
      <c r="AE80" s="194" t="str">
        <f>IF(ROUND(IS!AE42,0)-ROUND(SUM(IS!AE45:AE46),0)=ROUND(IS!AE47,0),"OK","ERROR")</f>
        <v>OK</v>
      </c>
      <c r="AF80" s="223" t="str">
        <f>IF(ROUND(IS!AF42,0)-ROUND(SUM(IS!AF45:AF46),0)=ROUND(IS!AF47,0),"OK","ERROR")</f>
        <v>ERROR</v>
      </c>
      <c r="AG80" s="197"/>
      <c r="AH80" s="194" t="str">
        <f>IF(ROUND(IS!AH42,0)-ROUND(SUM(IS!AH45:AH46),0)=ROUND(IS!AH47,0),"OK","ERROR")</f>
        <v>OK</v>
      </c>
      <c r="AI80" s="194" t="str">
        <f>IF(ROUND(IS!AI42,0)-ROUND(SUM(IS!AI45:AI46),0)=ROUND(IS!AI47,0),"OK","ERROR")</f>
        <v>OK</v>
      </c>
      <c r="AJ80" s="194" t="str">
        <f>IF(ROUND(IS!AJ42,0)-ROUND(SUM(IS!AJ45:AJ46),0)=ROUND(IS!AJ47,0),"OK","ERROR")</f>
        <v>OK</v>
      </c>
      <c r="AK80" s="194" t="str">
        <f>IF(ROUND(IS!AK42,0)-ROUND(SUM(IS!AK45:AK46),0)=ROUND(IS!AK47,0),"OK","ERROR")</f>
        <v>OK</v>
      </c>
      <c r="AL80" s="223" t="str">
        <f>IF(ROUND(IS!AL42,0)-ROUND(SUM(IS!AL45:AL46),0)=ROUND(IS!AL47,0),"OK","ERROR")</f>
        <v>OK</v>
      </c>
      <c r="AM80" s="222"/>
      <c r="AN80" s="194" t="str">
        <f>IF(ROUND(IS!AN42,0)-ROUND(SUM(IS!AN45:AN46),0)=ROUND(IS!AN47,0),"OK","ERROR")</f>
        <v>OK</v>
      </c>
      <c r="AO80" s="194" t="str">
        <f>IF(ROUND(IS!AO42,0)-ROUND(SUM(IS!AO45:AO46),0)=ROUND(IS!AO47,0),"OK","ERROR")</f>
        <v>OK</v>
      </c>
      <c r="AP80" s="194" t="str">
        <f>IF(ROUND(IS!AP42,0)-ROUND(SUM(IS!AP45:AP46),0)=ROUND(IS!AP47,0),"OK","ERROR")</f>
        <v>OK</v>
      </c>
      <c r="AQ80" s="194" t="str">
        <f>IF(ROUND(IS!AQ42,0)-ROUND(SUM(IS!AQ45:AQ46),0)=ROUND(IS!AQ47,0),"OK","ERROR")</f>
        <v>OK</v>
      </c>
      <c r="AR80" s="223" t="str">
        <f>IF(ROUND(IS!AR42,0)-ROUND(SUM(IS!AR45:AR46),0)=ROUND(IS!AR47,0),"OK","ERROR")</f>
        <v>OK</v>
      </c>
      <c r="AS80" s="199"/>
      <c r="AT80" s="223" t="str">
        <f>IF(ROUND(IS!AT42,0)-ROUND(SUM(IS!AT45:AT46),0)=ROUND(IS!AT47,0),"OK","ERROR")</f>
        <v>OK</v>
      </c>
      <c r="AU80" s="201"/>
      <c r="AV80" s="223" t="str">
        <f>IF(ROUND(IS!AV42,0)-ROUND(SUM(IS!AV45:AV46),0)=ROUND(IS!AV47,0),"OK","ERROR")</f>
        <v>OK</v>
      </c>
      <c r="AW80" s="201"/>
      <c r="AX80" s="223" t="str">
        <f>IF(ROUND(IS!AX42,0)-ROUND(SUM(IS!AX45:AX46),0)=ROUND(IS!AX47,0),"OK","ERROR")</f>
        <v>OK</v>
      </c>
    </row>
    <row r="82" spans="1:50" ht="14.25" customHeight="1" x14ac:dyDescent="0.25">
      <c r="A82" s="45" t="s">
        <v>38</v>
      </c>
      <c r="B82" s="65" t="s">
        <v>653</v>
      </c>
      <c r="D82" s="194"/>
      <c r="E82" s="194"/>
      <c r="F82" s="194"/>
      <c r="G82" s="194"/>
      <c r="H82" s="206"/>
      <c r="I82" s="196"/>
      <c r="J82" s="194"/>
      <c r="K82" s="194"/>
      <c r="L82" s="194"/>
      <c r="M82" s="194"/>
      <c r="N82" s="206"/>
      <c r="O82" s="196"/>
      <c r="P82" s="194"/>
      <c r="Q82" s="194"/>
      <c r="R82" s="194"/>
      <c r="S82" s="194"/>
      <c r="T82" s="206"/>
      <c r="U82" s="196"/>
      <c r="V82" s="194"/>
      <c r="W82" s="194"/>
      <c r="X82" s="194"/>
      <c r="Y82" s="194"/>
      <c r="Z82" s="206"/>
      <c r="AA82" s="196"/>
      <c r="AB82" s="194"/>
      <c r="AC82" s="194"/>
      <c r="AD82" s="194"/>
      <c r="AE82" s="194"/>
      <c r="AF82" s="206"/>
      <c r="AG82" s="224"/>
      <c r="AH82" s="194"/>
      <c r="AI82" s="194"/>
      <c r="AJ82" s="194"/>
      <c r="AK82" s="194"/>
      <c r="AL82" s="206"/>
      <c r="AM82" s="196"/>
      <c r="AN82" s="194"/>
      <c r="AO82" s="194"/>
      <c r="AP82" s="194"/>
      <c r="AQ82" s="194"/>
      <c r="AR82" s="206"/>
      <c r="AS82" s="196"/>
      <c r="AT82" s="206"/>
      <c r="AU82" s="225"/>
      <c r="AV82" s="206"/>
      <c r="AW82" s="225"/>
      <c r="AX82" s="206"/>
    </row>
    <row r="83" spans="1:50" ht="14.25" customHeight="1" thickBot="1" x14ac:dyDescent="0.3">
      <c r="A83" s="73"/>
      <c r="B83" s="76" t="s">
        <v>656</v>
      </c>
      <c r="D83" s="194" t="str">
        <f>IF(ROUND(IS!D47,0)-ROUND(SUM(IS!D50:D51),0)=ROUND(IS!D52,0),"OK","ERROR")</f>
        <v>OK</v>
      </c>
      <c r="E83" s="194" t="str">
        <f>IF(ROUND(IS!E47,0)-ROUND(SUM(IS!E50:E51),0)=ROUND(IS!E52,0),"OK","ERROR")</f>
        <v>ERROR</v>
      </c>
      <c r="F83" s="194" t="str">
        <f>IF(ROUND(IS!F47,0)-ROUND(SUM(IS!F50:F51),0)=ROUND(IS!F52,0),"OK","ERROR")</f>
        <v>OK</v>
      </c>
      <c r="G83" s="194" t="str">
        <f>IF(ROUND(IS!G47,0)-ROUND(SUM(IS!G50:G51),0)=ROUND(IS!G52,0),"OK","ERROR")</f>
        <v>ERROR</v>
      </c>
      <c r="H83" s="223" t="str">
        <f>IF(ROUND(IS!H47,0)-ROUND(SUM(IS!H50:H51),0)=ROUND(IS!H52,0),"OK","ERROR")</f>
        <v>OK</v>
      </c>
      <c r="I83" s="196"/>
      <c r="J83" s="194" t="str">
        <f>IF(ROUND(IS!J47,0)-ROUND(SUM(IS!J50:J51),0)=ROUND(IS!J52,0),"OK","ERROR")</f>
        <v>ERROR</v>
      </c>
      <c r="K83" s="194" t="str">
        <f>IF(ROUND(IS!K47,0)-ROUND(SUM(IS!K50:K51),0)=ROUND(IS!K52,0),"OK","ERROR")</f>
        <v>ERROR</v>
      </c>
      <c r="L83" s="194" t="str">
        <f>IF(ROUND(IS!L47,0)-ROUND(SUM(IS!L50:L51),0)=ROUND(IS!L52,0),"OK","ERROR")</f>
        <v>OK</v>
      </c>
      <c r="M83" s="194" t="str">
        <f>IF(ROUND(IS!M47,0)-ROUND(SUM(IS!M50:M51),0)=ROUND(IS!M52,0),"OK","ERROR")</f>
        <v>OK</v>
      </c>
      <c r="N83" s="223" t="str">
        <f>IF(ROUND(IS!N47,0)-ROUND(SUM(IS!N50:N51),0)=ROUND(IS!N52,0),"OK","ERROR")</f>
        <v>OK</v>
      </c>
      <c r="O83" s="196"/>
      <c r="P83" s="194" t="str">
        <f>IF(ROUND(IS!P47,0)-ROUND(SUM(IS!P50:P51),0)=ROUND(IS!P52,0),"OK","ERROR")</f>
        <v>OK</v>
      </c>
      <c r="Q83" s="194" t="str">
        <f>IF(ROUND(IS!Q47,0)-ROUND(SUM(IS!Q50:Q51),0)=ROUND(IS!Q52,0),"OK","ERROR")</f>
        <v>ERROR</v>
      </c>
      <c r="R83" s="194" t="str">
        <f>IF(ROUND(IS!R47,0)-ROUND(SUM(IS!R50:R51),0)=ROUND(IS!R52,0),"OK","ERROR")</f>
        <v>ERROR</v>
      </c>
      <c r="S83" s="194" t="str">
        <f>IF(ROUND(IS!S47,0)-ROUND(SUM(IS!S50:S51),0)=ROUND(IS!S52,0),"OK","ERROR")</f>
        <v>OK</v>
      </c>
      <c r="T83" s="223" t="str">
        <f>IF(ROUND(IS!T47,0)-ROUND(SUM(IS!T50:T51),0)=ROUND(IS!T52,0),"OK","ERROR")</f>
        <v>OK</v>
      </c>
      <c r="U83" s="196"/>
      <c r="V83" s="194" t="str">
        <f>IF(ROUND(IS!V47,0)-ROUND(SUM(IS!V50:V51),0)=ROUND(IS!V52,0),"OK","ERROR")</f>
        <v>ERROR</v>
      </c>
      <c r="W83" s="194" t="str">
        <f>IF(ROUND(IS!W47,0)-ROUND(SUM(IS!W50:W51),0)=ROUND(IS!W52,0),"OK","ERROR")</f>
        <v>OK</v>
      </c>
      <c r="X83" s="194" t="str">
        <f>IF(ROUND(IS!X47,0)-ROUND(SUM(IS!X50:X51),0)=ROUND(IS!X52,0),"OK","ERROR")</f>
        <v>ERROR</v>
      </c>
      <c r="Y83" s="194" t="str">
        <f>IF(ROUND(IS!Y47,0)-ROUND(SUM(IS!Y50:Y51),0)=ROUND(IS!Y52,0),"OK","ERROR")</f>
        <v>OK</v>
      </c>
      <c r="Z83" s="223" t="str">
        <f>IF(ROUND(IS!Z47,0)-ROUND(SUM(IS!Z50:Z51),0)=ROUND(IS!Z52,0),"OK","ERROR")</f>
        <v>ERROR</v>
      </c>
      <c r="AA83" s="196"/>
      <c r="AB83" s="194" t="str">
        <f>IF(ROUND(IS!AB47,0)-ROUND(SUM(IS!AB50:AB51),0)=ROUND(IS!AB52,0),"OK","ERROR")</f>
        <v>OK</v>
      </c>
      <c r="AC83" s="194" t="str">
        <f>IF(ROUND(IS!AC47,0)-ROUND(SUM(IS!AC50:AC51),0)=ROUND(IS!AC52,0),"OK","ERROR")</f>
        <v>ERROR</v>
      </c>
      <c r="AD83" s="194" t="str">
        <f>IF(ROUND(IS!AD47,0)-ROUND(SUM(IS!AD50:AD51),0)=ROUND(IS!AD52,0),"OK","ERROR")</f>
        <v>OK</v>
      </c>
      <c r="AE83" s="194" t="str">
        <f>IF(ROUND(IS!AE47,0)-ROUND(SUM(IS!AE50:AE51),0)=ROUND(IS!AE52,0),"OK","ERROR")</f>
        <v>OK</v>
      </c>
      <c r="AF83" s="223" t="str">
        <f>IF(ROUND(IS!AF47,0)-ROUND(SUM(IS!AF50:AF51),0)=ROUND(IS!AF52,0),"OK","ERROR")</f>
        <v>OK</v>
      </c>
      <c r="AG83" s="224"/>
      <c r="AH83" s="194" t="str">
        <f>IF(ROUND(IS!AH47,0)-ROUND(SUM(IS!AH50:AH51),0)=ROUND(IS!AH52,0),"OK","ERROR")</f>
        <v>OK</v>
      </c>
      <c r="AI83" s="194" t="str">
        <f>IF(ROUND(IS!AI47,0)-ROUND(SUM(IS!AI50:AI51),0)=ROUND(IS!AI52,0),"OK","ERROR")</f>
        <v>ERROR</v>
      </c>
      <c r="AJ83" s="194" t="str">
        <f>IF(ROUND(IS!AJ47,0)-ROUND(SUM(IS!AJ50:AJ51),0)=ROUND(IS!AJ52,0),"OK","ERROR")</f>
        <v>OK</v>
      </c>
      <c r="AK83" s="194" t="str">
        <f>IF(ROUND(IS!AK47,0)-ROUND(SUM(IS!AK50:AK51),0)=ROUND(IS!AK52,0),"OK","ERROR")</f>
        <v>OK</v>
      </c>
      <c r="AL83" s="223" t="str">
        <f>IF(ROUND(IS!AL47,0)-ROUND(SUM(IS!AL50:AL51),0)=ROUND(IS!AL52,0),"OK","ERROR")</f>
        <v>OK</v>
      </c>
      <c r="AM83" s="196"/>
      <c r="AN83" s="194" t="str">
        <f>IF(ROUND(IS!AN47,0)-ROUND(SUM(IS!AN50:AN51),0)=ROUND(IS!AN52,0),"OK","ERROR")</f>
        <v>OK</v>
      </c>
      <c r="AO83" s="194" t="str">
        <f>IF(ROUND(IS!AO47,0)-ROUND(SUM(IS!AO50:AO51),0)=ROUND(IS!AO52,0),"OK","ERROR")</f>
        <v>OK</v>
      </c>
      <c r="AP83" s="194" t="str">
        <f>IF(ROUND(IS!AP47,0)-ROUND(SUM(IS!AP50:AP51),0)=ROUND(IS!AP52,0),"OK","ERROR")</f>
        <v>OK</v>
      </c>
      <c r="AQ83" s="194" t="str">
        <f>IF(ROUND(IS!AQ47,0)-ROUND(SUM(IS!AQ50:AQ51),0)=ROUND(IS!AQ52,0),"OK","ERROR")</f>
        <v>OK</v>
      </c>
      <c r="AR83" s="223" t="str">
        <f>IF(ROUND(IS!AR47,0)-ROUND(SUM(IS!AR50:AR51),0)=ROUND(IS!AR52,0),"OK","ERROR")</f>
        <v>OK</v>
      </c>
      <c r="AS83" s="196"/>
      <c r="AT83" s="223" t="str">
        <f>IF(ROUND(IS!AT47,0)-ROUND(SUM(IS!AT50:AT51),0)=ROUND(IS!AT52,0),"OK","ERROR")</f>
        <v>OK</v>
      </c>
      <c r="AU83" s="225"/>
      <c r="AV83" s="223" t="str">
        <f>IF(ROUND(IS!AV47,0)-ROUND(SUM(IS!AV50:AV51),0)=ROUND(IS!AV52,0),"OK","ERROR")</f>
        <v>OK</v>
      </c>
      <c r="AW83" s="225"/>
      <c r="AX83" s="223" t="str">
        <f>IF(ROUND(IS!AX47,0)-ROUND(SUM(IS!AX50:AX51),0)=ROUND(IS!AX52,0),"OK","ERROR")</f>
        <v>OK</v>
      </c>
    </row>
    <row r="84" spans="1:50" ht="14.25" customHeight="1" thickTop="1" x14ac:dyDescent="0.25">
      <c r="A84" s="56"/>
      <c r="D84" s="194"/>
      <c r="E84" s="194"/>
      <c r="F84" s="194"/>
      <c r="G84" s="194"/>
      <c r="H84" s="206"/>
      <c r="I84" s="196"/>
      <c r="J84" s="194"/>
      <c r="K84" s="194"/>
      <c r="L84" s="194"/>
      <c r="M84" s="194"/>
      <c r="N84" s="206"/>
      <c r="O84" s="196"/>
      <c r="P84" s="194"/>
      <c r="Q84" s="194"/>
      <c r="R84" s="194"/>
      <c r="S84" s="194"/>
      <c r="T84" s="206"/>
      <c r="U84" s="196"/>
      <c r="V84" s="194"/>
      <c r="W84" s="194"/>
      <c r="X84" s="194"/>
      <c r="Y84" s="194"/>
      <c r="Z84" s="206"/>
      <c r="AA84" s="196"/>
      <c r="AB84" s="194"/>
      <c r="AC84" s="194"/>
      <c r="AD84" s="194"/>
      <c r="AE84" s="194"/>
      <c r="AF84" s="206"/>
      <c r="AG84" s="224"/>
      <c r="AH84" s="194"/>
      <c r="AI84" s="194"/>
      <c r="AJ84" s="194"/>
      <c r="AK84" s="194"/>
      <c r="AL84" s="206"/>
      <c r="AM84" s="196"/>
      <c r="AN84" s="194"/>
      <c r="AO84" s="194"/>
      <c r="AP84" s="194"/>
      <c r="AQ84" s="194"/>
      <c r="AR84" s="206"/>
      <c r="AS84" s="196"/>
      <c r="AT84" s="206"/>
      <c r="AU84" s="225"/>
      <c r="AV84" s="206"/>
      <c r="AW84" s="225"/>
      <c r="AX84" s="206"/>
    </row>
    <row r="85" spans="1:50" ht="14.25" customHeight="1" x14ac:dyDescent="0.25">
      <c r="A85" s="45" t="s">
        <v>38</v>
      </c>
      <c r="B85" s="65" t="s">
        <v>657</v>
      </c>
      <c r="D85" s="194"/>
      <c r="E85" s="194"/>
      <c r="F85" s="194"/>
      <c r="G85" s="194"/>
      <c r="H85" s="206"/>
      <c r="I85" s="196"/>
      <c r="J85" s="194"/>
      <c r="K85" s="194"/>
      <c r="L85" s="194"/>
      <c r="M85" s="194"/>
      <c r="N85" s="206"/>
      <c r="O85" s="196"/>
      <c r="P85" s="194"/>
      <c r="Q85" s="194"/>
      <c r="R85" s="194"/>
      <c r="S85" s="194"/>
      <c r="T85" s="206"/>
      <c r="U85" s="196"/>
      <c r="V85" s="194"/>
      <c r="W85" s="194"/>
      <c r="X85" s="194"/>
      <c r="Y85" s="194"/>
      <c r="Z85" s="206"/>
      <c r="AA85" s="196"/>
      <c r="AB85" s="194"/>
      <c r="AC85" s="194"/>
      <c r="AD85" s="194"/>
      <c r="AE85" s="194"/>
      <c r="AF85" s="206"/>
      <c r="AG85" s="224"/>
      <c r="AH85" s="194"/>
      <c r="AI85" s="194"/>
      <c r="AJ85" s="194"/>
      <c r="AK85" s="194"/>
      <c r="AL85" s="206"/>
      <c r="AM85" s="196"/>
      <c r="AN85" s="194"/>
      <c r="AO85" s="194"/>
      <c r="AP85" s="194"/>
      <c r="AQ85" s="194"/>
      <c r="AR85" s="206"/>
      <c r="AS85" s="196"/>
      <c r="AT85" s="206"/>
      <c r="AU85" s="225"/>
      <c r="AV85" s="206"/>
      <c r="AW85" s="225"/>
      <c r="AX85" s="206"/>
    </row>
    <row r="86" spans="1:50" ht="14.25" customHeight="1" x14ac:dyDescent="0.25">
      <c r="A86" s="56"/>
      <c r="B86" s="76" t="s">
        <v>658</v>
      </c>
      <c r="D86" s="226" t="str">
        <f>IF(ROUND(IS!D52/IS!D59,1)=ROUND(IS!D55,1),"OK","ERROR")</f>
        <v>OK</v>
      </c>
      <c r="E86" s="226" t="str">
        <f>IF(ROUND(IS!E52/IS!E59,1)=ROUND(IS!E55,1),"OK","ERROR")</f>
        <v>OK</v>
      </c>
      <c r="F86" s="226" t="str">
        <f>IF(ROUND(IS!F52/IS!F59,1)=ROUND(IS!F55,1),"OK","ERROR")</f>
        <v>OK</v>
      </c>
      <c r="G86" s="226" t="str">
        <f>IF(ROUND(IS!G52/IS!G59,1)=ROUND(IS!G55,1),"OK","ERROR")</f>
        <v>OK</v>
      </c>
      <c r="H86" s="227" t="str">
        <f>IF(ROUND(IS!H52/IS!H59,1)=ROUND(IS!H55,1),"OK","ERROR")</f>
        <v>OK</v>
      </c>
      <c r="I86" s="228"/>
      <c r="J86" s="226" t="str">
        <f>IF(ROUND(IS!J52/IS!J59,1)=ROUND(IS!J55,1),"OK","ERROR")</f>
        <v>OK</v>
      </c>
      <c r="K86" s="226" t="str">
        <f>IF(ROUND(IS!K52/IS!K59,1)=ROUND(IS!K55,1),"OK","ERROR")</f>
        <v>OK</v>
      </c>
      <c r="L86" s="226" t="str">
        <f>IF(ROUND(IS!L52/IS!L59,1)=ROUND(IS!L55,1),"OK","ERROR")</f>
        <v>OK</v>
      </c>
      <c r="M86" s="226" t="str">
        <f>IF(ROUND(IS!M52/IS!M59,1)=ROUND(IS!M55,1),"OK","ERROR")</f>
        <v>OK</v>
      </c>
      <c r="N86" s="227" t="str">
        <f>IF(ROUND(IS!N52/IS!N59,1)=ROUND(IS!N55,1),"OK","ERROR")</f>
        <v>OK</v>
      </c>
      <c r="O86" s="228"/>
      <c r="P86" s="226" t="str">
        <f>IF(ROUND(IS!P52/IS!P59,1)=ROUND(IS!P55,1),"OK","ERROR")</f>
        <v>OK</v>
      </c>
      <c r="Q86" s="226" t="str">
        <f>IF(ROUND(IS!Q52/IS!Q59,1)=ROUND(IS!Q55,1),"OK","ERROR")</f>
        <v>OK</v>
      </c>
      <c r="R86" s="226" t="str">
        <f>IF(ROUND(IS!R52/IS!R59,1)=ROUND(IS!R55,1),"OK","ERROR")</f>
        <v>OK</v>
      </c>
      <c r="S86" s="226" t="str">
        <f>IF(ROUND(IS!S52/IS!S59,1)=ROUND(IS!S55,1),"OK","ERROR")</f>
        <v>OK</v>
      </c>
      <c r="T86" s="227" t="str">
        <f>IF(ROUND(IS!T52/IS!T59,1)=ROUND(IS!T55,1),"OK","ERROR")</f>
        <v>ERROR</v>
      </c>
      <c r="U86" s="228"/>
      <c r="V86" s="226" t="str">
        <f>IF(ROUND(IS!V52/IS!V59,1)=ROUND(IS!V55,1),"OK","ERROR")</f>
        <v>OK</v>
      </c>
      <c r="W86" s="226" t="str">
        <f>IF(ROUND(IS!W52/IS!W59,1)=ROUND(IS!W55,1),"OK","ERROR")</f>
        <v>OK</v>
      </c>
      <c r="X86" s="226" t="str">
        <f>IF(ROUND(IS!X52/IS!X59,1)=ROUND(IS!X55,1),"OK","ERROR")</f>
        <v>OK</v>
      </c>
      <c r="Y86" s="226" t="str">
        <f>IF(ROUND(IS!Y52/IS!Y59,1)=ROUND(IS!Y55,1),"OK","ERROR")</f>
        <v>OK</v>
      </c>
      <c r="Z86" s="227" t="str">
        <f>IF(ROUND(IS!Z52/IS!Z59,1)=ROUND(IS!Z55,1),"OK","ERROR")</f>
        <v>OK</v>
      </c>
      <c r="AA86" s="228"/>
      <c r="AB86" s="226" t="str">
        <f>IF(ROUND(IS!AB52/IS!AB59,1)=ROUND(IS!AB55,1),"OK","ERROR")</f>
        <v>OK</v>
      </c>
      <c r="AC86" s="226" t="str">
        <f>IF(ROUND(IS!AC52/IS!AC59,1)=ROUND(IS!AC55,1),"OK","ERROR")</f>
        <v>OK</v>
      </c>
      <c r="AD86" s="226" t="str">
        <f>IF(ROUND(IS!AD52/IS!AD59,1)=ROUND(IS!AD55,1),"OK","ERROR")</f>
        <v>OK</v>
      </c>
      <c r="AE86" s="226" t="str">
        <f>IF(ROUND(IS!AE52/IS!AE59,1)=ROUND(IS!AE55,1),"OK","ERROR")</f>
        <v>OK</v>
      </c>
      <c r="AF86" s="227" t="str">
        <f>IF(ROUND(IS!AF52/IS!AF59,1)=ROUND(IS!AF55,1),"OK","ERROR")</f>
        <v>OK</v>
      </c>
      <c r="AG86" s="229"/>
      <c r="AH86" s="226" t="str">
        <f>IF(ROUND(IS!AH52/IS!AH59,1)=ROUND(IS!AH55,1),"OK","ERROR")</f>
        <v>OK</v>
      </c>
      <c r="AI86" s="226" t="str">
        <f>IF(ROUND(IS!AI52/IS!AI59,1)=ROUND(IS!AI55,1),"OK","ERROR")</f>
        <v>OK</v>
      </c>
      <c r="AJ86" s="226" t="str">
        <f>IF(ROUND(IS!AJ52/IS!AJ59,1)=ROUND(IS!AJ55,1),"OK","ERROR")</f>
        <v>OK</v>
      </c>
      <c r="AK86" s="226" t="str">
        <f>IF(ROUND(IS!AK52/IS!AK59,1)=ROUND(IS!AK55,1),"OK","ERROR")</f>
        <v>OK</v>
      </c>
      <c r="AL86" s="227" t="str">
        <f>IF(ROUND(IS!AL52/IS!AL59,1)=ROUND(IS!AL55,1),"OK","ERROR")</f>
        <v>OK</v>
      </c>
      <c r="AM86" s="228"/>
      <c r="AN86" s="226" t="str">
        <f>IF(ROUND(IS!AN52/IS!AN59,1)=ROUND(IS!AN55,1),"OK","ERROR")</f>
        <v>OK</v>
      </c>
      <c r="AO86" s="226" t="str">
        <f>IF(ROUND(IS!AO52/IS!AO59,1)=ROUND(IS!AO55,1),"OK","ERROR")</f>
        <v>OK</v>
      </c>
      <c r="AP86" s="226" t="str">
        <f>IF(ROUND(IS!AP52/IS!AP59,1)=ROUND(IS!AP55,1),"OK","ERROR")</f>
        <v>OK</v>
      </c>
      <c r="AQ86" s="226" t="str">
        <f>IF(ROUND(IS!AQ52/IS!AQ59,1)=ROUND(IS!AQ55,1),"OK","ERROR")</f>
        <v>OK</v>
      </c>
      <c r="AR86" s="227" t="str">
        <f>IF(ROUND(IS!AR52/IS!AR59,1)=ROUND(IS!AR55,1),"OK","ERROR")</f>
        <v>OK</v>
      </c>
      <c r="AS86" s="228"/>
      <c r="AT86" s="227" t="str">
        <f>IF(ROUND(IS!AT52/IS!AT59,1)=ROUND(IS!AT55,1),"OK","ERROR")</f>
        <v>OK</v>
      </c>
      <c r="AU86" s="231"/>
      <c r="AV86" s="227" t="str">
        <f>IF(ROUND(IS!AV52/IS!AV59,1)=ROUND(IS!AV55,1),"OK","ERROR")</f>
        <v>OK</v>
      </c>
      <c r="AW86" s="231"/>
      <c r="AX86" s="227" t="str">
        <f>IF(ROUND(IS!AX52/IS!AX59,1)=ROUND(IS!AX55,1),"OK","ERROR")</f>
        <v>OK</v>
      </c>
    </row>
    <row r="87" spans="1:50" ht="14.25" customHeight="1" x14ac:dyDescent="0.25">
      <c r="A87" s="73"/>
      <c r="B87" s="76" t="s">
        <v>659</v>
      </c>
      <c r="D87" s="226" t="str">
        <f>IF(ROUND(IS!D52/IS!D60,1)=ROUND(IS!D56,1),"OK","ERROR")</f>
        <v>OK</v>
      </c>
      <c r="E87" s="226" t="str">
        <f>IF(ROUND(IS!E52/IS!E60,1)=ROUND(IS!E56,1),"OK","ERROR")</f>
        <v>OK</v>
      </c>
      <c r="F87" s="226" t="str">
        <f>IF(ROUND(IS!F52/IS!F60,1)=ROUND(IS!F56,1),"OK","ERROR")</f>
        <v>OK</v>
      </c>
      <c r="G87" s="226" t="str">
        <f>IF(ROUND(IS!G52/IS!G60,1)=ROUND(IS!G56,1),"OK","ERROR")</f>
        <v>OK</v>
      </c>
      <c r="H87" s="227" t="str">
        <f>IF(ROUND(IS!H52/IS!H60,1)=ROUND(IS!H56,1),"OK","ERROR")</f>
        <v>OK</v>
      </c>
      <c r="I87" s="228"/>
      <c r="J87" s="226" t="str">
        <f>IF(ROUND(IS!J52/IS!J60,1)=ROUND(IS!J56,1),"OK","ERROR")</f>
        <v>OK</v>
      </c>
      <c r="K87" s="226" t="str">
        <f>IF(ROUND(IS!K52/IS!K60,1)=ROUND(IS!K56,1),"OK","ERROR")</f>
        <v>OK</v>
      </c>
      <c r="L87" s="226" t="str">
        <f>IF(ROUND(IS!L52/IS!L60,1)=ROUND(IS!L56,1),"OK","ERROR")</f>
        <v>OK</v>
      </c>
      <c r="M87" s="226" t="str">
        <f>IF(ROUND(IS!M52/IS!M60,1)=ROUND(IS!M56,1),"OK","ERROR")</f>
        <v>OK</v>
      </c>
      <c r="N87" s="227" t="str">
        <f>IF(ROUND(IS!N52/IS!N60,1)=ROUND(IS!N56,1),"OK","ERROR")</f>
        <v>OK</v>
      </c>
      <c r="O87" s="228"/>
      <c r="P87" s="226" t="str">
        <f>IF(ROUND(IS!P52/IS!P60,1)=ROUND(IS!P56,1),"OK","ERROR")</f>
        <v>OK</v>
      </c>
      <c r="Q87" s="226" t="str">
        <f>IF(ROUND(IS!Q52/IS!Q60,1)=ROUND(IS!Q56,1),"OK","ERROR")</f>
        <v>OK</v>
      </c>
      <c r="R87" s="226" t="str">
        <f>IF(ROUND(IS!R52/IS!R60,1)=ROUND(IS!R56,1),"OK","ERROR")</f>
        <v>OK</v>
      </c>
      <c r="S87" s="226" t="str">
        <f>IF(ROUND(IS!S52/IS!S60,1)=ROUND(IS!S56,1),"OK","ERROR")</f>
        <v>OK</v>
      </c>
      <c r="T87" s="227" t="str">
        <f>IF(ROUND(IS!T52/IS!T60,1)=ROUND(IS!T56,1),"OK","ERROR")</f>
        <v>OK</v>
      </c>
      <c r="U87" s="228"/>
      <c r="V87" s="226" t="str">
        <f>IF(ROUND(IS!V52/IS!V60,1)=ROUND(IS!V56,1),"OK","ERROR")</f>
        <v>OK</v>
      </c>
      <c r="W87" s="226" t="str">
        <f>IF(ROUND(IS!W52/IS!W60,1)=ROUND(IS!W56,1),"OK","ERROR")</f>
        <v>OK</v>
      </c>
      <c r="X87" s="226" t="str">
        <f>IF(ROUND(IS!X52/IS!X60,1)=ROUND(IS!X56,1),"OK","ERROR")</f>
        <v>OK</v>
      </c>
      <c r="Y87" s="226" t="str">
        <f>IF(ROUND(IS!Y52/IS!Y60,1)=ROUND(IS!Y56,1),"OK","ERROR")</f>
        <v>OK</v>
      </c>
      <c r="Z87" s="227" t="str">
        <f>IF(ROUND(IS!Z52/IS!Z60,1)=ROUND(IS!Z56,1),"OK","ERROR")</f>
        <v>OK</v>
      </c>
      <c r="AA87" s="228"/>
      <c r="AB87" s="226" t="str">
        <f>IF(ROUND(IS!AB52/IS!AB60,1)=ROUND(IS!AB56,1),"OK","ERROR")</f>
        <v>OK</v>
      </c>
      <c r="AC87" s="226" t="str">
        <f>IF(ROUND(IS!AC52/IS!AC60,1)=ROUND(IS!AC56,1),"OK","ERROR")</f>
        <v>OK</v>
      </c>
      <c r="AD87" s="226" t="str">
        <f>IF(ROUND(IS!AD52/IS!AD60,1)=ROUND(IS!AD56,1),"OK","ERROR")</f>
        <v>ERROR</v>
      </c>
      <c r="AE87" s="226" t="str">
        <f>IF(ROUND(IS!AE52/IS!AE60,1)=ROUND(IS!AE56,1),"OK","ERROR")</f>
        <v>OK</v>
      </c>
      <c r="AF87" s="227" t="str">
        <f>IF(ROUND(IS!AF52/IS!AF60,1)=ROUND(IS!AF56,1),"OK","ERROR")</f>
        <v>OK</v>
      </c>
      <c r="AG87" s="229"/>
      <c r="AH87" s="226" t="str">
        <f>IF(ROUND(IS!AH52/IS!AH60,1)=ROUND(IS!AH56,1),"OK","ERROR")</f>
        <v>OK</v>
      </c>
      <c r="AI87" s="226" t="str">
        <f>IF(ROUND(IS!AI52/IS!AI60,1)=ROUND(IS!AI56,1),"OK","ERROR")</f>
        <v>OK</v>
      </c>
      <c r="AJ87" s="226" t="str">
        <f>IF(ROUND(IS!AJ52/IS!AJ60,1)=ROUND(IS!AJ56,1),"OK","ERROR")</f>
        <v>OK</v>
      </c>
      <c r="AK87" s="226" t="str">
        <f>IF(ROUND(IS!AK52/IS!AK60,1)=ROUND(IS!AK56,1),"OK","ERROR")</f>
        <v>OK</v>
      </c>
      <c r="AL87" s="227" t="str">
        <f>IF(ROUND(IS!AL52/IS!AL60,1)=ROUND(IS!AL56,1),"OK","ERROR")</f>
        <v>OK</v>
      </c>
      <c r="AM87" s="228"/>
      <c r="AN87" s="226" t="str">
        <f>IF(ROUND(IS!AN52/IS!AN60,1)=ROUND(IS!AN56,1),"OK","ERROR")</f>
        <v>OK</v>
      </c>
      <c r="AO87" s="226" t="str">
        <f>IF(ROUND(IS!AO52/IS!AO60,1)=ROUND(IS!AO56,1),"OK","ERROR")</f>
        <v>OK</v>
      </c>
      <c r="AP87" s="226" t="str">
        <f>IF(ROUND(IS!AP52/IS!AP60,1)=ROUND(IS!AP56,1),"OK","ERROR")</f>
        <v>OK</v>
      </c>
      <c r="AQ87" s="226" t="str">
        <f>IF(ROUND(IS!AQ52/IS!AQ60,1)=ROUND(IS!AQ56,1),"OK","ERROR")</f>
        <v>OK</v>
      </c>
      <c r="AR87" s="227" t="str">
        <f>IF(ROUND(IS!AR52/IS!AR60,1)=ROUND(IS!AR56,1),"OK","ERROR")</f>
        <v>OK</v>
      </c>
      <c r="AS87" s="228"/>
      <c r="AT87" s="227" t="str">
        <f>IF(ROUND(IS!AT52/IS!AT60,1)=ROUND(IS!AT56,1),"OK","ERROR")</f>
        <v>OK</v>
      </c>
      <c r="AU87" s="231"/>
      <c r="AV87" s="227" t="str">
        <f>IF(ROUND(IS!AV52/IS!AV60,1)=ROUND(IS!AV56,1),"OK","ERROR")</f>
        <v>OK</v>
      </c>
      <c r="AW87" s="231"/>
      <c r="AX87" s="227" t="str">
        <f>IF(ROUND(IS!AX52/IS!AX60,1)=ROUND(IS!AX56,1),"OK","ERROR")</f>
        <v>OK</v>
      </c>
    </row>
    <row r="89" spans="1:50" s="42" customFormat="1" ht="15" customHeight="1" x14ac:dyDescent="0.3">
      <c r="B89" s="147" t="s">
        <v>732</v>
      </c>
      <c r="C89" s="19"/>
      <c r="D89" s="188">
        <f>F89</f>
        <v>2020</v>
      </c>
      <c r="E89" s="188">
        <f>F89</f>
        <v>2020</v>
      </c>
      <c r="F89" s="188">
        <v>2020</v>
      </c>
      <c r="G89" s="188">
        <f>F89</f>
        <v>2020</v>
      </c>
      <c r="H89" s="188">
        <f>F89</f>
        <v>2020</v>
      </c>
      <c r="I89" s="19"/>
      <c r="J89" s="188">
        <f>L89</f>
        <v>2021</v>
      </c>
      <c r="K89" s="188">
        <f>L89</f>
        <v>2021</v>
      </c>
      <c r="L89" s="188">
        <v>2021</v>
      </c>
      <c r="M89" s="188">
        <f>L89</f>
        <v>2021</v>
      </c>
      <c r="N89" s="188">
        <f>L89</f>
        <v>2021</v>
      </c>
      <c r="O89" s="155"/>
      <c r="P89" s="188">
        <f>R89</f>
        <v>2022</v>
      </c>
      <c r="Q89" s="188">
        <f>R89</f>
        <v>2022</v>
      </c>
      <c r="R89" s="188">
        <v>2022</v>
      </c>
      <c r="S89" s="188">
        <f>R89</f>
        <v>2022</v>
      </c>
      <c r="T89" s="188">
        <f>R89</f>
        <v>2022</v>
      </c>
      <c r="U89" s="155"/>
      <c r="V89" s="188">
        <f>X89</f>
        <v>2023</v>
      </c>
      <c r="W89" s="188">
        <f>X89</f>
        <v>2023</v>
      </c>
      <c r="X89" s="188">
        <v>2023</v>
      </c>
      <c r="Y89" s="188">
        <f>X89</f>
        <v>2023</v>
      </c>
      <c r="Z89" s="188">
        <f>X89</f>
        <v>2023</v>
      </c>
      <c r="AA89" s="156"/>
      <c r="AB89" s="188">
        <f>AD89</f>
        <v>2024</v>
      </c>
      <c r="AC89" s="188">
        <f>AD89</f>
        <v>2024</v>
      </c>
      <c r="AD89" s="188">
        <v>2024</v>
      </c>
      <c r="AE89" s="188">
        <f>AD89</f>
        <v>2024</v>
      </c>
      <c r="AF89" s="188">
        <f>AD89</f>
        <v>2024</v>
      </c>
      <c r="AG89" s="156"/>
      <c r="AH89" s="188">
        <f>AJ89</f>
        <v>2025</v>
      </c>
      <c r="AI89" s="188">
        <f>AJ89</f>
        <v>2025</v>
      </c>
      <c r="AJ89" s="189">
        <v>2025</v>
      </c>
      <c r="AK89" s="188">
        <f>AJ89</f>
        <v>2025</v>
      </c>
      <c r="AL89" s="188">
        <f>AJ89</f>
        <v>2025</v>
      </c>
      <c r="AM89" s="157"/>
      <c r="AN89" s="188">
        <f>AP89</f>
        <v>2025</v>
      </c>
      <c r="AO89" s="188">
        <f>AP89</f>
        <v>2025</v>
      </c>
      <c r="AP89" s="189">
        <v>2025</v>
      </c>
      <c r="AQ89" s="188">
        <f>AP89</f>
        <v>2025</v>
      </c>
      <c r="AR89" s="188">
        <f>AP89</f>
        <v>2025</v>
      </c>
      <c r="AS89" s="19"/>
      <c r="AT89" s="148"/>
      <c r="AU89" s="19"/>
      <c r="AV89" s="149"/>
      <c r="AW89" s="19"/>
      <c r="AX89" s="149"/>
    </row>
    <row r="90" spans="1:50" s="42" customFormat="1" ht="15" customHeight="1" x14ac:dyDescent="0.3">
      <c r="B90" s="150"/>
      <c r="C90" s="19"/>
      <c r="D90" s="803">
        <v>2020</v>
      </c>
      <c r="E90" s="803"/>
      <c r="F90" s="803"/>
      <c r="G90" s="803"/>
      <c r="H90" s="803"/>
      <c r="I90" s="155"/>
      <c r="J90" s="803">
        <f>D90+1</f>
        <v>2021</v>
      </c>
      <c r="K90" s="803"/>
      <c r="L90" s="803"/>
      <c r="M90" s="803"/>
      <c r="N90" s="803"/>
      <c r="O90" s="155"/>
      <c r="P90" s="803">
        <f>J90+1</f>
        <v>2022</v>
      </c>
      <c r="Q90" s="803"/>
      <c r="R90" s="803"/>
      <c r="S90" s="803"/>
      <c r="T90" s="803"/>
      <c r="U90" s="155"/>
      <c r="V90" s="803">
        <f>P90+1</f>
        <v>2023</v>
      </c>
      <c r="W90" s="803"/>
      <c r="X90" s="803"/>
      <c r="Y90" s="803"/>
      <c r="Z90" s="803"/>
      <c r="AA90" s="155"/>
      <c r="AB90" s="803">
        <f>V90+1</f>
        <v>2024</v>
      </c>
      <c r="AC90" s="803"/>
      <c r="AD90" s="803"/>
      <c r="AE90" s="803"/>
      <c r="AF90" s="803"/>
      <c r="AG90" s="155"/>
      <c r="AH90" s="802">
        <f>AB90+1</f>
        <v>2025</v>
      </c>
      <c r="AI90" s="802"/>
      <c r="AJ90" s="802"/>
      <c r="AK90" s="802"/>
      <c r="AL90" s="802"/>
      <c r="AM90" s="155"/>
      <c r="AN90" s="802">
        <f>AH90+1</f>
        <v>2026</v>
      </c>
      <c r="AO90" s="802"/>
      <c r="AP90" s="802"/>
      <c r="AQ90" s="802"/>
      <c r="AR90" s="802"/>
      <c r="AS90" s="157"/>
      <c r="AT90" s="152">
        <f>AN90+1</f>
        <v>2027</v>
      </c>
      <c r="AU90" s="153"/>
      <c r="AV90" s="152">
        <f>+AT90+1</f>
        <v>2028</v>
      </c>
      <c r="AW90" s="153"/>
      <c r="AX90" s="152">
        <f>+AV90+1</f>
        <v>2029</v>
      </c>
    </row>
    <row r="91" spans="1:50" s="42" customFormat="1" ht="15" customHeight="1" x14ac:dyDescent="0.3">
      <c r="B91" s="150"/>
      <c r="C91" s="19"/>
      <c r="D91" s="154" t="s">
        <v>219</v>
      </c>
      <c r="E91" s="154" t="s">
        <v>220</v>
      </c>
      <c r="F91" s="154" t="s">
        <v>221</v>
      </c>
      <c r="G91" s="154" t="s">
        <v>222</v>
      </c>
      <c r="H91" s="154" t="s">
        <v>223</v>
      </c>
      <c r="I91" s="19"/>
      <c r="J91" s="154" t="s">
        <v>219</v>
      </c>
      <c r="K91" s="154" t="s">
        <v>220</v>
      </c>
      <c r="L91" s="154" t="s">
        <v>221</v>
      </c>
      <c r="M91" s="154" t="s">
        <v>222</v>
      </c>
      <c r="N91" s="154" t="s">
        <v>223</v>
      </c>
      <c r="O91" s="151"/>
      <c r="P91" s="154" t="s">
        <v>219</v>
      </c>
      <c r="Q91" s="154" t="s">
        <v>220</v>
      </c>
      <c r="R91" s="154" t="s">
        <v>221</v>
      </c>
      <c r="S91" s="154" t="s">
        <v>222</v>
      </c>
      <c r="T91" s="154" t="s">
        <v>223</v>
      </c>
      <c r="U91" s="151"/>
      <c r="V91" s="154" t="s">
        <v>219</v>
      </c>
      <c r="W91" s="154" t="s">
        <v>220</v>
      </c>
      <c r="X91" s="154" t="s">
        <v>221</v>
      </c>
      <c r="Y91" s="154" t="s">
        <v>222</v>
      </c>
      <c r="Z91" s="154" t="s">
        <v>223</v>
      </c>
      <c r="AA91" s="151"/>
      <c r="AB91" s="154" t="s">
        <v>219</v>
      </c>
      <c r="AC91" s="154" t="s">
        <v>220</v>
      </c>
      <c r="AD91" s="154" t="s">
        <v>221</v>
      </c>
      <c r="AE91" s="154" t="s">
        <v>222</v>
      </c>
      <c r="AF91" s="154" t="s">
        <v>223</v>
      </c>
      <c r="AG91" s="151"/>
      <c r="AH91" s="154" t="s">
        <v>219</v>
      </c>
      <c r="AI91" s="154" t="s">
        <v>220</v>
      </c>
      <c r="AJ91" s="154" t="s">
        <v>221</v>
      </c>
      <c r="AK91" s="154" t="s">
        <v>222</v>
      </c>
      <c r="AL91" s="154" t="s">
        <v>223</v>
      </c>
      <c r="AM91" s="151"/>
      <c r="AN91" s="154" t="s">
        <v>219</v>
      </c>
      <c r="AO91" s="154" t="s">
        <v>220</v>
      </c>
      <c r="AP91" s="154" t="s">
        <v>221</v>
      </c>
      <c r="AQ91" s="154" t="s">
        <v>222</v>
      </c>
      <c r="AR91" s="154" t="s">
        <v>223</v>
      </c>
      <c r="AS91" s="151"/>
      <c r="AT91" s="154" t="s">
        <v>223</v>
      </c>
      <c r="AU91" s="151"/>
      <c r="AV91" s="154" t="s">
        <v>223</v>
      </c>
      <c r="AW91" s="151"/>
      <c r="AX91" s="154" t="s">
        <v>223</v>
      </c>
    </row>
    <row r="92" spans="1:50" s="42" customFormat="1" ht="4.05" customHeight="1" x14ac:dyDescent="0.3">
      <c r="A92" s="44"/>
      <c r="B92" s="162"/>
      <c r="C92" s="36"/>
      <c r="D92" s="163"/>
      <c r="E92" s="163"/>
      <c r="F92" s="163"/>
      <c r="G92" s="163"/>
      <c r="H92" s="163"/>
      <c r="I92" s="36"/>
      <c r="J92" s="163"/>
      <c r="K92" s="163"/>
      <c r="L92" s="163"/>
      <c r="M92" s="163"/>
      <c r="N92" s="163"/>
      <c r="O92" s="164"/>
      <c r="P92" s="163"/>
      <c r="Q92" s="163"/>
      <c r="R92" s="163"/>
      <c r="S92" s="163"/>
      <c r="T92" s="163"/>
      <c r="U92" s="164"/>
      <c r="V92" s="163"/>
      <c r="W92" s="163"/>
      <c r="X92" s="163"/>
      <c r="Y92" s="163"/>
      <c r="Z92" s="163"/>
      <c r="AA92" s="164"/>
      <c r="AB92" s="163"/>
      <c r="AC92" s="163"/>
      <c r="AD92" s="163"/>
      <c r="AE92" s="163"/>
      <c r="AF92" s="163"/>
      <c r="AG92" s="164"/>
      <c r="AH92" s="163"/>
      <c r="AI92" s="163"/>
      <c r="AJ92" s="163"/>
      <c r="AK92" s="163"/>
      <c r="AL92" s="165"/>
      <c r="AM92" s="166"/>
      <c r="AN92" s="165"/>
      <c r="AO92" s="165"/>
      <c r="AP92" s="165"/>
      <c r="AQ92" s="165"/>
      <c r="AR92" s="165"/>
      <c r="AS92" s="166"/>
      <c r="AT92" s="165"/>
      <c r="AU92" s="166"/>
      <c r="AV92" s="165"/>
      <c r="AW92" s="166"/>
      <c r="AX92" s="165"/>
    </row>
    <row r="93" spans="1:50" s="42" customFormat="1" ht="4.05" customHeight="1" x14ac:dyDescent="0.3">
      <c r="A93" s="44"/>
      <c r="B93" s="158"/>
      <c r="C93" s="20"/>
      <c r="D93" s="159"/>
      <c r="E93" s="159"/>
      <c r="F93" s="159"/>
      <c r="G93" s="159"/>
      <c r="H93" s="159"/>
      <c r="I93" s="20"/>
      <c r="J93" s="159"/>
      <c r="K93" s="159"/>
      <c r="L93" s="159"/>
      <c r="M93" s="159"/>
      <c r="N93" s="159"/>
      <c r="O93" s="160"/>
      <c r="P93" s="159"/>
      <c r="Q93" s="159"/>
      <c r="R93" s="159"/>
      <c r="S93" s="159"/>
      <c r="T93" s="159"/>
      <c r="U93" s="160"/>
      <c r="V93" s="159"/>
      <c r="W93" s="159"/>
      <c r="X93" s="159"/>
      <c r="Y93" s="159"/>
      <c r="Z93" s="159"/>
      <c r="AA93" s="160"/>
      <c r="AB93" s="159"/>
      <c r="AC93" s="159"/>
      <c r="AD93" s="159"/>
      <c r="AE93" s="159"/>
      <c r="AF93" s="159"/>
      <c r="AG93" s="190"/>
      <c r="AH93" s="159"/>
      <c r="AI93" s="159"/>
      <c r="AJ93" s="159"/>
      <c r="AK93" s="159"/>
      <c r="AL93" s="161"/>
      <c r="AM93" s="35"/>
      <c r="AN93" s="161"/>
      <c r="AO93" s="161"/>
      <c r="AP93" s="161"/>
      <c r="AQ93" s="161"/>
      <c r="AR93" s="161"/>
      <c r="AS93" s="35"/>
      <c r="AT93" s="161"/>
      <c r="AU93" s="35"/>
      <c r="AV93" s="161"/>
      <c r="AW93" s="35"/>
      <c r="AX93" s="161"/>
    </row>
    <row r="94" spans="1:50" s="42" customFormat="1" ht="15" customHeight="1" x14ac:dyDescent="0.3">
      <c r="A94" s="45"/>
      <c r="B94" s="103" t="s">
        <v>666</v>
      </c>
      <c r="C94" s="18"/>
      <c r="D94" s="194"/>
      <c r="E94" s="194"/>
      <c r="F94" s="194"/>
      <c r="G94" s="194"/>
      <c r="H94" s="202"/>
      <c r="I94" s="234"/>
      <c r="J94" s="235"/>
      <c r="K94" s="235"/>
      <c r="L94" s="235"/>
      <c r="M94" s="235"/>
      <c r="N94" s="236"/>
      <c r="O94" s="236"/>
      <c r="P94" s="235"/>
      <c r="Q94" s="235"/>
      <c r="R94" s="235"/>
      <c r="S94" s="235"/>
      <c r="T94" s="236"/>
      <c r="U94" s="236"/>
      <c r="V94" s="235"/>
      <c r="W94" s="235"/>
      <c r="X94" s="235"/>
      <c r="Y94" s="235"/>
      <c r="Z94" s="236"/>
      <c r="AA94" s="236"/>
      <c r="AB94" s="237"/>
      <c r="AC94" s="237"/>
      <c r="AD94" s="237"/>
      <c r="AE94" s="237"/>
      <c r="AF94" s="236"/>
      <c r="AG94" s="238"/>
      <c r="AH94" s="239"/>
      <c r="AI94" s="239"/>
      <c r="AJ94" s="239"/>
      <c r="AK94" s="239"/>
      <c r="AL94" s="236"/>
      <c r="AM94" s="240"/>
      <c r="AN94" s="239"/>
      <c r="AO94" s="239"/>
      <c r="AP94" s="239"/>
      <c r="AQ94" s="239"/>
      <c r="AR94" s="236"/>
      <c r="AS94" s="240"/>
      <c r="AT94" s="236"/>
      <c r="AU94" s="240"/>
      <c r="AV94" s="236"/>
      <c r="AW94" s="241"/>
      <c r="AX94" s="241"/>
    </row>
    <row r="95" spans="1:50" s="110" customFormat="1" ht="15" customHeight="1" x14ac:dyDescent="0.3">
      <c r="B95" s="111"/>
      <c r="C95" s="112"/>
      <c r="D95" s="194"/>
      <c r="E95" s="194"/>
      <c r="F95" s="194"/>
      <c r="G95" s="194"/>
      <c r="H95" s="202"/>
      <c r="I95" s="242"/>
      <c r="J95" s="235"/>
      <c r="K95" s="235"/>
      <c r="L95" s="235"/>
      <c r="M95" s="235"/>
      <c r="N95" s="236"/>
      <c r="O95" s="242"/>
      <c r="P95" s="235"/>
      <c r="Q95" s="235"/>
      <c r="R95" s="235"/>
      <c r="S95" s="235"/>
      <c r="T95" s="236"/>
      <c r="U95" s="242"/>
      <c r="V95" s="235"/>
      <c r="W95" s="235"/>
      <c r="X95" s="235"/>
      <c r="Y95" s="235"/>
      <c r="Z95" s="236"/>
      <c r="AA95" s="243"/>
      <c r="AB95" s="237"/>
      <c r="AC95" s="237"/>
      <c r="AD95" s="237"/>
      <c r="AE95" s="237"/>
      <c r="AF95" s="236"/>
      <c r="AG95" s="244"/>
      <c r="AH95" s="245"/>
      <c r="AI95" s="245"/>
      <c r="AJ95" s="245"/>
      <c r="AK95" s="245"/>
      <c r="AL95" s="236"/>
      <c r="AM95" s="246"/>
      <c r="AN95" s="245"/>
      <c r="AO95" s="245"/>
      <c r="AP95" s="245"/>
      <c r="AQ95" s="245"/>
      <c r="AR95" s="236"/>
      <c r="AS95" s="246"/>
      <c r="AT95" s="236"/>
      <c r="AU95" s="246"/>
      <c r="AV95" s="236"/>
      <c r="AW95" s="247"/>
      <c r="AX95" s="247"/>
    </row>
    <row r="96" spans="1:50" s="42" customFormat="1" ht="15" customHeight="1" x14ac:dyDescent="0.3">
      <c r="A96" s="45" t="s">
        <v>38</v>
      </c>
      <c r="B96" s="111" t="s">
        <v>667</v>
      </c>
      <c r="C96" s="18"/>
      <c r="D96" s="194"/>
      <c r="E96" s="194"/>
      <c r="F96" s="194"/>
      <c r="G96" s="194"/>
      <c r="H96" s="206"/>
      <c r="I96" s="234"/>
      <c r="J96" s="248"/>
      <c r="K96" s="248"/>
      <c r="L96" s="248"/>
      <c r="M96" s="248"/>
      <c r="N96" s="236"/>
      <c r="O96" s="234"/>
      <c r="P96" s="248"/>
      <c r="Q96" s="248"/>
      <c r="R96" s="248"/>
      <c r="S96" s="248"/>
      <c r="T96" s="236"/>
      <c r="U96" s="234"/>
      <c r="V96" s="248"/>
      <c r="W96" s="248"/>
      <c r="X96" s="248"/>
      <c r="Y96" s="248"/>
      <c r="Z96" s="236"/>
      <c r="AA96" s="249"/>
      <c r="AB96" s="250"/>
      <c r="AC96" s="250"/>
      <c r="AD96" s="250"/>
      <c r="AE96" s="250"/>
      <c r="AF96" s="236"/>
      <c r="AG96" s="251"/>
      <c r="AH96" s="252"/>
      <c r="AI96" s="252"/>
      <c r="AJ96" s="252"/>
      <c r="AK96" s="252"/>
      <c r="AL96" s="236"/>
      <c r="AM96" s="253"/>
      <c r="AN96" s="252"/>
      <c r="AO96" s="252"/>
      <c r="AP96" s="252"/>
      <c r="AQ96" s="252"/>
      <c r="AR96" s="236"/>
      <c r="AS96" s="253"/>
      <c r="AT96" s="236"/>
      <c r="AU96" s="253"/>
      <c r="AV96" s="236"/>
      <c r="AW96" s="241"/>
      <c r="AX96" s="241"/>
    </row>
    <row r="97" spans="1:50" s="42" customFormat="1" ht="15" customHeight="1" x14ac:dyDescent="0.3">
      <c r="A97" s="45"/>
      <c r="B97" s="122" t="s">
        <v>668</v>
      </c>
      <c r="C97" s="18"/>
      <c r="D97" s="194" t="str">
        <f>IF(ROUND(BS!D15,0)=ROUND(SUM(BS!D16:D17),0),"OK","ERROR")</f>
        <v>OK</v>
      </c>
      <c r="E97" s="194" t="str">
        <f>IF(ROUND(BS!E15,0)=ROUND(SUM(BS!E16:E17),0),"OK","ERROR")</f>
        <v>OK</v>
      </c>
      <c r="F97" s="194" t="str">
        <f>IF(ROUND(BS!F15,0)=ROUND(SUM(BS!F16:F17),0),"OK","ERROR")</f>
        <v>OK</v>
      </c>
      <c r="G97" s="194" t="str">
        <f>IF(ROUND(BS!G15,0)=ROUND(SUM(BS!G16:G17),0),"OK","ERROR")</f>
        <v>OK</v>
      </c>
      <c r="H97" s="206" t="str">
        <f>IF(ROUND(BS!H15,0)=ROUND(SUM(BS!H16:H17),0),"OK","ERROR")</f>
        <v>OK</v>
      </c>
      <c r="I97" s="234"/>
      <c r="J97" s="194" t="str">
        <f>IF(ROUND(BS!J15,0)=ROUND(SUM(BS!J16:J17),0),"OK","ERROR")</f>
        <v>OK</v>
      </c>
      <c r="K97" s="194" t="str">
        <f>IF(ROUND(BS!K15,0)=ROUND(SUM(BS!K16:K17),0),"OK","ERROR")</f>
        <v>OK</v>
      </c>
      <c r="L97" s="194" t="str">
        <f>IF(ROUND(BS!L15,0)=ROUND(SUM(BS!L16:L17),0),"OK","ERROR")</f>
        <v>OK</v>
      </c>
      <c r="M97" s="194" t="str">
        <f>IF(ROUND(BS!M15,0)=ROUND(SUM(BS!M16:M17),0),"OK","ERROR")</f>
        <v>OK</v>
      </c>
      <c r="N97" s="206" t="str">
        <f>IF(ROUND(BS!N15,0)=ROUND(SUM(BS!N16:N17),0),"OK","ERROR")</f>
        <v>OK</v>
      </c>
      <c r="O97" s="234"/>
      <c r="P97" s="194" t="str">
        <f>IF(ROUND(BS!P15,0)=ROUND(SUM(BS!P16:P17),0),"OK","ERROR")</f>
        <v>OK</v>
      </c>
      <c r="Q97" s="194" t="str">
        <f>IF(ROUND(BS!Q15,0)=ROUND(SUM(BS!Q16:Q17),0),"OK","ERROR")</f>
        <v>OK</v>
      </c>
      <c r="R97" s="194" t="str">
        <f>IF(ROUND(BS!R15,0)=ROUND(SUM(BS!R16:R17),0),"OK","ERROR")</f>
        <v>OK</v>
      </c>
      <c r="S97" s="194" t="str">
        <f>IF(ROUND(BS!S15,0)=ROUND(SUM(BS!S16:S17),0),"OK","ERROR")</f>
        <v>OK</v>
      </c>
      <c r="T97" s="206" t="str">
        <f>IF(ROUND(BS!T15,0)=ROUND(SUM(BS!T16:T17),0),"OK","ERROR")</f>
        <v>OK</v>
      </c>
      <c r="U97" s="234"/>
      <c r="V97" s="194" t="str">
        <f>IF(ROUND(BS!V15,0)=ROUND(SUM(BS!V16:V17),0),"OK","ERROR")</f>
        <v>OK</v>
      </c>
      <c r="W97" s="194" t="str">
        <f>IF(ROUND(BS!W15,0)=ROUND(SUM(BS!W16:W17),0),"OK","ERROR")</f>
        <v>OK</v>
      </c>
      <c r="X97" s="194" t="str">
        <f>IF(ROUND(BS!X15,0)=ROUND(SUM(BS!X16:X17),0),"OK","ERROR")</f>
        <v>OK</v>
      </c>
      <c r="Y97" s="194" t="str">
        <f>IF(ROUND(BS!Y15,0)=ROUND(SUM(BS!Y16:Y17),0),"OK","ERROR")</f>
        <v>OK</v>
      </c>
      <c r="Z97" s="206" t="str">
        <f>IF(ROUND(BS!Z15,0)=ROUND(SUM(BS!Z16:Z17),0),"OK","ERROR")</f>
        <v>OK</v>
      </c>
      <c r="AA97" s="249"/>
      <c r="AB97" s="194" t="str">
        <f>IF(ROUND(BS!AB15,0)=ROUND(SUM(BS!AB16:AB17),0),"OK","ERROR")</f>
        <v>OK</v>
      </c>
      <c r="AC97" s="194" t="str">
        <f>IF(ROUND(BS!AC15,0)=ROUND(SUM(BS!AC16:AC17),0),"OK","ERROR")</f>
        <v>OK</v>
      </c>
      <c r="AD97" s="194" t="str">
        <f>IF(ROUND(BS!AD15,0)=ROUND(SUM(BS!AD16:AD17),0),"OK","ERROR")</f>
        <v>OK</v>
      </c>
      <c r="AE97" s="194" t="str">
        <f>IF(ROUND(BS!AE15,0)=ROUND(SUM(BS!AE16:AE17),0),"OK","ERROR")</f>
        <v>OK</v>
      </c>
      <c r="AF97" s="206" t="str">
        <f>IF(ROUND(BS!AF15,0)=ROUND(SUM(BS!AF16:AF17),0),"OK","ERROR")</f>
        <v>OK</v>
      </c>
      <c r="AG97" s="251"/>
      <c r="AH97" s="194" t="str">
        <f>IF(ROUND(BS!AH15,0)=ROUND(SUM(BS!AH16:AH17),0),"OK","ERROR")</f>
        <v>OK</v>
      </c>
      <c r="AI97" s="194" t="str">
        <f>IF(ROUND(BS!AI15,0)=ROUND(SUM(BS!AI16:AI17),0),"OK","ERROR")</f>
        <v>OK</v>
      </c>
      <c r="AJ97" s="194" t="e">
        <f ca="1">IF(ROUND(BS!AJ15,0)=ROUND(SUM(BS!AJ16:AJ17),0),"OK","ERROR")</f>
        <v>#NAME?</v>
      </c>
      <c r="AK97" s="194" t="str">
        <f>IF(ROUND(BS!AK15,0)=ROUND(SUM(BS!AK16:AK17),0),"OK","ERROR")</f>
        <v>OK</v>
      </c>
      <c r="AL97" s="206" t="str">
        <f>IF(ROUND(BS!AL15,0)=ROUND(SUM(BS!AL16:AL17),0),"OK","ERROR")</f>
        <v>OK</v>
      </c>
      <c r="AM97" s="253"/>
      <c r="AN97" s="194" t="str">
        <f>IF(ROUND(BS!AN15,0)=ROUND(SUM(BS!AN16:AN17),0),"OK","ERROR")</f>
        <v>OK</v>
      </c>
      <c r="AO97" s="194" t="str">
        <f>IF(ROUND(BS!AO15,0)=ROUND(SUM(BS!AO16:AO17),0),"OK","ERROR")</f>
        <v>OK</v>
      </c>
      <c r="AP97" s="194" t="str">
        <f>IF(ROUND(BS!AP15,0)=ROUND(SUM(BS!AP16:AP17),0),"OK","ERROR")</f>
        <v>OK</v>
      </c>
      <c r="AQ97" s="194" t="str">
        <f>IF(ROUND(BS!AQ15,0)=ROUND(SUM(BS!AQ16:AQ17),0),"OK","ERROR")</f>
        <v>OK</v>
      </c>
      <c r="AR97" s="206" t="str">
        <f>IF(ROUND(BS!AR15,0)=ROUND(SUM(BS!AR16:AR17),0),"OK","ERROR")</f>
        <v>OK</v>
      </c>
      <c r="AS97" s="253"/>
      <c r="AT97" s="206" t="str">
        <f>IF(ROUND(BS!AT15,0)=ROUND(SUM(BS!AT16:AT17),0),"OK","ERROR")</f>
        <v>OK</v>
      </c>
      <c r="AU97" s="253"/>
      <c r="AV97" s="206" t="str">
        <f>IF(ROUND(BS!AV15,0)=ROUND(SUM(BS!AV16:AV17),0),"OK","ERROR")</f>
        <v>OK</v>
      </c>
      <c r="AW97" s="241"/>
      <c r="AX97" s="206" t="str">
        <f>IF(ROUND(BS!AX15,0)=ROUND(SUM(BS!AX16:AX17),0),"OK","ERROR")</f>
        <v>OK</v>
      </c>
    </row>
    <row r="98" spans="1:50" s="126" customFormat="1" ht="15" customHeight="1" x14ac:dyDescent="0.25">
      <c r="A98" s="84"/>
      <c r="B98" s="60" t="s">
        <v>673</v>
      </c>
      <c r="C98" s="27"/>
      <c r="D98" s="203" t="str">
        <f>IF(ROUND(BS!D21,0)=ROUND(SUM(BS!D16:D20),0),"OK","ERROR")</f>
        <v>ERROR</v>
      </c>
      <c r="E98" s="203" t="str">
        <f>IF(ROUND(BS!E21,0)=ROUND(SUM(BS!E16:E20),0),"OK","ERROR")</f>
        <v>ERROR</v>
      </c>
      <c r="F98" s="203" t="str">
        <f>IF(ROUND(BS!F21,0)=ROUND(SUM(BS!F16:F20),0),"OK","ERROR")</f>
        <v>ERROR</v>
      </c>
      <c r="G98" s="203" t="str">
        <f>IF(ROUND(BS!G21,0)=ROUND(SUM(BS!G16:G20),0),"OK","ERROR")</f>
        <v>ERROR</v>
      </c>
      <c r="H98" s="213" t="str">
        <f>IF(ROUND(BS!H21,0)=ROUND(SUM(BS!H16:H20),0),"OK","ERROR")</f>
        <v>ERROR</v>
      </c>
      <c r="I98" s="254"/>
      <c r="J98" s="203" t="str">
        <f>IF(ROUND(BS!J21,0)=ROUND(SUM(BS!J16:J20),0),"OK","ERROR")</f>
        <v>ERROR</v>
      </c>
      <c r="K98" s="203" t="str">
        <f>IF(ROUND(BS!K21,0)=ROUND(SUM(BS!K16:K20),0),"OK","ERROR")</f>
        <v>ERROR</v>
      </c>
      <c r="L98" s="203" t="str">
        <f>IF(ROUND(BS!L21,0)=ROUND(SUM(BS!L16:L20),0),"OK","ERROR")</f>
        <v>ERROR</v>
      </c>
      <c r="M98" s="203" t="str">
        <f>IF(ROUND(BS!M21,0)=ROUND(SUM(BS!M16:M20),0),"OK","ERROR")</f>
        <v>ERROR</v>
      </c>
      <c r="N98" s="213" t="str">
        <f>IF(ROUND(BS!N21,0)=ROUND(SUM(BS!N16:N20),0),"OK","ERROR")</f>
        <v>ERROR</v>
      </c>
      <c r="O98" s="254"/>
      <c r="P98" s="203" t="str">
        <f>IF(ROUND(BS!P21,0)=ROUND(SUM(BS!P16:P20),0),"OK","ERROR")</f>
        <v>ERROR</v>
      </c>
      <c r="Q98" s="203" t="str">
        <f>IF(ROUND(BS!Q21,0)=ROUND(SUM(BS!Q16:Q20),0),"OK","ERROR")</f>
        <v>ERROR</v>
      </c>
      <c r="R98" s="203" t="str">
        <f>IF(ROUND(BS!R21,0)=ROUND(SUM(BS!R16:R20),0),"OK","ERROR")</f>
        <v>ERROR</v>
      </c>
      <c r="S98" s="203" t="str">
        <f>IF(ROUND(BS!S21,0)=ROUND(SUM(BS!S16:S20),0),"OK","ERROR")</f>
        <v>ERROR</v>
      </c>
      <c r="T98" s="213" t="str">
        <f>IF(ROUND(BS!T21,0)=ROUND(SUM(BS!T16:T20),0),"OK","ERROR")</f>
        <v>ERROR</v>
      </c>
      <c r="U98" s="254"/>
      <c r="V98" s="203" t="str">
        <f>IF(ROUND(BS!V21,0)=ROUND(SUM(BS!V16:V20),0),"OK","ERROR")</f>
        <v>ERROR</v>
      </c>
      <c r="W98" s="203" t="str">
        <f>IF(ROUND(BS!W21,0)=ROUND(SUM(BS!W16:W20),0),"OK","ERROR")</f>
        <v>ERROR</v>
      </c>
      <c r="X98" s="203" t="str">
        <f>IF(ROUND(BS!X21,0)=ROUND(SUM(BS!X16:X20),0),"OK","ERROR")</f>
        <v>ERROR</v>
      </c>
      <c r="Y98" s="203" t="str">
        <f>IF(ROUND(BS!Y21,0)=ROUND(SUM(BS!Y16:Y20),0),"OK","ERROR")</f>
        <v>ERROR</v>
      </c>
      <c r="Z98" s="213" t="str">
        <f>IF(ROUND(BS!Z21,0)=ROUND(SUM(BS!Z16:Z20),0),"OK","ERROR")</f>
        <v>ERROR</v>
      </c>
      <c r="AA98" s="255"/>
      <c r="AB98" s="203" t="str">
        <f>IF(ROUND(BS!AB21,0)=ROUND(SUM(BS!AB16:AB20),0),"OK","ERROR")</f>
        <v>ERROR</v>
      </c>
      <c r="AC98" s="203" t="str">
        <f>IF(ROUND(BS!AC21,0)=ROUND(SUM(BS!AC16:AC20),0),"OK","ERROR")</f>
        <v>ERROR</v>
      </c>
      <c r="AD98" s="203" t="str">
        <f>IF(ROUND(BS!AD21,0)=ROUND(SUM(BS!AD16:AD20),0),"OK","ERROR")</f>
        <v>ERROR</v>
      </c>
      <c r="AE98" s="203" t="str">
        <f>IF(ROUND(BS!AE21,0)=ROUND(SUM(BS!AE16:AE20),0),"OK","ERROR")</f>
        <v>ERROR</v>
      </c>
      <c r="AF98" s="213" t="str">
        <f>IF(ROUND(BS!AF21,0)=ROUND(SUM(BS!AF16:AF20),0),"OK","ERROR")</f>
        <v>ERROR</v>
      </c>
      <c r="AG98" s="256"/>
      <c r="AH98" s="203" t="str">
        <f>IF(ROUND(BS!AH21,0)=ROUND(SUM(BS!AH16:AH20),0),"OK","ERROR")</f>
        <v>ERROR</v>
      </c>
      <c r="AI98" s="203" t="str">
        <f>IF(ROUND(BS!AI21,0)=ROUND(SUM(BS!AI16:AI20),0),"OK","ERROR")</f>
        <v>ERROR</v>
      </c>
      <c r="AJ98" s="203" t="e">
        <f ca="1">IF(ROUND(BS!AJ21,0)=ROUND(SUM(BS!AJ16:AJ20),0),"OK","ERROR")</f>
        <v>#NAME?</v>
      </c>
      <c r="AK98" s="203" t="str">
        <f>IF(ROUND(BS!AK21,0)=ROUND(SUM(BS!AK16:AK20),0),"OK","ERROR")</f>
        <v>ERROR</v>
      </c>
      <c r="AL98" s="213" t="str">
        <f>IF(ROUND(BS!AL21,0)=ROUND(SUM(BS!AL16:AL20),0),"OK","ERROR")</f>
        <v>ERROR</v>
      </c>
      <c r="AM98" s="257"/>
      <c r="AN98" s="203" t="str">
        <f>IF(ROUND(BS!AN21,0)=ROUND(SUM(BS!AN16:AN20),0),"OK","ERROR")</f>
        <v>ERROR</v>
      </c>
      <c r="AO98" s="203" t="str">
        <f>IF(ROUND(BS!AO21,0)=ROUND(SUM(BS!AO16:AO20),0),"OK","ERROR")</f>
        <v>ERROR</v>
      </c>
      <c r="AP98" s="203" t="str">
        <f>IF(ROUND(BS!AP21,0)=ROUND(SUM(BS!AP16:AP20),0),"OK","ERROR")</f>
        <v>ERROR</v>
      </c>
      <c r="AQ98" s="203" t="str">
        <f>IF(ROUND(BS!AQ21,0)=ROUND(SUM(BS!AQ16:AQ20),0),"OK","ERROR")</f>
        <v>ERROR</v>
      </c>
      <c r="AR98" s="213" t="str">
        <f>IF(ROUND(BS!AR21,0)=ROUND(SUM(BS!AR16:AR20),0),"OK","ERROR")</f>
        <v>ERROR</v>
      </c>
      <c r="AS98" s="257"/>
      <c r="AT98" s="213" t="str">
        <f>IF(ROUND(BS!AT21,0)=ROUND(SUM(BS!AT16:AT20),0),"OK","ERROR")</f>
        <v>ERROR</v>
      </c>
      <c r="AU98" s="257"/>
      <c r="AV98" s="213" t="str">
        <f>IF(ROUND(BS!AV21,0)=ROUND(SUM(BS!AV16:AV20),0),"OK","ERROR")</f>
        <v>ERROR</v>
      </c>
      <c r="AW98" s="258"/>
      <c r="AX98" s="213" t="str">
        <f>IF(ROUND(BS!AX21,0)=ROUND(SUM(BS!AX16:AX20),0),"OK","ERROR")</f>
        <v>OK</v>
      </c>
    </row>
    <row r="99" spans="1:50" s="42" customFormat="1" ht="15" customHeight="1" x14ac:dyDescent="0.3">
      <c r="A99" s="44"/>
      <c r="B99" s="127"/>
      <c r="C99" s="18"/>
      <c r="D99" s="194"/>
      <c r="E99" s="194"/>
      <c r="F99" s="194"/>
      <c r="G99" s="194"/>
      <c r="H99" s="206"/>
      <c r="I99" s="234"/>
      <c r="J99" s="194"/>
      <c r="K99" s="194"/>
      <c r="L99" s="194"/>
      <c r="M99" s="194"/>
      <c r="N99" s="206"/>
      <c r="O99" s="234"/>
      <c r="P99" s="194"/>
      <c r="Q99" s="194"/>
      <c r="R99" s="194"/>
      <c r="S99" s="194"/>
      <c r="T99" s="206"/>
      <c r="U99" s="234"/>
      <c r="V99" s="194"/>
      <c r="W99" s="194"/>
      <c r="X99" s="194"/>
      <c r="Y99" s="194"/>
      <c r="Z99" s="206"/>
      <c r="AA99" s="249"/>
      <c r="AB99" s="194"/>
      <c r="AC99" s="194"/>
      <c r="AD99" s="194"/>
      <c r="AE99" s="194"/>
      <c r="AF99" s="206"/>
      <c r="AG99" s="251"/>
      <c r="AH99" s="194"/>
      <c r="AI99" s="194"/>
      <c r="AJ99" s="194"/>
      <c r="AK99" s="194"/>
      <c r="AL99" s="206"/>
      <c r="AM99" s="253"/>
      <c r="AN99" s="194"/>
      <c r="AO99" s="194"/>
      <c r="AP99" s="194"/>
      <c r="AQ99" s="194"/>
      <c r="AR99" s="206"/>
      <c r="AS99" s="253"/>
      <c r="AT99" s="206"/>
      <c r="AU99" s="253"/>
      <c r="AV99" s="206"/>
      <c r="AW99" s="241"/>
      <c r="AX99" s="206"/>
    </row>
    <row r="100" spans="1:50" s="110" customFormat="1" ht="15" customHeight="1" x14ac:dyDescent="0.25">
      <c r="A100" s="45" t="s">
        <v>38</v>
      </c>
      <c r="B100" s="46" t="s">
        <v>674</v>
      </c>
      <c r="C100" s="112"/>
      <c r="D100" s="194"/>
      <c r="E100" s="194"/>
      <c r="F100" s="194"/>
      <c r="G100" s="194"/>
      <c r="H100" s="206"/>
      <c r="I100" s="242"/>
      <c r="J100" s="194"/>
      <c r="K100" s="194"/>
      <c r="L100" s="194"/>
      <c r="M100" s="194"/>
      <c r="N100" s="206"/>
      <c r="O100" s="242"/>
      <c r="P100" s="194"/>
      <c r="Q100" s="194"/>
      <c r="R100" s="194"/>
      <c r="S100" s="194"/>
      <c r="T100" s="206"/>
      <c r="U100" s="242"/>
      <c r="V100" s="194"/>
      <c r="W100" s="194"/>
      <c r="X100" s="194"/>
      <c r="Y100" s="194"/>
      <c r="Z100" s="206"/>
      <c r="AA100" s="259"/>
      <c r="AB100" s="194"/>
      <c r="AC100" s="194"/>
      <c r="AD100" s="194"/>
      <c r="AE100" s="194"/>
      <c r="AF100" s="206"/>
      <c r="AG100" s="260"/>
      <c r="AH100" s="194"/>
      <c r="AI100" s="194"/>
      <c r="AJ100" s="194"/>
      <c r="AK100" s="194"/>
      <c r="AL100" s="206"/>
      <c r="AM100" s="259"/>
      <c r="AN100" s="194"/>
      <c r="AO100" s="194"/>
      <c r="AP100" s="194"/>
      <c r="AQ100" s="194"/>
      <c r="AR100" s="206"/>
      <c r="AS100" s="259"/>
      <c r="AT100" s="206"/>
      <c r="AU100" s="259"/>
      <c r="AV100" s="206"/>
      <c r="AW100" s="247"/>
      <c r="AX100" s="206"/>
    </row>
    <row r="101" spans="1:50" s="110" customFormat="1" ht="15" customHeight="1" x14ac:dyDescent="0.25">
      <c r="A101" s="45"/>
      <c r="B101" s="122" t="s">
        <v>488</v>
      </c>
      <c r="C101" s="112"/>
      <c r="D101" s="194" t="str">
        <f>IF(ROUND(BS!D24,0)=ROUND(BS!D25-BS!D26,0),"OK","ERROR")</f>
        <v>OK</v>
      </c>
      <c r="E101" s="194" t="str">
        <f>IF(ROUND(BS!E24,0)=ROUND(BS!E25-BS!E26,0),"OK","ERROR")</f>
        <v>OK</v>
      </c>
      <c r="F101" s="194" t="str">
        <f>IF(ROUND(BS!F24,0)=ROUND(BS!F25-BS!F26,0),"OK","ERROR")</f>
        <v>OK</v>
      </c>
      <c r="G101" s="194" t="str">
        <f>IF(ROUND(BS!G24,0)=ROUND(BS!G25-BS!G26,0),"OK","ERROR")</f>
        <v>OK</v>
      </c>
      <c r="H101" s="206" t="str">
        <f>IF(ROUND(BS!H24,0)=ROUND(BS!H25-BS!H26,0),"OK","ERROR")</f>
        <v>OK</v>
      </c>
      <c r="I101" s="242"/>
      <c r="J101" s="194" t="str">
        <f>IF(ROUND(BS!J24,0)=ROUND(BS!J25-BS!J26,0),"OK","ERROR")</f>
        <v>OK</v>
      </c>
      <c r="K101" s="194" t="str">
        <f>IF(ROUND(BS!K24,0)=ROUND(BS!K25-BS!K26,0),"OK","ERROR")</f>
        <v>OK</v>
      </c>
      <c r="L101" s="194" t="str">
        <f>IF(ROUND(BS!L24,0)=ROUND(BS!L25-BS!L26,0),"OK","ERROR")</f>
        <v>OK</v>
      </c>
      <c r="M101" s="194" t="str">
        <f>IF(ROUND(BS!M24,0)=ROUND(BS!M25-BS!M26,0),"OK","ERROR")</f>
        <v>OK</v>
      </c>
      <c r="N101" s="206" t="str">
        <f>IF(ROUND(BS!N24,0)=ROUND(BS!N25-BS!N26,0),"OK","ERROR")</f>
        <v>OK</v>
      </c>
      <c r="O101" s="242"/>
      <c r="P101" s="194" t="str">
        <f>IF(ROUND(BS!P24,0)=ROUND(BS!P25-BS!P26,0),"OK","ERROR")</f>
        <v>OK</v>
      </c>
      <c r="Q101" s="194" t="str">
        <f>IF(ROUND(BS!Q24,0)=ROUND(BS!Q25-BS!Q26,0),"OK","ERROR")</f>
        <v>OK</v>
      </c>
      <c r="R101" s="194" t="str">
        <f>IF(ROUND(BS!R24,0)=ROUND(BS!R25-BS!R26,0),"OK","ERROR")</f>
        <v>OK</v>
      </c>
      <c r="S101" s="194" t="str">
        <f>IF(ROUND(BS!S24,0)=ROUND(BS!S25-BS!S26,0),"OK","ERROR")</f>
        <v>OK</v>
      </c>
      <c r="T101" s="206" t="str">
        <f>IF(ROUND(BS!T24,0)=ROUND(BS!T25-BS!T26,0),"OK","ERROR")</f>
        <v>OK</v>
      </c>
      <c r="U101" s="242"/>
      <c r="V101" s="194" t="str">
        <f>IF(ROUND(BS!V24,0)=ROUND(BS!V25-BS!V26,0),"OK","ERROR")</f>
        <v>OK</v>
      </c>
      <c r="W101" s="194" t="str">
        <f>IF(ROUND(BS!W24,0)=ROUND(BS!W25-BS!W26,0),"OK","ERROR")</f>
        <v>OK</v>
      </c>
      <c r="X101" s="194" t="str">
        <f>IF(ROUND(BS!X24,0)=ROUND(BS!X25-BS!X26,0),"OK","ERROR")</f>
        <v>OK</v>
      </c>
      <c r="Y101" s="194" t="str">
        <f>IF(ROUND(BS!Y24,0)=ROUND(BS!Y25-BS!Y26,0),"OK","ERROR")</f>
        <v>OK</v>
      </c>
      <c r="Z101" s="206" t="str">
        <f>IF(ROUND(BS!Z24,0)=ROUND(BS!Z25-BS!Z26,0),"OK","ERROR")</f>
        <v>OK</v>
      </c>
      <c r="AA101" s="259"/>
      <c r="AB101" s="194" t="str">
        <f>IF(ROUND(BS!AB24,0)=ROUND(BS!AB25-BS!AB26,0),"OK","ERROR")</f>
        <v>OK</v>
      </c>
      <c r="AC101" s="194" t="str">
        <f>IF(ROUND(BS!AC24,0)=ROUND(BS!AC25-BS!AC26,0),"OK","ERROR")</f>
        <v>OK</v>
      </c>
      <c r="AD101" s="194" t="str">
        <f>IF(ROUND(BS!AD24,0)=ROUND(BS!AD25-BS!AD26,0),"OK","ERROR")</f>
        <v>OK</v>
      </c>
      <c r="AE101" s="194" t="str">
        <f>IF(ROUND(BS!AE24,0)=ROUND(BS!AE25-BS!AE26,0),"OK","ERROR")</f>
        <v>OK</v>
      </c>
      <c r="AF101" s="206" t="str">
        <f>IF(ROUND(BS!AF24,0)=ROUND(BS!AF25-BS!AF26,0),"OK","ERROR")</f>
        <v>OK</v>
      </c>
      <c r="AG101" s="260"/>
      <c r="AH101" s="194" t="str">
        <f>IF(ROUND(BS!AH24,0)=ROUND(BS!AH25-BS!AH26,0),"OK","ERROR")</f>
        <v>OK</v>
      </c>
      <c r="AI101" s="194" t="str">
        <f>IF(ROUND(BS!AI24,0)=ROUND(BS!AI25-BS!AI26,0),"OK","ERROR")</f>
        <v>OK</v>
      </c>
      <c r="AJ101" s="194" t="e">
        <f ca="1">IF(ROUND(BS!AJ24,0)=ROUND(BS!AJ25-BS!AJ26,0),"OK","ERROR")</f>
        <v>#NAME?</v>
      </c>
      <c r="AK101" s="194" t="str">
        <f>IF(ROUND(BS!AK24,0)=ROUND(BS!AK25-BS!AK26,0),"OK","ERROR")</f>
        <v>ERROR</v>
      </c>
      <c r="AL101" s="206" t="str">
        <f>IF(ROUND(BS!AL24,0)=ROUND(BS!AL25-BS!AL26,0),"OK","ERROR")</f>
        <v>ERROR</v>
      </c>
      <c r="AM101" s="259"/>
      <c r="AN101" s="194" t="str">
        <f>IF(ROUND(BS!AN24,0)=ROUND(BS!AN25-BS!AN26,0),"OK","ERROR")</f>
        <v>ERROR</v>
      </c>
      <c r="AO101" s="194" t="str">
        <f>IF(ROUND(BS!AO24,0)=ROUND(BS!AO25-BS!AO26,0),"OK","ERROR")</f>
        <v>ERROR</v>
      </c>
      <c r="AP101" s="194" t="str">
        <f>IF(ROUND(BS!AP24,0)=ROUND(BS!AP25-BS!AP26,0),"OK","ERROR")</f>
        <v>ERROR</v>
      </c>
      <c r="AQ101" s="194" t="str">
        <f>IF(ROUND(BS!AQ24,0)=ROUND(BS!AQ25-BS!AQ26,0),"OK","ERROR")</f>
        <v>ERROR</v>
      </c>
      <c r="AR101" s="206" t="str">
        <f>IF(ROUND(BS!AR24,0)=ROUND(BS!AR25-BS!AR26,0),"OK","ERROR")</f>
        <v>ERROR</v>
      </c>
      <c r="AS101" s="259"/>
      <c r="AT101" s="206" t="str">
        <f>IF(ROUND(BS!AT24,0)=ROUND(BS!AT25-BS!AT26,0),"OK","ERROR")</f>
        <v>ERROR</v>
      </c>
      <c r="AU101" s="259"/>
      <c r="AV101" s="206" t="str">
        <f>IF(ROUND(BS!AV24,0)=ROUND(BS!AV25-BS!AV26,0),"OK","ERROR")</f>
        <v>ERROR</v>
      </c>
      <c r="AW101" s="247"/>
      <c r="AX101" s="206" t="str">
        <f>IF(ROUND(BS!AX24,0)=ROUND(BS!AX25-BS!AX26,0),"OK","ERROR")</f>
        <v>OK</v>
      </c>
    </row>
    <row r="102" spans="1:50" s="110" customFormat="1" ht="15" customHeight="1" x14ac:dyDescent="0.25">
      <c r="A102" s="45"/>
      <c r="B102" s="122" t="s">
        <v>490</v>
      </c>
      <c r="C102" s="112"/>
      <c r="D102" s="194" t="str">
        <f>IF(ROUND(BS!D27,0)=ROUND(SUM(BS!D27:D29),0),"OK","ERROR")</f>
        <v>OK</v>
      </c>
      <c r="E102" s="194" t="str">
        <f>IF(ROUND(BS!E27,0)=ROUND(SUM(BS!E27:E29),0),"OK","ERROR")</f>
        <v>OK</v>
      </c>
      <c r="F102" s="194" t="str">
        <f>IF(ROUND(BS!F27,0)=ROUND(SUM(BS!F27:F29),0),"OK","ERROR")</f>
        <v>OK</v>
      </c>
      <c r="G102" s="194" t="str">
        <f>IF(ROUND(BS!G27,0)=ROUND(SUM(BS!G27:G29),0),"OK","ERROR")</f>
        <v>OK</v>
      </c>
      <c r="H102" s="206" t="str">
        <f>IF(ROUND(BS!H27,0)=ROUND(SUM(BS!H27:H29),0),"OK","ERROR")</f>
        <v>OK</v>
      </c>
      <c r="I102" s="242"/>
      <c r="J102" s="194" t="str">
        <f>IF(ROUND(BS!J27,0)=ROUND(SUM(BS!J27:J29),0),"OK","ERROR")</f>
        <v>OK</v>
      </c>
      <c r="K102" s="194" t="str">
        <f>IF(ROUND(BS!K27,0)=ROUND(SUM(BS!K27:K29),0),"OK","ERROR")</f>
        <v>OK</v>
      </c>
      <c r="L102" s="194" t="str">
        <f>IF(ROUND(BS!L27,0)=ROUND(SUM(BS!L27:L29),0),"OK","ERROR")</f>
        <v>OK</v>
      </c>
      <c r="M102" s="194" t="str">
        <f>IF(ROUND(BS!M27,0)=ROUND(SUM(BS!M27:M29),0),"OK","ERROR")</f>
        <v>OK</v>
      </c>
      <c r="N102" s="206" t="str">
        <f>IF(ROUND(BS!N27,0)=ROUND(SUM(BS!N27:N29),0),"OK","ERROR")</f>
        <v>OK</v>
      </c>
      <c r="O102" s="242"/>
      <c r="P102" s="194" t="e">
        <f ca="1">IF(ROUND(BS!P27,0)=ROUND(SUM(BS!P27:P29),0),"OK","ERROR")</f>
        <v>#NAME?</v>
      </c>
      <c r="Q102" s="194" t="e">
        <f ca="1">IF(ROUND(BS!Q27,0)=ROUND(SUM(BS!Q27:Q29),0),"OK","ERROR")</f>
        <v>#NAME?</v>
      </c>
      <c r="R102" s="194" t="e">
        <f ca="1">IF(ROUND(BS!R27,0)=ROUND(SUM(BS!R27:R29),0),"OK","ERROR")</f>
        <v>#NAME?</v>
      </c>
      <c r="S102" s="194" t="e">
        <f ca="1">IF(ROUND(BS!S27,0)=ROUND(SUM(BS!S27:S29),0),"OK","ERROR")</f>
        <v>#NAME?</v>
      </c>
      <c r="T102" s="206" t="str">
        <f>IF(ROUND(BS!T27,0)=ROUND(SUM(BS!T27:T29),0),"OK","ERROR")</f>
        <v>OK</v>
      </c>
      <c r="U102" s="242"/>
      <c r="V102" s="194" t="str">
        <f>IF(ROUND(BS!V27,0)=ROUND(SUM(BS!V27:V29),0),"OK","ERROR")</f>
        <v>ERROR</v>
      </c>
      <c r="W102" s="194" t="str">
        <f>IF(ROUND(BS!W27,0)=ROUND(SUM(BS!W27:W29),0),"OK","ERROR")</f>
        <v>ERROR</v>
      </c>
      <c r="X102" s="194" t="str">
        <f>IF(ROUND(BS!X27,0)=ROUND(SUM(BS!X27:X29),0),"OK","ERROR")</f>
        <v>ERROR</v>
      </c>
      <c r="Y102" s="194" t="str">
        <f>IF(ROUND(BS!Y27,0)=ROUND(SUM(BS!Y27:Y29),0),"OK","ERROR")</f>
        <v>ERROR</v>
      </c>
      <c r="Z102" s="206" t="str">
        <f>IF(ROUND(BS!Z27,0)=ROUND(SUM(BS!Z27:Z29),0),"OK","ERROR")</f>
        <v>OK</v>
      </c>
      <c r="AA102" s="259"/>
      <c r="AB102" s="194" t="str">
        <f>IF(ROUND(BS!AB27,0)=ROUND(SUM(BS!AB27:AB29),0),"OK","ERROR")</f>
        <v>ERROR</v>
      </c>
      <c r="AC102" s="194" t="str">
        <f>IF(ROUND(BS!AC27,0)=ROUND(SUM(BS!AC27:AC29),0),"OK","ERROR")</f>
        <v>ERROR</v>
      </c>
      <c r="AD102" s="194" t="str">
        <f>IF(ROUND(BS!AD27,0)=ROUND(SUM(BS!AD27:AD29),0),"OK","ERROR")</f>
        <v>ERROR</v>
      </c>
      <c r="AE102" s="194" t="str">
        <f>IF(ROUND(BS!AE27,0)=ROUND(SUM(BS!AE27:AE29),0),"OK","ERROR")</f>
        <v>ERROR</v>
      </c>
      <c r="AF102" s="206" t="str">
        <f>IF(ROUND(BS!AF27,0)=ROUND(SUM(BS!AF27:AF29),0),"OK","ERROR")</f>
        <v>OK</v>
      </c>
      <c r="AG102" s="260"/>
      <c r="AH102" s="194" t="str">
        <f>IF(ROUND(BS!AH27,0)=ROUND(SUM(BS!AH27:AH29),0),"OK","ERROR")</f>
        <v>ERROR</v>
      </c>
      <c r="AI102" s="194" t="str">
        <f>IF(ROUND(BS!AI27,0)=ROUND(SUM(BS!AI27:AI29),0),"OK","ERROR")</f>
        <v>ERROR</v>
      </c>
      <c r="AJ102" s="194" t="e">
        <f ca="1">IF(ROUND(BS!AJ27,0)=ROUND(SUM(BS!AJ27:AJ29),0),"OK","ERROR")</f>
        <v>#NAME?</v>
      </c>
      <c r="AK102" s="194" t="str">
        <f>IF(ROUND(BS!AK27,0)=ROUND(SUM(BS!AK27:AK29),0),"OK","ERROR")</f>
        <v>ERROR</v>
      </c>
      <c r="AL102" s="206" t="str">
        <f>IF(ROUND(BS!AL27,0)=ROUND(SUM(BS!AL27:AL29),0),"OK","ERROR")</f>
        <v>ERROR</v>
      </c>
      <c r="AM102" s="259"/>
      <c r="AN102" s="194" t="str">
        <f>IF(ROUND(BS!AN27,0)=ROUND(SUM(BS!AN27:AN29),0),"OK","ERROR")</f>
        <v>ERROR</v>
      </c>
      <c r="AO102" s="194" t="str">
        <f>IF(ROUND(BS!AO27,0)=ROUND(SUM(BS!AO27:AO29),0),"OK","ERROR")</f>
        <v>ERROR</v>
      </c>
      <c r="AP102" s="194" t="str">
        <f>IF(ROUND(BS!AP27,0)=ROUND(SUM(BS!AP27:AP29),0),"OK","ERROR")</f>
        <v>ERROR</v>
      </c>
      <c r="AQ102" s="194" t="str">
        <f>IF(ROUND(BS!AQ27,0)=ROUND(SUM(BS!AQ27:AQ29),0),"OK","ERROR")</f>
        <v>ERROR</v>
      </c>
      <c r="AR102" s="206" t="str">
        <f>IF(ROUND(BS!AR27,0)=ROUND(SUM(BS!AR27:AR29),0),"OK","ERROR")</f>
        <v>ERROR</v>
      </c>
      <c r="AS102" s="259"/>
      <c r="AT102" s="206" t="str">
        <f>IF(ROUND(BS!AT27,0)=ROUND(SUM(BS!AT27:AT29),0),"OK","ERROR")</f>
        <v>ERROR</v>
      </c>
      <c r="AU102" s="259"/>
      <c r="AV102" s="206" t="str">
        <f>IF(ROUND(BS!AV27,0)=ROUND(SUM(BS!AV27:AV29),0),"OK","ERROR")</f>
        <v>ERROR</v>
      </c>
      <c r="AW102" s="247"/>
      <c r="AX102" s="206" t="str">
        <f>IF(ROUND(BS!AX27,0)=ROUND(SUM(BS!AX27:AX29),0),"OK","ERROR")</f>
        <v>OK</v>
      </c>
    </row>
    <row r="103" spans="1:50" s="42" customFormat="1" ht="15" customHeight="1" x14ac:dyDescent="0.3">
      <c r="A103" s="44"/>
      <c r="B103" s="129" t="s">
        <v>679</v>
      </c>
      <c r="C103" s="18"/>
      <c r="D103" s="203" t="str">
        <f>IF(ROUND(BS!D31,0)=ROUND(SUM(BS!D24,BS!D27,BS!D30),0),"OK","ERROR")</f>
        <v>OK</v>
      </c>
      <c r="E103" s="203" t="str">
        <f>IF(ROUND(BS!E31,0)=ROUND(SUM(BS!E24,BS!E27,BS!E30),0),"OK","ERROR")</f>
        <v>OK</v>
      </c>
      <c r="F103" s="203" t="str">
        <f>IF(ROUND(BS!F31,0)=ROUND(SUM(BS!F24,BS!F27,BS!F30),0),"OK","ERROR")</f>
        <v>OK</v>
      </c>
      <c r="G103" s="203" t="str">
        <f>IF(ROUND(BS!G31,0)=ROUND(SUM(BS!G24,BS!G27,BS!G30),0),"OK","ERROR")</f>
        <v>OK</v>
      </c>
      <c r="H103" s="212" t="str">
        <f>IF(ROUND(BS!H31,0)=ROUND(SUM(BS!H24,BS!H27,BS!H30),0),"OK","ERROR")</f>
        <v>OK</v>
      </c>
      <c r="I103" s="234"/>
      <c r="J103" s="203" t="str">
        <f>IF(ROUND(BS!J31,0)=ROUND(SUM(BS!J24,BS!J27,BS!J30),0),"OK","ERROR")</f>
        <v>OK</v>
      </c>
      <c r="K103" s="203" t="str">
        <f>IF(ROUND(BS!K31,0)=ROUND(SUM(BS!K24,BS!K27,BS!K30),0),"OK","ERROR")</f>
        <v>OK</v>
      </c>
      <c r="L103" s="203" t="str">
        <f>IF(ROUND(BS!L31,0)=ROUND(SUM(BS!L24,BS!L27,BS!L30),0),"OK","ERROR")</f>
        <v>OK</v>
      </c>
      <c r="M103" s="203" t="str">
        <f>IF(ROUND(BS!M31,0)=ROUND(SUM(BS!M24,BS!M27,BS!M30),0),"OK","ERROR")</f>
        <v>OK</v>
      </c>
      <c r="N103" s="212" t="str">
        <f>IF(ROUND(BS!N31,0)=ROUND(SUM(BS!N24,BS!N27,BS!N30),0),"OK","ERROR")</f>
        <v>OK</v>
      </c>
      <c r="O103" s="234"/>
      <c r="P103" s="203" t="str">
        <f>IF(ROUND(BS!P31,0)=ROUND(SUM(BS!P24,BS!P27,BS!P30),0),"OK","ERROR")</f>
        <v>ERROR</v>
      </c>
      <c r="Q103" s="203" t="str">
        <f>IF(ROUND(BS!Q31,0)=ROUND(SUM(BS!Q24,BS!Q27,BS!Q30),0),"OK","ERROR")</f>
        <v>ERROR</v>
      </c>
      <c r="R103" s="203" t="str">
        <f>IF(ROUND(BS!R31,0)=ROUND(SUM(BS!R24,BS!R27,BS!R30),0),"OK","ERROR")</f>
        <v>ERROR</v>
      </c>
      <c r="S103" s="203" t="str">
        <f>IF(ROUND(BS!S31,0)=ROUND(SUM(BS!S24,BS!S27,BS!S30),0),"OK","ERROR")</f>
        <v>ERROR</v>
      </c>
      <c r="T103" s="212" t="str">
        <f>IF(ROUND(BS!T31,0)=ROUND(SUM(BS!T24,BS!T27,BS!T30),0),"OK","ERROR")</f>
        <v>ERROR</v>
      </c>
      <c r="U103" s="234"/>
      <c r="V103" s="203" t="str">
        <f>IF(ROUND(BS!V31,0)=ROUND(SUM(BS!V24,BS!V27,BS!V30),0),"OK","ERROR")</f>
        <v>ERROR</v>
      </c>
      <c r="W103" s="203" t="str">
        <f>IF(ROUND(BS!W31,0)=ROUND(SUM(BS!W24,BS!W27,BS!W30),0),"OK","ERROR")</f>
        <v>ERROR</v>
      </c>
      <c r="X103" s="203" t="str">
        <f>IF(ROUND(BS!X31,0)=ROUND(SUM(BS!X24,BS!X27,BS!X30),0),"OK","ERROR")</f>
        <v>ERROR</v>
      </c>
      <c r="Y103" s="203" t="str">
        <f>IF(ROUND(BS!Y31,0)=ROUND(SUM(BS!Y24,BS!Y27,BS!Y30),0),"OK","ERROR")</f>
        <v>ERROR</v>
      </c>
      <c r="Z103" s="212" t="str">
        <f>IF(ROUND(BS!Z31,0)=ROUND(SUM(BS!Z24,BS!Z27,BS!Z30),0),"OK","ERROR")</f>
        <v>ERROR</v>
      </c>
      <c r="AA103" s="249"/>
      <c r="AB103" s="203" t="str">
        <f>IF(ROUND(BS!AB31,0)=ROUND(SUM(BS!AB24,BS!AB27,BS!AB30),0),"OK","ERROR")</f>
        <v>ERROR</v>
      </c>
      <c r="AC103" s="203" t="str">
        <f>IF(ROUND(BS!AC31,0)=ROUND(SUM(BS!AC24,BS!AC27,BS!AC30),0),"OK","ERROR")</f>
        <v>ERROR</v>
      </c>
      <c r="AD103" s="203" t="str">
        <f>IF(ROUND(BS!AD31,0)=ROUND(SUM(BS!AD24,BS!AD27,BS!AD30),0),"OK","ERROR")</f>
        <v>ERROR</v>
      </c>
      <c r="AE103" s="203" t="str">
        <f>IF(ROUND(BS!AE31,0)=ROUND(SUM(BS!AE24,BS!AE27,BS!AE30),0),"OK","ERROR")</f>
        <v>ERROR</v>
      </c>
      <c r="AF103" s="212" t="str">
        <f>IF(ROUND(BS!AF31,0)=ROUND(SUM(BS!AF24,BS!AF27,BS!AF30),0),"OK","ERROR")</f>
        <v>ERROR</v>
      </c>
      <c r="AG103" s="251"/>
      <c r="AH103" s="203" t="str">
        <f>IF(ROUND(BS!AH31,0)=ROUND(SUM(BS!AH24,BS!AH27,BS!AH30),0),"OK","ERROR")</f>
        <v>ERROR</v>
      </c>
      <c r="AI103" s="203" t="str">
        <f>IF(ROUND(BS!AI31,0)=ROUND(SUM(BS!AI24,BS!AI27,BS!AI30),0),"OK","ERROR")</f>
        <v>ERROR</v>
      </c>
      <c r="AJ103" s="203" t="e">
        <f ca="1">IF(ROUND(BS!AJ31,0)=ROUND(SUM(BS!AJ24,BS!AJ27,BS!AJ30),0),"OK","ERROR")</f>
        <v>#NAME?</v>
      </c>
      <c r="AK103" s="203" t="str">
        <f>IF(ROUND(BS!AK31,0)=ROUND(SUM(BS!AK24,BS!AK27,BS!AK30),0),"OK","ERROR")</f>
        <v>ERROR</v>
      </c>
      <c r="AL103" s="212" t="str">
        <f>IF(ROUND(BS!AL31,0)=ROUND(SUM(BS!AL24,BS!AL27,BS!AL30),0),"OK","ERROR")</f>
        <v>ERROR</v>
      </c>
      <c r="AM103" s="261"/>
      <c r="AN103" s="203" t="str">
        <f>IF(ROUND(BS!AN31,0)=ROUND(SUM(BS!AN24,BS!AN27,BS!AN30),0),"OK","ERROR")</f>
        <v>ERROR</v>
      </c>
      <c r="AO103" s="203" t="str">
        <f>IF(ROUND(BS!AO31,0)=ROUND(SUM(BS!AO24,BS!AO27,BS!AO30),0),"OK","ERROR")</f>
        <v>ERROR</v>
      </c>
      <c r="AP103" s="203" t="str">
        <f>IF(ROUND(BS!AP31,0)=ROUND(SUM(BS!AP24,BS!AP27,BS!AP30),0),"OK","ERROR")</f>
        <v>ERROR</v>
      </c>
      <c r="AQ103" s="203" t="str">
        <f>IF(ROUND(BS!AQ31,0)=ROUND(SUM(BS!AQ24,BS!AQ27,BS!AQ30),0),"OK","ERROR")</f>
        <v>ERROR</v>
      </c>
      <c r="AR103" s="212" t="str">
        <f>IF(ROUND(BS!AR31,0)=ROUND(SUM(BS!AR24,BS!AR27,BS!AR30),0),"OK","ERROR")</f>
        <v>ERROR</v>
      </c>
      <c r="AS103" s="261"/>
      <c r="AT103" s="212" t="str">
        <f>IF(ROUND(BS!AT31,0)=ROUND(SUM(BS!AT24,BS!AT27,BS!AT30),0),"OK","ERROR")</f>
        <v>ERROR</v>
      </c>
      <c r="AU103" s="261"/>
      <c r="AV103" s="212" t="str">
        <f>IF(ROUND(BS!AV31,0)=ROUND(SUM(BS!AV24,BS!AV27,BS!AV30),0),"OK","ERROR")</f>
        <v>ERROR</v>
      </c>
      <c r="AW103" s="241"/>
      <c r="AX103" s="212" t="str">
        <f>IF(ROUND(BS!AX31,0)=ROUND(SUM(BS!AX24,BS!AX27,BS!AX30),0),"OK","ERROR")</f>
        <v>OK</v>
      </c>
    </row>
    <row r="104" spans="1:50" s="110" customFormat="1" ht="15" customHeight="1" thickBot="1" x14ac:dyDescent="0.3">
      <c r="B104" s="131" t="s">
        <v>680</v>
      </c>
      <c r="C104" s="112"/>
      <c r="D104" s="203" t="str">
        <f>IF(ROUND(SUM(BS!D21,BS!D31),0)=ROUND(BS!D32,0),"OK","ERROR")</f>
        <v>OK</v>
      </c>
      <c r="E104" s="203" t="str">
        <f>IF(ROUND(SUM(BS!E21,BS!E31),0)=ROUND(BS!E32,0),"OK","ERROR")</f>
        <v>OK</v>
      </c>
      <c r="F104" s="203" t="str">
        <f>IF(ROUND(SUM(BS!F21,BS!F31),0)=ROUND(BS!F32,0),"OK","ERROR")</f>
        <v>OK</v>
      </c>
      <c r="G104" s="203" t="str">
        <f>IF(ROUND(SUM(BS!G21,BS!G31),0)=ROUND(BS!G32,0),"OK","ERROR")</f>
        <v>OK</v>
      </c>
      <c r="H104" s="223" t="str">
        <f>IF(ROUND(SUM(BS!H21,BS!H31),0)=ROUND(BS!H32,0),"OK","ERROR")</f>
        <v>OK</v>
      </c>
      <c r="I104" s="242"/>
      <c r="J104" s="203" t="str">
        <f>IF(ROUND(SUM(BS!J21,BS!J31),0)=ROUND(BS!J32,0),"OK","ERROR")</f>
        <v>OK</v>
      </c>
      <c r="K104" s="203" t="str">
        <f>IF(ROUND(SUM(BS!K21,BS!K31),0)=ROUND(BS!K32,0),"OK","ERROR")</f>
        <v>OK</v>
      </c>
      <c r="L104" s="203" t="str">
        <f>IF(ROUND(SUM(BS!L21,BS!L31),0)=ROUND(BS!L32,0),"OK","ERROR")</f>
        <v>OK</v>
      </c>
      <c r="M104" s="203" t="str">
        <f>IF(ROUND(SUM(BS!M21,BS!M31),0)=ROUND(BS!M32,0),"OK","ERROR")</f>
        <v>OK</v>
      </c>
      <c r="N104" s="223" t="str">
        <f>IF(ROUND(SUM(BS!N21,BS!N31),0)=ROUND(BS!N32,0),"OK","ERROR")</f>
        <v>OK</v>
      </c>
      <c r="O104" s="242"/>
      <c r="P104" s="203" t="str">
        <f>IF(ROUND(SUM(BS!P21,BS!P31),0)=ROUND(BS!P32,0),"OK","ERROR")</f>
        <v>OK</v>
      </c>
      <c r="Q104" s="203" t="str">
        <f>IF(ROUND(SUM(BS!Q21,BS!Q31),0)=ROUND(BS!Q32,0),"OK","ERROR")</f>
        <v>OK</v>
      </c>
      <c r="R104" s="203" t="str">
        <f>IF(ROUND(SUM(BS!R21,BS!R31),0)=ROUND(BS!R32,0),"OK","ERROR")</f>
        <v>OK</v>
      </c>
      <c r="S104" s="203" t="str">
        <f>IF(ROUND(SUM(BS!S21,BS!S31),0)=ROUND(BS!S32,0),"OK","ERROR")</f>
        <v>OK</v>
      </c>
      <c r="T104" s="223" t="str">
        <f>IF(ROUND(SUM(BS!T21,BS!T31),0)=ROUND(BS!T32,0),"OK","ERROR")</f>
        <v>OK</v>
      </c>
      <c r="U104" s="242"/>
      <c r="V104" s="203" t="str">
        <f>IF(ROUND(SUM(BS!V21,BS!V31),0)=ROUND(BS!V32,0),"OK","ERROR")</f>
        <v>OK</v>
      </c>
      <c r="W104" s="203" t="str">
        <f>IF(ROUND(SUM(BS!W21,BS!W31),0)=ROUND(BS!W32,0),"OK","ERROR")</f>
        <v>OK</v>
      </c>
      <c r="X104" s="203" t="str">
        <f>IF(ROUND(SUM(BS!X21,BS!X31),0)=ROUND(BS!X32,0),"OK","ERROR")</f>
        <v>OK</v>
      </c>
      <c r="Y104" s="203" t="str">
        <f>IF(ROUND(SUM(BS!Y21,BS!Y31),0)=ROUND(BS!Y32,0),"OK","ERROR")</f>
        <v>OK</v>
      </c>
      <c r="Z104" s="223" t="str">
        <f>IF(ROUND(SUM(BS!Z21,BS!Z31),0)=ROUND(BS!Z32,0),"OK","ERROR")</f>
        <v>OK</v>
      </c>
      <c r="AA104" s="262"/>
      <c r="AB104" s="203" t="str">
        <f>IF(ROUND(SUM(BS!AB21,BS!AB31),0)=ROUND(BS!AB32,0),"OK","ERROR")</f>
        <v>OK</v>
      </c>
      <c r="AC104" s="203" t="str">
        <f>IF(ROUND(SUM(BS!AC21,BS!AC31),0)=ROUND(BS!AC32,0),"OK","ERROR")</f>
        <v>OK</v>
      </c>
      <c r="AD104" s="203" t="str">
        <f>IF(ROUND(SUM(BS!AD21,BS!AD31),0)=ROUND(BS!AD32,0),"OK","ERROR")</f>
        <v>OK</v>
      </c>
      <c r="AE104" s="203" t="str">
        <f>IF(ROUND(SUM(BS!AE21,BS!AE31),0)=ROUND(BS!AE32,0),"OK","ERROR")</f>
        <v>OK</v>
      </c>
      <c r="AF104" s="223" t="str">
        <f>IF(ROUND(SUM(BS!AF21,BS!AF31),0)=ROUND(BS!AF32,0),"OK","ERROR")</f>
        <v>OK</v>
      </c>
      <c r="AG104" s="260"/>
      <c r="AH104" s="203" t="str">
        <f>IF(ROUND(SUM(BS!AH21,BS!AH31),0)=ROUND(BS!AH32,0),"OK","ERROR")</f>
        <v>OK</v>
      </c>
      <c r="AI104" s="203" t="str">
        <f>IF(ROUND(SUM(BS!AI21,BS!AI31),0)=ROUND(BS!AI32,0),"OK","ERROR")</f>
        <v>OK</v>
      </c>
      <c r="AJ104" s="203" t="e">
        <f ca="1">IF(ROUND(SUM(BS!AJ21,BS!AJ31),0)=ROUND(BS!AJ32,0),"OK","ERROR")</f>
        <v>#NAME?</v>
      </c>
      <c r="AK104" s="203" t="str">
        <f>IF(ROUND(SUM(BS!AK21,BS!AK31),0)=ROUND(BS!AK32,0),"OK","ERROR")</f>
        <v>OK</v>
      </c>
      <c r="AL104" s="223" t="str">
        <f>IF(ROUND(SUM(BS!AL21,BS!AL31),0)=ROUND(BS!AL32,0),"OK","ERROR")</f>
        <v>OK</v>
      </c>
      <c r="AM104" s="259"/>
      <c r="AN104" s="203" t="str">
        <f>IF(ROUND(SUM(BS!AN21,BS!AN31),0)=ROUND(BS!AN32,0),"OK","ERROR")</f>
        <v>OK</v>
      </c>
      <c r="AO104" s="203" t="str">
        <f>IF(ROUND(SUM(BS!AO21,BS!AO31),0)=ROUND(BS!AO32,0),"OK","ERROR")</f>
        <v>OK</v>
      </c>
      <c r="AP104" s="203" t="str">
        <f>IF(ROUND(SUM(BS!AP21,BS!AP31),0)=ROUND(BS!AP32,0),"OK","ERROR")</f>
        <v>OK</v>
      </c>
      <c r="AQ104" s="203" t="str">
        <f>IF(ROUND(SUM(BS!AQ21,BS!AQ31),0)=ROUND(BS!AQ32,0),"OK","ERROR")</f>
        <v>OK</v>
      </c>
      <c r="AR104" s="223" t="str">
        <f>IF(ROUND(SUM(BS!AR21,BS!AR31),0)=ROUND(BS!AR32,0),"OK","ERROR")</f>
        <v>OK</v>
      </c>
      <c r="AS104" s="259"/>
      <c r="AT104" s="223" t="str">
        <f>IF(ROUND(SUM(BS!AT21,BS!AT31),0)=ROUND(BS!AT32,0),"OK","ERROR")</f>
        <v>OK</v>
      </c>
      <c r="AU104" s="259"/>
      <c r="AV104" s="223" t="str">
        <f>IF(ROUND(SUM(BS!AV21,BS!AV31),0)=ROUND(BS!AV32,0),"OK","ERROR")</f>
        <v>OK</v>
      </c>
      <c r="AW104" s="247"/>
      <c r="AX104" s="223" t="str">
        <f>IF(ROUND(SUM(BS!AX21,BS!AX31),0)=ROUND(BS!AX32,0),"OK","ERROR")</f>
        <v>OK</v>
      </c>
    </row>
    <row r="105" spans="1:50" s="134" customFormat="1" ht="15" customHeight="1" thickTop="1" x14ac:dyDescent="0.3">
      <c r="A105" s="132"/>
      <c r="B105" s="133"/>
      <c r="C105" s="28"/>
      <c r="D105" s="194"/>
      <c r="E105" s="194"/>
      <c r="F105" s="194"/>
      <c r="G105" s="194"/>
      <c r="H105" s="206"/>
      <c r="I105" s="263"/>
      <c r="J105" s="194"/>
      <c r="K105" s="194"/>
      <c r="L105" s="194"/>
      <c r="M105" s="194"/>
      <c r="N105" s="206"/>
      <c r="O105" s="263"/>
      <c r="P105" s="194"/>
      <c r="Q105" s="194"/>
      <c r="R105" s="194"/>
      <c r="S105" s="194"/>
      <c r="T105" s="206"/>
      <c r="U105" s="263"/>
      <c r="V105" s="194"/>
      <c r="W105" s="194"/>
      <c r="X105" s="194"/>
      <c r="Y105" s="194"/>
      <c r="Z105" s="206"/>
      <c r="AA105" s="264"/>
      <c r="AB105" s="194"/>
      <c r="AC105" s="194"/>
      <c r="AD105" s="194"/>
      <c r="AE105" s="194"/>
      <c r="AF105" s="206"/>
      <c r="AG105" s="265"/>
      <c r="AH105" s="194"/>
      <c r="AI105" s="194"/>
      <c r="AJ105" s="194"/>
      <c r="AK105" s="194"/>
      <c r="AL105" s="206"/>
      <c r="AM105" s="266"/>
      <c r="AN105" s="194"/>
      <c r="AO105" s="194"/>
      <c r="AP105" s="194"/>
      <c r="AQ105" s="194"/>
      <c r="AR105" s="206"/>
      <c r="AS105" s="266"/>
      <c r="AT105" s="206"/>
      <c r="AU105" s="266"/>
      <c r="AV105" s="206"/>
      <c r="AW105" s="267"/>
      <c r="AX105" s="206"/>
    </row>
    <row r="106" spans="1:50" s="110" customFormat="1" ht="15" customHeight="1" x14ac:dyDescent="0.25">
      <c r="A106" s="45"/>
      <c r="B106" s="64" t="s">
        <v>681</v>
      </c>
      <c r="C106" s="112"/>
      <c r="D106" s="194"/>
      <c r="E106" s="194"/>
      <c r="F106" s="194"/>
      <c r="G106" s="194"/>
      <c r="H106" s="206"/>
      <c r="I106" s="242"/>
      <c r="J106" s="194"/>
      <c r="K106" s="194"/>
      <c r="L106" s="194"/>
      <c r="M106" s="194"/>
      <c r="N106" s="206"/>
      <c r="O106" s="242"/>
      <c r="P106" s="194"/>
      <c r="Q106" s="194"/>
      <c r="R106" s="194"/>
      <c r="S106" s="194"/>
      <c r="T106" s="206"/>
      <c r="U106" s="242"/>
      <c r="V106" s="194"/>
      <c r="W106" s="194"/>
      <c r="X106" s="194"/>
      <c r="Y106" s="194"/>
      <c r="Z106" s="206"/>
      <c r="AA106" s="243"/>
      <c r="AB106" s="194"/>
      <c r="AC106" s="194"/>
      <c r="AD106" s="194"/>
      <c r="AE106" s="194"/>
      <c r="AF106" s="206"/>
      <c r="AG106" s="244"/>
      <c r="AH106" s="194"/>
      <c r="AI106" s="194"/>
      <c r="AJ106" s="194"/>
      <c r="AK106" s="194"/>
      <c r="AL106" s="206"/>
      <c r="AM106" s="243"/>
      <c r="AN106" s="194"/>
      <c r="AO106" s="194"/>
      <c r="AP106" s="194"/>
      <c r="AQ106" s="194"/>
      <c r="AR106" s="206"/>
      <c r="AS106" s="243"/>
      <c r="AT106" s="206"/>
      <c r="AU106" s="243"/>
      <c r="AV106" s="206"/>
      <c r="AW106" s="247"/>
      <c r="AX106" s="206"/>
    </row>
    <row r="107" spans="1:50" s="134" customFormat="1" ht="15" customHeight="1" x14ac:dyDescent="0.3">
      <c r="A107" s="132"/>
      <c r="B107" s="133"/>
      <c r="C107" s="28"/>
      <c r="D107" s="194"/>
      <c r="E107" s="194"/>
      <c r="F107" s="194"/>
      <c r="G107" s="194"/>
      <c r="H107" s="206"/>
      <c r="I107" s="263"/>
      <c r="J107" s="194"/>
      <c r="K107" s="194"/>
      <c r="L107" s="194"/>
      <c r="M107" s="194"/>
      <c r="N107" s="206"/>
      <c r="O107" s="263"/>
      <c r="P107" s="194"/>
      <c r="Q107" s="194"/>
      <c r="R107" s="194"/>
      <c r="S107" s="194"/>
      <c r="T107" s="206"/>
      <c r="U107" s="263"/>
      <c r="V107" s="194"/>
      <c r="W107" s="194"/>
      <c r="X107" s="194"/>
      <c r="Y107" s="194"/>
      <c r="Z107" s="206"/>
      <c r="AA107" s="264"/>
      <c r="AB107" s="194"/>
      <c r="AC107" s="194"/>
      <c r="AD107" s="194"/>
      <c r="AE107" s="194"/>
      <c r="AF107" s="206"/>
      <c r="AG107" s="265"/>
      <c r="AH107" s="194"/>
      <c r="AI107" s="194"/>
      <c r="AJ107" s="194"/>
      <c r="AK107" s="194"/>
      <c r="AL107" s="206"/>
      <c r="AM107" s="268"/>
      <c r="AN107" s="194"/>
      <c r="AO107" s="194"/>
      <c r="AP107" s="194"/>
      <c r="AQ107" s="194"/>
      <c r="AR107" s="206"/>
      <c r="AS107" s="261"/>
      <c r="AT107" s="206"/>
      <c r="AU107" s="261"/>
      <c r="AV107" s="206"/>
      <c r="AW107" s="267"/>
      <c r="AX107" s="206"/>
    </row>
    <row r="108" spans="1:50" s="110" customFormat="1" ht="15" customHeight="1" x14ac:dyDescent="0.25">
      <c r="A108" s="45" t="s">
        <v>38</v>
      </c>
      <c r="B108" s="111" t="s">
        <v>682</v>
      </c>
      <c r="C108" s="112"/>
      <c r="D108" s="194"/>
      <c r="E108" s="194"/>
      <c r="F108" s="194"/>
      <c r="G108" s="194"/>
      <c r="H108" s="206"/>
      <c r="I108" s="242"/>
      <c r="J108" s="194"/>
      <c r="K108" s="194"/>
      <c r="L108" s="194"/>
      <c r="M108" s="194"/>
      <c r="N108" s="206"/>
      <c r="O108" s="242"/>
      <c r="P108" s="194"/>
      <c r="Q108" s="194"/>
      <c r="R108" s="194"/>
      <c r="S108" s="194"/>
      <c r="T108" s="206"/>
      <c r="U108" s="242"/>
      <c r="V108" s="194"/>
      <c r="W108" s="194"/>
      <c r="X108" s="194"/>
      <c r="Y108" s="194"/>
      <c r="Z108" s="206"/>
      <c r="AA108" s="243"/>
      <c r="AB108" s="194"/>
      <c r="AC108" s="194"/>
      <c r="AD108" s="194"/>
      <c r="AE108" s="194"/>
      <c r="AF108" s="206"/>
      <c r="AG108" s="244"/>
      <c r="AH108" s="194"/>
      <c r="AI108" s="194"/>
      <c r="AJ108" s="194"/>
      <c r="AK108" s="194"/>
      <c r="AL108" s="206"/>
      <c r="AM108" s="269"/>
      <c r="AN108" s="194"/>
      <c r="AO108" s="194"/>
      <c r="AP108" s="194"/>
      <c r="AQ108" s="194"/>
      <c r="AR108" s="206"/>
      <c r="AS108" s="243"/>
      <c r="AT108" s="206"/>
      <c r="AU108" s="243"/>
      <c r="AV108" s="206"/>
      <c r="AW108" s="247"/>
      <c r="AX108" s="206"/>
    </row>
    <row r="109" spans="1:50" s="110" customFormat="1" ht="15" customHeight="1" x14ac:dyDescent="0.25">
      <c r="B109" s="129" t="s">
        <v>687</v>
      </c>
      <c r="C109" s="112"/>
      <c r="D109" s="203" t="str">
        <f>IF(ROUND(BS!D41,0)=ROUND(SUM(BS!D37:D40),0),"OK","ERROR")</f>
        <v>OK</v>
      </c>
      <c r="E109" s="203" t="str">
        <f>IF(ROUND(BS!E41,0)=ROUND(SUM(BS!E37:E40),0),"OK","ERROR")</f>
        <v>OK</v>
      </c>
      <c r="F109" s="203" t="str">
        <f>IF(ROUND(BS!F41,0)=ROUND(SUM(BS!F37:F40),0),"OK","ERROR")</f>
        <v>OK</v>
      </c>
      <c r="G109" s="203" t="str">
        <f>IF(ROUND(BS!G41,0)=ROUND(SUM(BS!G37:G40),0),"OK","ERROR")</f>
        <v>OK</v>
      </c>
      <c r="H109" s="213" t="str">
        <f>IF(ROUND(BS!H41,0)=ROUND(SUM(BS!H37:H40),0),"OK","ERROR")</f>
        <v>OK</v>
      </c>
      <c r="I109" s="242"/>
      <c r="J109" s="203" t="str">
        <f>IF(ROUND(BS!J41,0)=ROUND(SUM(BS!J37:J40),0),"OK","ERROR")</f>
        <v>OK</v>
      </c>
      <c r="K109" s="203" t="str">
        <f>IF(ROUND(BS!K41,0)=ROUND(SUM(BS!K37:K40),0),"OK","ERROR")</f>
        <v>OK</v>
      </c>
      <c r="L109" s="203" t="str">
        <f>IF(ROUND(BS!L41,0)=ROUND(SUM(BS!L37:L40),0),"OK","ERROR")</f>
        <v>OK</v>
      </c>
      <c r="M109" s="203" t="str">
        <f>IF(ROUND(BS!M41,0)=ROUND(SUM(BS!M37:M40),0),"OK","ERROR")</f>
        <v>OK</v>
      </c>
      <c r="N109" s="213" t="str">
        <f>IF(ROUND(BS!N41,0)=ROUND(SUM(BS!N37:N40),0),"OK","ERROR")</f>
        <v>OK</v>
      </c>
      <c r="O109" s="242"/>
      <c r="P109" s="203" t="str">
        <f>IF(ROUND(BS!P41,0)=ROUND(SUM(BS!P37:P40),0),"OK","ERROR")</f>
        <v>OK</v>
      </c>
      <c r="Q109" s="203" t="str">
        <f>IF(ROUND(BS!Q41,0)=ROUND(SUM(BS!Q37:Q40),0),"OK","ERROR")</f>
        <v>OK</v>
      </c>
      <c r="R109" s="203" t="str">
        <f>IF(ROUND(BS!R41,0)=ROUND(SUM(BS!R37:R40),0),"OK","ERROR")</f>
        <v>OK</v>
      </c>
      <c r="S109" s="203" t="str">
        <f>IF(ROUND(BS!S41,0)=ROUND(SUM(BS!S37:S40),0),"OK","ERROR")</f>
        <v>OK</v>
      </c>
      <c r="T109" s="213" t="str">
        <f>IF(ROUND(BS!T41,0)=ROUND(SUM(BS!T37:T40),0),"OK","ERROR")</f>
        <v>OK</v>
      </c>
      <c r="U109" s="242"/>
      <c r="V109" s="203" t="str">
        <f>IF(ROUND(BS!V41,0)=ROUND(SUM(BS!V37:V40),0),"OK","ERROR")</f>
        <v>OK</v>
      </c>
      <c r="W109" s="203" t="str">
        <f>IF(ROUND(BS!W41,0)=ROUND(SUM(BS!W37:W40),0),"OK","ERROR")</f>
        <v>OK</v>
      </c>
      <c r="X109" s="203" t="str">
        <f>IF(ROUND(BS!X41,0)=ROUND(SUM(BS!X37:X40),0),"OK","ERROR")</f>
        <v>OK</v>
      </c>
      <c r="Y109" s="203" t="str">
        <f>IF(ROUND(BS!Y41,0)=ROUND(SUM(BS!Y37:Y40),0),"OK","ERROR")</f>
        <v>OK</v>
      </c>
      <c r="Z109" s="213" t="str">
        <f>IF(ROUND(BS!Z41,0)=ROUND(SUM(BS!Z37:Z40),0),"OK","ERROR")</f>
        <v>OK</v>
      </c>
      <c r="AA109" s="259"/>
      <c r="AB109" s="203" t="str">
        <f>IF(ROUND(BS!AB41,0)=ROUND(SUM(BS!AB37:AB40),0),"OK","ERROR")</f>
        <v>OK</v>
      </c>
      <c r="AC109" s="203" t="str">
        <f>IF(ROUND(BS!AC41,0)=ROUND(SUM(BS!AC37:AC40),0),"OK","ERROR")</f>
        <v>OK</v>
      </c>
      <c r="AD109" s="203" t="str">
        <f>IF(ROUND(BS!AD41,0)=ROUND(SUM(BS!AD37:AD40),0),"OK","ERROR")</f>
        <v>OK</v>
      </c>
      <c r="AE109" s="203" t="str">
        <f>IF(ROUND(BS!AE41,0)=ROUND(SUM(BS!AE37:AE40),0),"OK","ERROR")</f>
        <v>OK</v>
      </c>
      <c r="AF109" s="213" t="str">
        <f>IF(ROUND(BS!AF41,0)=ROUND(SUM(BS!AF37:AF40),0),"OK","ERROR")</f>
        <v>OK</v>
      </c>
      <c r="AG109" s="260"/>
      <c r="AH109" s="203" t="str">
        <f>IF(ROUND(BS!AH41,0)=ROUND(SUM(BS!AH37:AH40),0),"OK","ERROR")</f>
        <v>OK</v>
      </c>
      <c r="AI109" s="203" t="str">
        <f>IF(ROUND(BS!AI41,0)=ROUND(SUM(BS!AI37:AI40),0),"OK","ERROR")</f>
        <v>OK</v>
      </c>
      <c r="AJ109" s="203" t="e">
        <f ca="1">IF(ROUND(BS!AJ41,0)=ROUND(SUM(BS!AJ37:AJ40),0),"OK","ERROR")</f>
        <v>#NAME?</v>
      </c>
      <c r="AK109" s="203" t="str">
        <f>IF(ROUND(BS!AK41,0)=ROUND(SUM(BS!AK37:AK40),0),"OK","ERROR")</f>
        <v>ERROR</v>
      </c>
      <c r="AL109" s="213" t="str">
        <f>IF(ROUND(BS!AL41,0)=ROUND(SUM(BS!AL37:AL40),0),"OK","ERROR")</f>
        <v>ERROR</v>
      </c>
      <c r="AM109" s="259"/>
      <c r="AN109" s="203" t="str">
        <f>IF(ROUND(BS!AN41,0)=ROUND(SUM(BS!AN37:AN40),0),"OK","ERROR")</f>
        <v>ERROR</v>
      </c>
      <c r="AO109" s="203" t="str">
        <f>IF(ROUND(BS!AO41,0)=ROUND(SUM(BS!AO37:AO40),0),"OK","ERROR")</f>
        <v>ERROR</v>
      </c>
      <c r="AP109" s="203" t="str">
        <f>IF(ROUND(BS!AP41,0)=ROUND(SUM(BS!AP37:AP40),0),"OK","ERROR")</f>
        <v>ERROR</v>
      </c>
      <c r="AQ109" s="203" t="str">
        <f>IF(ROUND(BS!AQ41,0)=ROUND(SUM(BS!AQ37:AQ40),0),"OK","ERROR")</f>
        <v>ERROR</v>
      </c>
      <c r="AR109" s="213" t="str">
        <f>IF(ROUND(BS!AR41,0)=ROUND(SUM(BS!AR37:AR40),0),"OK","ERROR")</f>
        <v>ERROR</v>
      </c>
      <c r="AS109" s="259"/>
      <c r="AT109" s="213" t="str">
        <f>IF(ROUND(BS!AT41,0)=ROUND(SUM(BS!AT37:AT40),0),"OK","ERROR")</f>
        <v>ERROR</v>
      </c>
      <c r="AU109" s="259"/>
      <c r="AV109" s="213" t="str">
        <f>IF(ROUND(BS!AV41,0)=ROUND(SUM(BS!AV37:AV40),0),"OK","ERROR")</f>
        <v>ERROR</v>
      </c>
      <c r="AW109" s="247"/>
      <c r="AX109" s="213" t="str">
        <f>IF(ROUND(BS!AX41,0)=ROUND(SUM(BS!AX37:AX40),0),"OK","ERROR")</f>
        <v>OK</v>
      </c>
    </row>
    <row r="110" spans="1:50" s="42" customFormat="1" ht="15" customHeight="1" x14ac:dyDescent="0.3">
      <c r="A110" s="44"/>
      <c r="B110" s="139"/>
      <c r="C110" s="18"/>
      <c r="D110" s="194"/>
      <c r="E110" s="194"/>
      <c r="F110" s="194"/>
      <c r="G110" s="194"/>
      <c r="H110" s="206"/>
      <c r="I110" s="234"/>
      <c r="J110" s="194"/>
      <c r="K110" s="194"/>
      <c r="L110" s="194"/>
      <c r="M110" s="194"/>
      <c r="N110" s="206"/>
      <c r="O110" s="234"/>
      <c r="P110" s="194"/>
      <c r="Q110" s="194"/>
      <c r="R110" s="194"/>
      <c r="S110" s="194"/>
      <c r="T110" s="206"/>
      <c r="U110" s="234"/>
      <c r="V110" s="194"/>
      <c r="W110" s="194"/>
      <c r="X110" s="194"/>
      <c r="Y110" s="194"/>
      <c r="Z110" s="206"/>
      <c r="AA110" s="234"/>
      <c r="AB110" s="194"/>
      <c r="AC110" s="194"/>
      <c r="AD110" s="194"/>
      <c r="AE110" s="194"/>
      <c r="AF110" s="206"/>
      <c r="AG110" s="270"/>
      <c r="AH110" s="194"/>
      <c r="AI110" s="194"/>
      <c r="AJ110" s="194"/>
      <c r="AK110" s="194"/>
      <c r="AL110" s="206"/>
      <c r="AM110" s="234"/>
      <c r="AN110" s="194"/>
      <c r="AO110" s="194"/>
      <c r="AP110" s="194"/>
      <c r="AQ110" s="194"/>
      <c r="AR110" s="206"/>
      <c r="AS110" s="234"/>
      <c r="AT110" s="206"/>
      <c r="AU110" s="234"/>
      <c r="AV110" s="206"/>
      <c r="AW110" s="241"/>
      <c r="AX110" s="206"/>
    </row>
    <row r="111" spans="1:50" s="110" customFormat="1" ht="15" customHeight="1" x14ac:dyDescent="0.25">
      <c r="A111" s="45" t="s">
        <v>38</v>
      </c>
      <c r="B111" s="111" t="s">
        <v>688</v>
      </c>
      <c r="C111" s="112"/>
      <c r="D111" s="194"/>
      <c r="E111" s="194"/>
      <c r="F111" s="194"/>
      <c r="G111" s="194"/>
      <c r="H111" s="206"/>
      <c r="I111" s="242"/>
      <c r="J111" s="194"/>
      <c r="K111" s="194"/>
      <c r="L111" s="194"/>
      <c r="M111" s="194"/>
      <c r="N111" s="206"/>
      <c r="O111" s="242"/>
      <c r="P111" s="194"/>
      <c r="Q111" s="194"/>
      <c r="R111" s="194"/>
      <c r="S111" s="194"/>
      <c r="T111" s="206"/>
      <c r="U111" s="242"/>
      <c r="V111" s="194"/>
      <c r="W111" s="194"/>
      <c r="X111" s="194"/>
      <c r="Y111" s="194"/>
      <c r="Z111" s="206"/>
      <c r="AA111" s="242"/>
      <c r="AB111" s="194"/>
      <c r="AC111" s="194"/>
      <c r="AD111" s="194"/>
      <c r="AE111" s="194"/>
      <c r="AF111" s="206"/>
      <c r="AG111" s="271"/>
      <c r="AH111" s="194"/>
      <c r="AI111" s="194"/>
      <c r="AJ111" s="194"/>
      <c r="AK111" s="194"/>
      <c r="AL111" s="206"/>
      <c r="AM111" s="242"/>
      <c r="AN111" s="194"/>
      <c r="AO111" s="194"/>
      <c r="AP111" s="194"/>
      <c r="AQ111" s="194"/>
      <c r="AR111" s="206"/>
      <c r="AS111" s="242"/>
      <c r="AT111" s="206"/>
      <c r="AU111" s="242"/>
      <c r="AV111" s="206"/>
      <c r="AW111" s="247"/>
      <c r="AX111" s="206"/>
    </row>
    <row r="112" spans="1:50" s="110" customFormat="1" ht="15" customHeight="1" x14ac:dyDescent="0.25">
      <c r="B112" s="129" t="s">
        <v>692</v>
      </c>
      <c r="C112" s="112"/>
      <c r="D112" s="203" t="str">
        <f>IF(ROUND(BS!D47,0)=ROUND(SUM(BS!D44:D46),0),"OK","ERROR")</f>
        <v>OK</v>
      </c>
      <c r="E112" s="203" t="str">
        <f>IF(ROUND(BS!E47,0)=ROUND(SUM(BS!E44:E46),0),"OK","ERROR")</f>
        <v>OK</v>
      </c>
      <c r="F112" s="203" t="str">
        <f>IF(ROUND(BS!F47,0)=ROUND(SUM(BS!F44:F46),0),"OK","ERROR")</f>
        <v>OK</v>
      </c>
      <c r="G112" s="203" t="str">
        <f>IF(ROUND(BS!G47,0)=ROUND(SUM(BS!G44:G46),0),"OK","ERROR")</f>
        <v>OK</v>
      </c>
      <c r="H112" s="206" t="str">
        <f>IF(ROUND(BS!H47,0)=ROUND(SUM(BS!H44:H46),0),"OK","ERROR")</f>
        <v>OK</v>
      </c>
      <c r="I112" s="242"/>
      <c r="J112" s="203" t="str">
        <f>IF(ROUND(BS!J47,0)=ROUND(SUM(BS!J44:J46),0),"OK","ERROR")</f>
        <v>OK</v>
      </c>
      <c r="K112" s="203" t="str">
        <f>IF(ROUND(BS!K47,0)=ROUND(SUM(BS!K44:K46),0),"OK","ERROR")</f>
        <v>OK</v>
      </c>
      <c r="L112" s="203" t="str">
        <f>IF(ROUND(BS!L47,0)=ROUND(SUM(BS!L44:L46),0),"OK","ERROR")</f>
        <v>OK</v>
      </c>
      <c r="M112" s="203" t="str">
        <f>IF(ROUND(BS!M47,0)=ROUND(SUM(BS!M44:M46),0),"OK","ERROR")</f>
        <v>OK</v>
      </c>
      <c r="N112" s="206" t="str">
        <f>IF(ROUND(BS!N47,0)=ROUND(SUM(BS!N44:N46),0),"OK","ERROR")</f>
        <v>OK</v>
      </c>
      <c r="O112" s="242"/>
      <c r="P112" s="203" t="str">
        <f>IF(ROUND(BS!P47,0)=ROUND(SUM(BS!P44:P46),0),"OK","ERROR")</f>
        <v>OK</v>
      </c>
      <c r="Q112" s="203" t="str">
        <f>IF(ROUND(BS!Q47,0)=ROUND(SUM(BS!Q44:Q46),0),"OK","ERROR")</f>
        <v>OK</v>
      </c>
      <c r="R112" s="203" t="str">
        <f>IF(ROUND(BS!R47,0)=ROUND(SUM(BS!R44:R46),0),"OK","ERROR")</f>
        <v>OK</v>
      </c>
      <c r="S112" s="203" t="str">
        <f>IF(ROUND(BS!S47,0)=ROUND(SUM(BS!S44:S46),0),"OK","ERROR")</f>
        <v>OK</v>
      </c>
      <c r="T112" s="206" t="str">
        <f>IF(ROUND(BS!T47,0)=ROUND(SUM(BS!T44:T46),0),"OK","ERROR")</f>
        <v>OK</v>
      </c>
      <c r="U112" s="242"/>
      <c r="V112" s="203" t="str">
        <f>IF(ROUND(BS!V47,0)=ROUND(SUM(BS!V44:V46),0),"OK","ERROR")</f>
        <v>OK</v>
      </c>
      <c r="W112" s="203" t="str">
        <f>IF(ROUND(BS!W47,0)=ROUND(SUM(BS!W44:W46),0),"OK","ERROR")</f>
        <v>OK</v>
      </c>
      <c r="X112" s="203" t="str">
        <f>IF(ROUND(BS!X47,0)=ROUND(SUM(BS!X44:X46),0),"OK","ERROR")</f>
        <v>OK</v>
      </c>
      <c r="Y112" s="203" t="str">
        <f>IF(ROUND(BS!Y47,0)=ROUND(SUM(BS!Y44:Y46),0),"OK","ERROR")</f>
        <v>OK</v>
      </c>
      <c r="Z112" s="206" t="str">
        <f>IF(ROUND(BS!Z47,0)=ROUND(SUM(BS!Z44:Z46),0),"OK","ERROR")</f>
        <v>OK</v>
      </c>
      <c r="AA112" s="242"/>
      <c r="AB112" s="203" t="str">
        <f>IF(ROUND(BS!AB47,0)=ROUND(SUM(BS!AB44:AB46),0),"OK","ERROR")</f>
        <v>OK</v>
      </c>
      <c r="AC112" s="203" t="str">
        <f>IF(ROUND(BS!AC47,0)=ROUND(SUM(BS!AC44:AC46),0),"OK","ERROR")</f>
        <v>OK</v>
      </c>
      <c r="AD112" s="203" t="str">
        <f>IF(ROUND(BS!AD47,0)=ROUND(SUM(BS!AD44:AD46),0),"OK","ERROR")</f>
        <v>OK</v>
      </c>
      <c r="AE112" s="203" t="str">
        <f>IF(ROUND(BS!AE47,0)=ROUND(SUM(BS!AE44:AE46),0),"OK","ERROR")</f>
        <v>OK</v>
      </c>
      <c r="AF112" s="206" t="str">
        <f>IF(ROUND(BS!AF47,0)=ROUND(SUM(BS!AF44:AF46),0),"OK","ERROR")</f>
        <v>OK</v>
      </c>
      <c r="AG112" s="271"/>
      <c r="AH112" s="203" t="str">
        <f>IF(ROUND(BS!AH47,0)=ROUND(SUM(BS!AH44:AH46),0),"OK","ERROR")</f>
        <v>OK</v>
      </c>
      <c r="AI112" s="203" t="str">
        <f>IF(ROUND(BS!AI47,0)=ROUND(SUM(BS!AI44:AI46),0),"OK","ERROR")</f>
        <v>OK</v>
      </c>
      <c r="AJ112" s="203" t="e">
        <f ca="1">IF(ROUND(BS!AJ47,0)=ROUND(SUM(BS!AJ44:AJ46),0),"OK","ERROR")</f>
        <v>#NAME?</v>
      </c>
      <c r="AK112" s="203" t="str">
        <f>IF(ROUND(BS!AK47,0)=ROUND(SUM(BS!AK44:AK46),0),"OK","ERROR")</f>
        <v>OK</v>
      </c>
      <c r="AL112" s="206" t="str">
        <f>IF(ROUND(BS!AL47,0)=ROUND(SUM(BS!AL44:AL46),0),"OK","ERROR")</f>
        <v>OK</v>
      </c>
      <c r="AM112" s="242"/>
      <c r="AN112" s="203" t="str">
        <f>IF(ROUND(BS!AN47,0)=ROUND(SUM(BS!AN44:AN46),0),"OK","ERROR")</f>
        <v>OK</v>
      </c>
      <c r="AO112" s="203" t="str">
        <f>IF(ROUND(BS!AO47,0)=ROUND(SUM(BS!AO44:AO46),0),"OK","ERROR")</f>
        <v>OK</v>
      </c>
      <c r="AP112" s="203" t="str">
        <f>IF(ROUND(BS!AP47,0)=ROUND(SUM(BS!AP44:AP46),0),"OK","ERROR")</f>
        <v>OK</v>
      </c>
      <c r="AQ112" s="203" t="str">
        <f>IF(ROUND(BS!AQ47,0)=ROUND(SUM(BS!AQ44:AQ46),0),"OK","ERROR")</f>
        <v>OK</v>
      </c>
      <c r="AR112" s="206" t="str">
        <f>IF(ROUND(BS!AR47,0)=ROUND(SUM(BS!AR44:AR46),0),"OK","ERROR")</f>
        <v>OK</v>
      </c>
      <c r="AS112" s="242"/>
      <c r="AT112" s="206" t="str">
        <f>IF(ROUND(BS!AT47,0)=ROUND(SUM(BS!AT44:AT46),0),"OK","ERROR")</f>
        <v>OK</v>
      </c>
      <c r="AU112" s="242"/>
      <c r="AV112" s="206" t="str">
        <f>IF(ROUND(BS!AV47,0)=ROUND(SUM(BS!AV44:AV46),0),"OK","ERROR")</f>
        <v>OK</v>
      </c>
      <c r="AW112" s="247"/>
      <c r="AX112" s="206" t="str">
        <f>IF(ROUND(BS!AX47,0)=ROUND(SUM(BS!AX44:AX46),0),"OK","ERROR")</f>
        <v>OK</v>
      </c>
    </row>
    <row r="113" spans="1:50" s="42" customFormat="1" ht="15" customHeight="1" x14ac:dyDescent="0.3">
      <c r="A113" s="44"/>
      <c r="B113" s="131" t="s">
        <v>693</v>
      </c>
      <c r="C113" s="18"/>
      <c r="D113" s="203" t="str">
        <f>IF(ROUND(BS!D48,0)=ROUND(SUM(BS!D41,BS!D47),0),"OK","ERROR")</f>
        <v>OK</v>
      </c>
      <c r="E113" s="203" t="str">
        <f>IF(ROUND(BS!E48,0)=ROUND(SUM(BS!E41,BS!E47),0),"OK","ERROR")</f>
        <v>OK</v>
      </c>
      <c r="F113" s="203" t="str">
        <f>IF(ROUND(BS!F48,0)=ROUND(SUM(BS!F41,BS!F47),0),"OK","ERROR")</f>
        <v>OK</v>
      </c>
      <c r="G113" s="203" t="str">
        <f>IF(ROUND(BS!G48,0)=ROUND(SUM(BS!G41,BS!G47),0),"OK","ERROR")</f>
        <v>OK</v>
      </c>
      <c r="H113" s="213" t="str">
        <f>IF(ROUND(BS!H48,0)=ROUND(SUM(BS!H41,BS!H47),0),"OK","ERROR")</f>
        <v>OK</v>
      </c>
      <c r="I113" s="234"/>
      <c r="J113" s="203" t="str">
        <f>IF(ROUND(BS!J48,0)=ROUND(SUM(BS!J41,BS!J47),0),"OK","ERROR")</f>
        <v>OK</v>
      </c>
      <c r="K113" s="203" t="str">
        <f>IF(ROUND(BS!K48,0)=ROUND(SUM(BS!K41,BS!K47),0),"OK","ERROR")</f>
        <v>OK</v>
      </c>
      <c r="L113" s="203" t="str">
        <f>IF(ROUND(BS!L48,0)=ROUND(SUM(BS!L41,BS!L47),0),"OK","ERROR")</f>
        <v>OK</v>
      </c>
      <c r="M113" s="203" t="str">
        <f>IF(ROUND(BS!M48,0)=ROUND(SUM(BS!M41,BS!M47),0),"OK","ERROR")</f>
        <v>OK</v>
      </c>
      <c r="N113" s="213" t="str">
        <f>IF(ROUND(BS!N48,0)=ROUND(SUM(BS!N41,BS!N47),0),"OK","ERROR")</f>
        <v>OK</v>
      </c>
      <c r="O113" s="234"/>
      <c r="P113" s="203" t="str">
        <f>IF(ROUND(BS!P48,0)=ROUND(SUM(BS!P41,BS!P47),0),"OK","ERROR")</f>
        <v>OK</v>
      </c>
      <c r="Q113" s="203" t="str">
        <f>IF(ROUND(BS!Q48,0)=ROUND(SUM(BS!Q41,BS!Q47),0),"OK","ERROR")</f>
        <v>OK</v>
      </c>
      <c r="R113" s="203" t="str">
        <f>IF(ROUND(BS!R48,0)=ROUND(SUM(BS!R41,BS!R47),0),"OK","ERROR")</f>
        <v>OK</v>
      </c>
      <c r="S113" s="203" t="str">
        <f>IF(ROUND(BS!S48,0)=ROUND(SUM(BS!S41,BS!S47),0),"OK","ERROR")</f>
        <v>OK</v>
      </c>
      <c r="T113" s="213" t="str">
        <f>IF(ROUND(BS!T48,0)=ROUND(SUM(BS!T41,BS!T47),0),"OK","ERROR")</f>
        <v>OK</v>
      </c>
      <c r="U113" s="234"/>
      <c r="V113" s="203" t="str">
        <f>IF(ROUND(BS!V48,0)=ROUND(SUM(BS!V41,BS!V47),0),"OK","ERROR")</f>
        <v>OK</v>
      </c>
      <c r="W113" s="203" t="str">
        <f>IF(ROUND(BS!W48,0)=ROUND(SUM(BS!W41,BS!W47),0),"OK","ERROR")</f>
        <v>OK</v>
      </c>
      <c r="X113" s="203" t="str">
        <f>IF(ROUND(BS!X48,0)=ROUND(SUM(BS!X41,BS!X47),0),"OK","ERROR")</f>
        <v>OK</v>
      </c>
      <c r="Y113" s="203" t="str">
        <f>IF(ROUND(BS!Y48,0)=ROUND(SUM(BS!Y41,BS!Y47),0),"OK","ERROR")</f>
        <v>OK</v>
      </c>
      <c r="Z113" s="213" t="str">
        <f>IF(ROUND(BS!Z48,0)=ROUND(SUM(BS!Z41,BS!Z47),0),"OK","ERROR")</f>
        <v>OK</v>
      </c>
      <c r="AA113" s="234"/>
      <c r="AB113" s="203" t="str">
        <f>IF(ROUND(BS!AB48,0)=ROUND(SUM(BS!AB41,BS!AB47),0),"OK","ERROR")</f>
        <v>OK</v>
      </c>
      <c r="AC113" s="203" t="str">
        <f>IF(ROUND(BS!AC48,0)=ROUND(SUM(BS!AC41,BS!AC47),0),"OK","ERROR")</f>
        <v>OK</v>
      </c>
      <c r="AD113" s="203" t="str">
        <f>IF(ROUND(BS!AD48,0)=ROUND(SUM(BS!AD41,BS!AD47),0),"OK","ERROR")</f>
        <v>OK</v>
      </c>
      <c r="AE113" s="203" t="str">
        <f>IF(ROUND(BS!AE48,0)=ROUND(SUM(BS!AE41,BS!AE47),0),"OK","ERROR")</f>
        <v>OK</v>
      </c>
      <c r="AF113" s="213" t="str">
        <f>IF(ROUND(BS!AF48,0)=ROUND(SUM(BS!AF41,BS!AF47),0),"OK","ERROR")</f>
        <v>OK</v>
      </c>
      <c r="AG113" s="270"/>
      <c r="AH113" s="203" t="str">
        <f>IF(ROUND(BS!AH48,0)=ROUND(SUM(BS!AH41,BS!AH47),0),"OK","ERROR")</f>
        <v>OK</v>
      </c>
      <c r="AI113" s="203" t="str">
        <f>IF(ROUND(BS!AI48,0)=ROUND(SUM(BS!AI41,BS!AI47),0),"OK","ERROR")</f>
        <v>OK</v>
      </c>
      <c r="AJ113" s="203" t="e">
        <f ca="1">IF(ROUND(BS!AJ48,0)=ROUND(SUM(BS!AJ41,BS!AJ47),0),"OK","ERROR")</f>
        <v>#NAME?</v>
      </c>
      <c r="AK113" s="203" t="str">
        <f>IF(ROUND(BS!AK48,0)=ROUND(SUM(BS!AK41,BS!AK47),0),"OK","ERROR")</f>
        <v>OK</v>
      </c>
      <c r="AL113" s="213" t="str">
        <f>IF(ROUND(BS!AL48,0)=ROUND(SUM(BS!AL41,BS!AL47),0),"OK","ERROR")</f>
        <v>OK</v>
      </c>
      <c r="AM113" s="234"/>
      <c r="AN113" s="203" t="str">
        <f>IF(ROUND(BS!AN48,0)=ROUND(SUM(BS!AN41,BS!AN47),0),"OK","ERROR")</f>
        <v>OK</v>
      </c>
      <c r="AO113" s="203" t="str">
        <f>IF(ROUND(BS!AO48,0)=ROUND(SUM(BS!AO41,BS!AO47),0),"OK","ERROR")</f>
        <v>OK</v>
      </c>
      <c r="AP113" s="203" t="str">
        <f>IF(ROUND(BS!AP48,0)=ROUND(SUM(BS!AP41,BS!AP47),0),"OK","ERROR")</f>
        <v>OK</v>
      </c>
      <c r="AQ113" s="203" t="str">
        <f>IF(ROUND(BS!AQ48,0)=ROUND(SUM(BS!AQ41,BS!AQ47),0),"OK","ERROR")</f>
        <v>OK</v>
      </c>
      <c r="AR113" s="213" t="str">
        <f>IF(ROUND(BS!AR48,0)=ROUND(SUM(BS!AR41,BS!AR47),0),"OK","ERROR")</f>
        <v>OK</v>
      </c>
      <c r="AS113" s="234"/>
      <c r="AT113" s="213" t="str">
        <f>IF(ROUND(BS!AT48,0)=ROUND(SUM(BS!AT41,BS!AT47),0),"OK","ERROR")</f>
        <v>OK</v>
      </c>
      <c r="AU113" s="234"/>
      <c r="AV113" s="213" t="str">
        <f>IF(ROUND(BS!AV48,0)=ROUND(SUM(BS!AV41,BS!AV47),0),"OK","ERROR")</f>
        <v>OK</v>
      </c>
      <c r="AW113" s="241"/>
      <c r="AX113" s="213" t="str">
        <f>IF(ROUND(BS!AX48,0)=ROUND(SUM(BS!AX41,BS!AX47),0),"OK","ERROR")</f>
        <v>OK</v>
      </c>
    </row>
    <row r="114" spans="1:50" s="110" customFormat="1" ht="15" customHeight="1" x14ac:dyDescent="0.3">
      <c r="B114" s="133"/>
      <c r="C114" s="112"/>
      <c r="D114" s="194"/>
      <c r="E114" s="194"/>
      <c r="F114" s="194"/>
      <c r="G114" s="194"/>
      <c r="H114" s="206"/>
      <c r="I114" s="242"/>
      <c r="J114" s="194"/>
      <c r="K114" s="194"/>
      <c r="L114" s="194"/>
      <c r="M114" s="194"/>
      <c r="N114" s="206"/>
      <c r="O114" s="242"/>
      <c r="P114" s="194"/>
      <c r="Q114" s="194"/>
      <c r="R114" s="194"/>
      <c r="S114" s="194"/>
      <c r="T114" s="206"/>
      <c r="U114" s="242"/>
      <c r="V114" s="194"/>
      <c r="W114" s="194"/>
      <c r="X114" s="194"/>
      <c r="Y114" s="194"/>
      <c r="Z114" s="206"/>
      <c r="AA114" s="242"/>
      <c r="AB114" s="194"/>
      <c r="AC114" s="194"/>
      <c r="AD114" s="194"/>
      <c r="AE114" s="194"/>
      <c r="AF114" s="206"/>
      <c r="AG114" s="271"/>
      <c r="AH114" s="194"/>
      <c r="AI114" s="194"/>
      <c r="AJ114" s="194"/>
      <c r="AK114" s="194"/>
      <c r="AL114" s="206"/>
      <c r="AM114" s="242"/>
      <c r="AN114" s="194"/>
      <c r="AO114" s="194"/>
      <c r="AP114" s="194"/>
      <c r="AQ114" s="194"/>
      <c r="AR114" s="206"/>
      <c r="AS114" s="242"/>
      <c r="AT114" s="206"/>
      <c r="AU114" s="242"/>
      <c r="AV114" s="206"/>
      <c r="AW114" s="247"/>
      <c r="AX114" s="206"/>
    </row>
    <row r="115" spans="1:50" s="42" customFormat="1" ht="15" customHeight="1" x14ac:dyDescent="0.3">
      <c r="A115" s="45" t="s">
        <v>38</v>
      </c>
      <c r="B115" s="111" t="s">
        <v>694</v>
      </c>
      <c r="C115" s="18"/>
      <c r="D115" s="194"/>
      <c r="E115" s="194"/>
      <c r="F115" s="194"/>
      <c r="G115" s="194"/>
      <c r="H115" s="206"/>
      <c r="I115" s="234"/>
      <c r="J115" s="194"/>
      <c r="K115" s="194"/>
      <c r="L115" s="194"/>
      <c r="M115" s="194"/>
      <c r="N115" s="206"/>
      <c r="O115" s="234"/>
      <c r="P115" s="194"/>
      <c r="Q115" s="194"/>
      <c r="R115" s="194"/>
      <c r="S115" s="194"/>
      <c r="T115" s="206"/>
      <c r="U115" s="234"/>
      <c r="V115" s="194"/>
      <c r="W115" s="194"/>
      <c r="X115" s="194"/>
      <c r="Y115" s="194"/>
      <c r="Z115" s="206"/>
      <c r="AA115" s="234"/>
      <c r="AB115" s="194"/>
      <c r="AC115" s="194"/>
      <c r="AD115" s="194"/>
      <c r="AE115" s="194"/>
      <c r="AF115" s="206"/>
      <c r="AG115" s="270"/>
      <c r="AH115" s="194"/>
      <c r="AI115" s="194"/>
      <c r="AJ115" s="194"/>
      <c r="AK115" s="194"/>
      <c r="AL115" s="206"/>
      <c r="AM115" s="234"/>
      <c r="AN115" s="194"/>
      <c r="AO115" s="194"/>
      <c r="AP115" s="194"/>
      <c r="AQ115" s="194"/>
      <c r="AR115" s="206"/>
      <c r="AS115" s="234"/>
      <c r="AT115" s="206"/>
      <c r="AU115" s="234"/>
      <c r="AV115" s="206"/>
      <c r="AW115" s="241"/>
      <c r="AX115" s="206"/>
    </row>
    <row r="116" spans="1:50" s="110" customFormat="1" ht="15" customHeight="1" x14ac:dyDescent="0.25">
      <c r="B116" s="129" t="s">
        <v>698</v>
      </c>
      <c r="C116" s="112"/>
      <c r="D116" s="203" t="str">
        <f>IF(ROUND(BS!D54,0)=ROUND(SUM(BS!D51:D53),0),"OK","ERROR")</f>
        <v>OK</v>
      </c>
      <c r="E116" s="203" t="str">
        <f>IF(ROUND(BS!E54,0)=ROUND(SUM(BS!E51:E53),0),"OK","ERROR")</f>
        <v>OK</v>
      </c>
      <c r="F116" s="203" t="str">
        <f>IF(ROUND(BS!F54,0)=ROUND(SUM(BS!F51:F53),0),"OK","ERROR")</f>
        <v>OK</v>
      </c>
      <c r="G116" s="203" t="str">
        <f>IF(ROUND(BS!G54,0)=ROUND(SUM(BS!G51:G53),0),"OK","ERROR")</f>
        <v>OK</v>
      </c>
      <c r="H116" s="213" t="str">
        <f>IF(ROUND(BS!H54,0)=ROUND(SUM(BS!H51:H53),0),"OK","ERROR")</f>
        <v>OK</v>
      </c>
      <c r="I116" s="242"/>
      <c r="J116" s="203" t="str">
        <f>IF(ROUND(BS!J54,0)=ROUND(SUM(BS!J51:J53),0),"OK","ERROR")</f>
        <v>OK</v>
      </c>
      <c r="K116" s="203" t="str">
        <f>IF(ROUND(BS!K54,0)=ROUND(SUM(BS!K51:K53),0),"OK","ERROR")</f>
        <v>OK</v>
      </c>
      <c r="L116" s="203" t="str">
        <f>IF(ROUND(BS!L54,0)=ROUND(SUM(BS!L51:L53),0),"OK","ERROR")</f>
        <v>OK</v>
      </c>
      <c r="M116" s="203" t="str">
        <f>IF(ROUND(BS!M54,0)=ROUND(SUM(BS!M51:M53),0),"OK","ERROR")</f>
        <v>OK</v>
      </c>
      <c r="N116" s="213" t="str">
        <f>IF(ROUND(BS!N54,0)=ROUND(SUM(BS!N51:N53),0),"OK","ERROR")</f>
        <v>OK</v>
      </c>
      <c r="O116" s="242"/>
      <c r="P116" s="203" t="str">
        <f>IF(ROUND(BS!P54,0)=ROUND(SUM(BS!P51:P53),0),"OK","ERROR")</f>
        <v>OK</v>
      </c>
      <c r="Q116" s="203" t="str">
        <f>IF(ROUND(BS!Q54,0)=ROUND(SUM(BS!Q51:Q53),0),"OK","ERROR")</f>
        <v>OK</v>
      </c>
      <c r="R116" s="203" t="str">
        <f>IF(ROUND(BS!R54,0)=ROUND(SUM(BS!R51:R53),0),"OK","ERROR")</f>
        <v>OK</v>
      </c>
      <c r="S116" s="203" t="str">
        <f>IF(ROUND(BS!S54,0)=ROUND(SUM(BS!S51:S53),0),"OK","ERROR")</f>
        <v>OK</v>
      </c>
      <c r="T116" s="213" t="str">
        <f>IF(ROUND(BS!T54,0)=ROUND(SUM(BS!T51:T53),0),"OK","ERROR")</f>
        <v>OK</v>
      </c>
      <c r="U116" s="242"/>
      <c r="V116" s="203" t="str">
        <f>IF(ROUND(BS!V54,0)=ROUND(SUM(BS!V51:V53),0),"OK","ERROR")</f>
        <v>OK</v>
      </c>
      <c r="W116" s="203" t="str">
        <f>IF(ROUND(BS!W54,0)=ROUND(SUM(BS!W51:W53),0),"OK","ERROR")</f>
        <v>OK</v>
      </c>
      <c r="X116" s="203" t="str">
        <f>IF(ROUND(BS!X54,0)=ROUND(SUM(BS!X51:X53),0),"OK","ERROR")</f>
        <v>OK</v>
      </c>
      <c r="Y116" s="203" t="str">
        <f>IF(ROUND(BS!Y54,0)=ROUND(SUM(BS!Y51:Y53),0),"OK","ERROR")</f>
        <v>OK</v>
      </c>
      <c r="Z116" s="213" t="str">
        <f>IF(ROUND(BS!Z54,0)=ROUND(SUM(BS!Z51:Z53),0),"OK","ERROR")</f>
        <v>OK</v>
      </c>
      <c r="AA116" s="242"/>
      <c r="AB116" s="203" t="str">
        <f>IF(ROUND(BS!AB54,0)=ROUND(SUM(BS!AB51:AB53),0),"OK","ERROR")</f>
        <v>OK</v>
      </c>
      <c r="AC116" s="203" t="str">
        <f>IF(ROUND(BS!AC54,0)=ROUND(SUM(BS!AC51:AC53),0),"OK","ERROR")</f>
        <v>OK</v>
      </c>
      <c r="AD116" s="203" t="str">
        <f>IF(ROUND(BS!AD54,0)=ROUND(SUM(BS!AD51:AD53),0),"OK","ERROR")</f>
        <v>OK</v>
      </c>
      <c r="AE116" s="203" t="str">
        <f>IF(ROUND(BS!AE54,0)=ROUND(SUM(BS!AE51:AE53),0),"OK","ERROR")</f>
        <v>OK</v>
      </c>
      <c r="AF116" s="213" t="str">
        <f>IF(ROUND(BS!AF54,0)=ROUND(SUM(BS!AF51:AF53),0),"OK","ERROR")</f>
        <v>OK</v>
      </c>
      <c r="AG116" s="271"/>
      <c r="AH116" s="203" t="str">
        <f>IF(ROUND(BS!AH54,0)=ROUND(SUM(BS!AH51:AH53),0),"OK","ERROR")</f>
        <v>OK</v>
      </c>
      <c r="AI116" s="203" t="str">
        <f>IF(ROUND(BS!AI54,0)=ROUND(SUM(BS!AI51:AI53),0),"OK","ERROR")</f>
        <v>OK</v>
      </c>
      <c r="AJ116" s="203" t="e">
        <f ca="1">IF(ROUND(BS!AJ54,0)=ROUND(SUM(BS!AJ51:AJ53),0),"OK","ERROR")</f>
        <v>#NAME?</v>
      </c>
      <c r="AK116" s="203" t="str">
        <f>IF(ROUND(BS!AK54,0)=ROUND(SUM(BS!AK51:AK53),0),"OK","ERROR")</f>
        <v>OK</v>
      </c>
      <c r="AL116" s="213" t="str">
        <f>IF(ROUND(BS!AL54,0)=ROUND(SUM(BS!AL51:AL53),0),"OK","ERROR")</f>
        <v>OK</v>
      </c>
      <c r="AM116" s="242"/>
      <c r="AN116" s="203" t="str">
        <f>IF(ROUND(BS!AN54,0)=ROUND(SUM(BS!AN51:AN53),0),"OK","ERROR")</f>
        <v>OK</v>
      </c>
      <c r="AO116" s="203" t="str">
        <f>IF(ROUND(BS!AO54,0)=ROUND(SUM(BS!AO51:AO53),0),"OK","ERROR")</f>
        <v>OK</v>
      </c>
      <c r="AP116" s="203" t="str">
        <f>IF(ROUND(BS!AP54,0)=ROUND(SUM(BS!AP51:AP53),0),"OK","ERROR")</f>
        <v>OK</v>
      </c>
      <c r="AQ116" s="203" t="str">
        <f>IF(ROUND(BS!AQ54,0)=ROUND(SUM(BS!AQ51:AQ53),0),"OK","ERROR")</f>
        <v>OK</v>
      </c>
      <c r="AR116" s="213" t="str">
        <f>IF(ROUND(BS!AR54,0)=ROUND(SUM(BS!AR51:AR53),0),"OK","ERROR")</f>
        <v>OK</v>
      </c>
      <c r="AS116" s="242"/>
      <c r="AT116" s="213" t="str">
        <f>IF(ROUND(BS!AT54,0)=ROUND(SUM(BS!AT51:AT53),0),"OK","ERROR")</f>
        <v>OK</v>
      </c>
      <c r="AU116" s="242"/>
      <c r="AV116" s="213" t="str">
        <f>IF(ROUND(BS!AV54,0)=ROUND(SUM(BS!AV51:AV53),0),"OK","ERROR")</f>
        <v>OK</v>
      </c>
      <c r="AW116" s="247"/>
      <c r="AX116" s="213" t="str">
        <f>IF(ROUND(BS!AX54,0)=ROUND(SUM(BS!AX51:AX53),0),"OK","ERROR")</f>
        <v>OK</v>
      </c>
    </row>
    <row r="117" spans="1:50" s="42" customFormat="1" ht="15" customHeight="1" thickBot="1" x14ac:dyDescent="0.35">
      <c r="A117" s="44"/>
      <c r="B117" s="131" t="s">
        <v>699</v>
      </c>
      <c r="C117" s="18"/>
      <c r="D117" s="203" t="str">
        <f>IF(ROUND(BS!D55,0)=ROUND(SUM(BS!D54,BS!D48),0),"OK","ERROR")</f>
        <v>OK</v>
      </c>
      <c r="E117" s="203" t="str">
        <f>IF(ROUND(BS!E55,0)=ROUND(SUM(BS!E54,BS!E48),0),"OK","ERROR")</f>
        <v>OK</v>
      </c>
      <c r="F117" s="203" t="str">
        <f>IF(ROUND(BS!F55,0)=ROUND(SUM(BS!F54,BS!F48),0),"OK","ERROR")</f>
        <v>OK</v>
      </c>
      <c r="G117" s="203" t="str">
        <f>IF(ROUND(BS!G55,0)=ROUND(SUM(BS!G54,BS!G48),0),"OK","ERROR")</f>
        <v>OK</v>
      </c>
      <c r="H117" s="223" t="str">
        <f>IF(ROUND(BS!H55,0)=ROUND(SUM(BS!H54,BS!H48),0),"OK","ERROR")</f>
        <v>OK</v>
      </c>
      <c r="I117" s="234"/>
      <c r="J117" s="203" t="str">
        <f>IF(ROUND(BS!J55,0)=ROUND(SUM(BS!J54,BS!J48),0),"OK","ERROR")</f>
        <v>OK</v>
      </c>
      <c r="K117" s="203" t="str">
        <f>IF(ROUND(BS!K55,0)=ROUND(SUM(BS!K54,BS!K48),0),"OK","ERROR")</f>
        <v>OK</v>
      </c>
      <c r="L117" s="203" t="str">
        <f>IF(ROUND(BS!L55,0)=ROUND(SUM(BS!L54,BS!L48),0),"OK","ERROR")</f>
        <v>OK</v>
      </c>
      <c r="M117" s="203" t="str">
        <f>IF(ROUND(BS!M55,0)=ROUND(SUM(BS!M54,BS!M48),0),"OK","ERROR")</f>
        <v>OK</v>
      </c>
      <c r="N117" s="223" t="str">
        <f>IF(ROUND(BS!N55,0)=ROUND(SUM(BS!N54,BS!N48),0),"OK","ERROR")</f>
        <v>OK</v>
      </c>
      <c r="O117" s="234"/>
      <c r="P117" s="203" t="str">
        <f>IF(ROUND(BS!P55,0)=ROUND(SUM(BS!P54,BS!P48),0),"OK","ERROR")</f>
        <v>OK</v>
      </c>
      <c r="Q117" s="203" t="str">
        <f>IF(ROUND(BS!Q55,0)=ROUND(SUM(BS!Q54,BS!Q48),0),"OK","ERROR")</f>
        <v>OK</v>
      </c>
      <c r="R117" s="203" t="str">
        <f>IF(ROUND(BS!R55,0)=ROUND(SUM(BS!R54,BS!R48),0),"OK","ERROR")</f>
        <v>OK</v>
      </c>
      <c r="S117" s="203" t="str">
        <f>IF(ROUND(BS!S55,0)=ROUND(SUM(BS!S54,BS!S48),0),"OK","ERROR")</f>
        <v>OK</v>
      </c>
      <c r="T117" s="223" t="str">
        <f>IF(ROUND(BS!T55,0)=ROUND(SUM(BS!T54,BS!T48),0),"OK","ERROR")</f>
        <v>OK</v>
      </c>
      <c r="U117" s="234"/>
      <c r="V117" s="203" t="str">
        <f>IF(ROUND(BS!V55,0)=ROUND(SUM(BS!V54,BS!V48),0),"OK","ERROR")</f>
        <v>OK</v>
      </c>
      <c r="W117" s="203" t="str">
        <f>IF(ROUND(BS!W55,0)=ROUND(SUM(BS!W54,BS!W48),0),"OK","ERROR")</f>
        <v>OK</v>
      </c>
      <c r="X117" s="203" t="str">
        <f>IF(ROUND(BS!X55,0)=ROUND(SUM(BS!X54,BS!X48),0),"OK","ERROR")</f>
        <v>OK</v>
      </c>
      <c r="Y117" s="203" t="str">
        <f>IF(ROUND(BS!Y55,0)=ROUND(SUM(BS!Y54,BS!Y48),0),"OK","ERROR")</f>
        <v>OK</v>
      </c>
      <c r="Z117" s="223" t="str">
        <f>IF(ROUND(BS!Z55,0)=ROUND(SUM(BS!Z54,BS!Z48),0),"OK","ERROR")</f>
        <v>OK</v>
      </c>
      <c r="AA117" s="234"/>
      <c r="AB117" s="203" t="str">
        <f>IF(ROUND(BS!AB55,0)=ROUND(SUM(BS!AB54,BS!AB48),0),"OK","ERROR")</f>
        <v>OK</v>
      </c>
      <c r="AC117" s="203" t="str">
        <f>IF(ROUND(BS!AC55,0)=ROUND(SUM(BS!AC54,BS!AC48),0),"OK","ERROR")</f>
        <v>OK</v>
      </c>
      <c r="AD117" s="203" t="str">
        <f>IF(ROUND(BS!AD55,0)=ROUND(SUM(BS!AD54,BS!AD48),0),"OK","ERROR")</f>
        <v>OK</v>
      </c>
      <c r="AE117" s="203" t="str">
        <f>IF(ROUND(BS!AE55,0)=ROUND(SUM(BS!AE54,BS!AE48),0),"OK","ERROR")</f>
        <v>OK</v>
      </c>
      <c r="AF117" s="223" t="str">
        <f>IF(ROUND(BS!AF55,0)=ROUND(SUM(BS!AF54,BS!AF48),0),"OK","ERROR")</f>
        <v>OK</v>
      </c>
      <c r="AG117" s="270"/>
      <c r="AH117" s="203" t="str">
        <f>IF(ROUND(BS!AH55,0)=ROUND(SUM(BS!AH54,BS!AH48),0),"OK","ERROR")</f>
        <v>OK</v>
      </c>
      <c r="AI117" s="203" t="str">
        <f>IF(ROUND(BS!AI55,0)=ROUND(SUM(BS!AI54,BS!AI48),0),"OK","ERROR")</f>
        <v>OK</v>
      </c>
      <c r="AJ117" s="203" t="e">
        <f ca="1">IF(ROUND(BS!AJ55,0)=ROUND(SUM(BS!AJ54,BS!AJ48),0),"OK","ERROR")</f>
        <v>#NAME?</v>
      </c>
      <c r="AK117" s="203" t="str">
        <f>IF(ROUND(BS!AK55,0)=ROUND(SUM(BS!AK54,BS!AK48),0),"OK","ERROR")</f>
        <v>OK</v>
      </c>
      <c r="AL117" s="223" t="str">
        <f>IF(ROUND(BS!AL55,0)=ROUND(SUM(BS!AL54,BS!AL48),0),"OK","ERROR")</f>
        <v>OK</v>
      </c>
      <c r="AM117" s="234"/>
      <c r="AN117" s="203" t="str">
        <f>IF(ROUND(BS!AN55,0)=ROUND(SUM(BS!AN54,BS!AN48),0),"OK","ERROR")</f>
        <v>OK</v>
      </c>
      <c r="AO117" s="203" t="str">
        <f>IF(ROUND(BS!AO55,0)=ROUND(SUM(BS!AO54,BS!AO48),0),"OK","ERROR")</f>
        <v>OK</v>
      </c>
      <c r="AP117" s="203" t="str">
        <f>IF(ROUND(BS!AP55,0)=ROUND(SUM(BS!AP54,BS!AP48),0),"OK","ERROR")</f>
        <v>OK</v>
      </c>
      <c r="AQ117" s="203" t="str">
        <f>IF(ROUND(BS!AQ55,0)=ROUND(SUM(BS!AQ54,BS!AQ48),0),"OK","ERROR")</f>
        <v>OK</v>
      </c>
      <c r="AR117" s="223" t="str">
        <f>IF(ROUND(BS!AR55,0)=ROUND(SUM(BS!AR54,BS!AR48),0),"OK","ERROR")</f>
        <v>OK</v>
      </c>
      <c r="AS117" s="234"/>
      <c r="AT117" s="223" t="str">
        <f>IF(ROUND(BS!AT55,0)=ROUND(SUM(BS!AT54,BS!AT48),0),"OK","ERROR")</f>
        <v>OK</v>
      </c>
      <c r="AU117" s="234"/>
      <c r="AV117" s="223" t="str">
        <f>IF(ROUND(BS!AV55,0)=ROUND(SUM(BS!AV54,BS!AV48),0),"OK","ERROR")</f>
        <v>OK</v>
      </c>
      <c r="AW117" s="241"/>
      <c r="AX117" s="223" t="str">
        <f>IF(ROUND(BS!AX55,0)=ROUND(SUM(BS!AX54,BS!AX48),0),"OK","ERROR")</f>
        <v>OK</v>
      </c>
    </row>
    <row r="118" spans="1:50" ht="14.25" customHeight="1" thickTop="1" x14ac:dyDescent="0.25"/>
    <row r="119" spans="1:50" s="42" customFormat="1" ht="15" customHeight="1" x14ac:dyDescent="0.3">
      <c r="A119" s="45" t="s">
        <v>38</v>
      </c>
      <c r="B119" s="147" t="s">
        <v>733</v>
      </c>
      <c r="C119" s="19"/>
      <c r="D119" s="188">
        <f>F119</f>
        <v>2020</v>
      </c>
      <c r="E119" s="188">
        <f>F119</f>
        <v>2020</v>
      </c>
      <c r="F119" s="188">
        <v>2020</v>
      </c>
      <c r="G119" s="188">
        <f>F119</f>
        <v>2020</v>
      </c>
      <c r="H119" s="188">
        <f>F119</f>
        <v>2020</v>
      </c>
      <c r="I119" s="19"/>
      <c r="J119" s="188">
        <f>L119</f>
        <v>2021</v>
      </c>
      <c r="K119" s="188">
        <f>L119</f>
        <v>2021</v>
      </c>
      <c r="L119" s="188">
        <v>2021</v>
      </c>
      <c r="M119" s="188">
        <f>L119</f>
        <v>2021</v>
      </c>
      <c r="N119" s="188">
        <f>L119</f>
        <v>2021</v>
      </c>
      <c r="O119" s="155"/>
      <c r="P119" s="188">
        <f>R119</f>
        <v>2022</v>
      </c>
      <c r="Q119" s="188">
        <f>R119</f>
        <v>2022</v>
      </c>
      <c r="R119" s="188">
        <v>2022</v>
      </c>
      <c r="S119" s="188">
        <f>R119</f>
        <v>2022</v>
      </c>
      <c r="T119" s="188">
        <f>R119</f>
        <v>2022</v>
      </c>
      <c r="U119" s="155"/>
      <c r="V119" s="188">
        <f>X119</f>
        <v>2023</v>
      </c>
      <c r="W119" s="188">
        <f>X119</f>
        <v>2023</v>
      </c>
      <c r="X119" s="188">
        <v>2023</v>
      </c>
      <c r="Y119" s="188">
        <f>X119</f>
        <v>2023</v>
      </c>
      <c r="Z119" s="188">
        <f>X119</f>
        <v>2023</v>
      </c>
      <c r="AA119" s="156"/>
      <c r="AB119" s="188">
        <f>AD119</f>
        <v>2024</v>
      </c>
      <c r="AC119" s="188">
        <f>AD119</f>
        <v>2024</v>
      </c>
      <c r="AD119" s="188">
        <v>2024</v>
      </c>
      <c r="AE119" s="188">
        <f>AD119</f>
        <v>2024</v>
      </c>
      <c r="AF119" s="188">
        <f>AD119</f>
        <v>2024</v>
      </c>
      <c r="AG119" s="156"/>
      <c r="AH119" s="188">
        <f>AJ119</f>
        <v>2025</v>
      </c>
      <c r="AI119" s="188">
        <f>AJ119</f>
        <v>2025</v>
      </c>
      <c r="AJ119" s="189">
        <v>2025</v>
      </c>
      <c r="AK119" s="188">
        <f>AJ119</f>
        <v>2025</v>
      </c>
      <c r="AL119" s="188">
        <f>AJ119</f>
        <v>2025</v>
      </c>
      <c r="AM119" s="157"/>
      <c r="AN119" s="188">
        <f>AP119</f>
        <v>2025</v>
      </c>
      <c r="AO119" s="188">
        <f>AP119</f>
        <v>2025</v>
      </c>
      <c r="AP119" s="189">
        <v>2025</v>
      </c>
      <c r="AQ119" s="188">
        <f>AP119</f>
        <v>2025</v>
      </c>
      <c r="AR119" s="188">
        <f>AP119</f>
        <v>2025</v>
      </c>
      <c r="AS119" s="19"/>
      <c r="AT119" s="148"/>
      <c r="AU119" s="19"/>
      <c r="AV119" s="149"/>
      <c r="AW119" s="19"/>
      <c r="AX119" s="149"/>
    </row>
    <row r="120" spans="1:50" s="42" customFormat="1" ht="15" customHeight="1" x14ac:dyDescent="0.3">
      <c r="B120" s="150"/>
      <c r="C120" s="19"/>
      <c r="D120" s="803">
        <v>2020</v>
      </c>
      <c r="E120" s="803"/>
      <c r="F120" s="803"/>
      <c r="G120" s="803"/>
      <c r="H120" s="803"/>
      <c r="I120" s="155"/>
      <c r="J120" s="803">
        <f>D120+1</f>
        <v>2021</v>
      </c>
      <c r="K120" s="803"/>
      <c r="L120" s="803"/>
      <c r="M120" s="803"/>
      <c r="N120" s="803"/>
      <c r="O120" s="155"/>
      <c r="P120" s="803">
        <f>J120+1</f>
        <v>2022</v>
      </c>
      <c r="Q120" s="803"/>
      <c r="R120" s="803"/>
      <c r="S120" s="803"/>
      <c r="T120" s="803"/>
      <c r="U120" s="155"/>
      <c r="V120" s="803">
        <f>P120+1</f>
        <v>2023</v>
      </c>
      <c r="W120" s="803"/>
      <c r="X120" s="803"/>
      <c r="Y120" s="803"/>
      <c r="Z120" s="803"/>
      <c r="AA120" s="155"/>
      <c r="AB120" s="803">
        <f>V120+1</f>
        <v>2024</v>
      </c>
      <c r="AC120" s="803"/>
      <c r="AD120" s="803"/>
      <c r="AE120" s="803"/>
      <c r="AF120" s="803"/>
      <c r="AG120" s="155"/>
      <c r="AH120" s="802">
        <f>AB120+1</f>
        <v>2025</v>
      </c>
      <c r="AI120" s="802"/>
      <c r="AJ120" s="802"/>
      <c r="AK120" s="802"/>
      <c r="AL120" s="802"/>
      <c r="AM120" s="155"/>
      <c r="AN120" s="802">
        <f>AH120+1</f>
        <v>2026</v>
      </c>
      <c r="AO120" s="802"/>
      <c r="AP120" s="802"/>
      <c r="AQ120" s="802"/>
      <c r="AR120" s="802"/>
      <c r="AS120" s="157"/>
      <c r="AT120" s="152">
        <f>AN120+1</f>
        <v>2027</v>
      </c>
      <c r="AU120" s="153"/>
      <c r="AV120" s="152">
        <f>+AT120+1</f>
        <v>2028</v>
      </c>
      <c r="AW120" s="153"/>
      <c r="AX120" s="152">
        <f>+AV120+1</f>
        <v>2029</v>
      </c>
    </row>
    <row r="121" spans="1:50" s="42" customFormat="1" ht="15" customHeight="1" x14ac:dyDescent="0.3">
      <c r="B121" s="150"/>
      <c r="C121" s="19"/>
      <c r="D121" s="154" t="s">
        <v>219</v>
      </c>
      <c r="E121" s="154" t="s">
        <v>220</v>
      </c>
      <c r="F121" s="154" t="s">
        <v>221</v>
      </c>
      <c r="G121" s="154" t="s">
        <v>222</v>
      </c>
      <c r="H121" s="154" t="s">
        <v>223</v>
      </c>
      <c r="I121" s="19"/>
      <c r="J121" s="154" t="s">
        <v>219</v>
      </c>
      <c r="K121" s="154" t="s">
        <v>220</v>
      </c>
      <c r="L121" s="154" t="s">
        <v>221</v>
      </c>
      <c r="M121" s="154" t="s">
        <v>222</v>
      </c>
      <c r="N121" s="154" t="s">
        <v>223</v>
      </c>
      <c r="O121" s="151"/>
      <c r="P121" s="154" t="s">
        <v>219</v>
      </c>
      <c r="Q121" s="154" t="s">
        <v>220</v>
      </c>
      <c r="R121" s="154" t="s">
        <v>221</v>
      </c>
      <c r="S121" s="154" t="s">
        <v>222</v>
      </c>
      <c r="T121" s="154" t="s">
        <v>223</v>
      </c>
      <c r="U121" s="151"/>
      <c r="V121" s="154" t="s">
        <v>219</v>
      </c>
      <c r="W121" s="154" t="s">
        <v>220</v>
      </c>
      <c r="X121" s="154" t="s">
        <v>221</v>
      </c>
      <c r="Y121" s="154" t="s">
        <v>222</v>
      </c>
      <c r="Z121" s="154" t="s">
        <v>223</v>
      </c>
      <c r="AA121" s="151"/>
      <c r="AB121" s="154" t="s">
        <v>219</v>
      </c>
      <c r="AC121" s="154" t="s">
        <v>220</v>
      </c>
      <c r="AD121" s="154" t="s">
        <v>221</v>
      </c>
      <c r="AE121" s="154" t="s">
        <v>222</v>
      </c>
      <c r="AF121" s="154" t="s">
        <v>223</v>
      </c>
      <c r="AG121" s="151"/>
      <c r="AH121" s="154" t="s">
        <v>219</v>
      </c>
      <c r="AI121" s="154" t="s">
        <v>220</v>
      </c>
      <c r="AJ121" s="154" t="s">
        <v>221</v>
      </c>
      <c r="AK121" s="154" t="s">
        <v>222</v>
      </c>
      <c r="AL121" s="154" t="s">
        <v>223</v>
      </c>
      <c r="AM121" s="151"/>
      <c r="AN121" s="154" t="s">
        <v>219</v>
      </c>
      <c r="AO121" s="154" t="s">
        <v>220</v>
      </c>
      <c r="AP121" s="154" t="s">
        <v>221</v>
      </c>
      <c r="AQ121" s="154" t="s">
        <v>222</v>
      </c>
      <c r="AR121" s="154" t="s">
        <v>223</v>
      </c>
      <c r="AS121" s="151"/>
      <c r="AT121" s="154" t="s">
        <v>223</v>
      </c>
      <c r="AU121" s="151"/>
      <c r="AV121" s="154" t="s">
        <v>223</v>
      </c>
      <c r="AW121" s="151"/>
      <c r="AX121" s="154" t="s">
        <v>223</v>
      </c>
    </row>
    <row r="122" spans="1:50" s="42" customFormat="1" ht="4.05" customHeight="1" x14ac:dyDescent="0.3">
      <c r="A122" s="44"/>
      <c r="B122" s="162"/>
      <c r="C122" s="36"/>
      <c r="D122" s="163"/>
      <c r="E122" s="163"/>
      <c r="F122" s="163"/>
      <c r="G122" s="163"/>
      <c r="H122" s="163"/>
      <c r="I122" s="36"/>
      <c r="J122" s="163"/>
      <c r="K122" s="163"/>
      <c r="L122" s="163"/>
      <c r="M122" s="163"/>
      <c r="N122" s="163"/>
      <c r="O122" s="164"/>
      <c r="P122" s="163"/>
      <c r="Q122" s="163"/>
      <c r="R122" s="163"/>
      <c r="S122" s="163"/>
      <c r="T122" s="163"/>
      <c r="U122" s="164"/>
      <c r="V122" s="163"/>
      <c r="W122" s="163"/>
      <c r="X122" s="163"/>
      <c r="Y122" s="163"/>
      <c r="Z122" s="163"/>
      <c r="AA122" s="164"/>
      <c r="AB122" s="163"/>
      <c r="AC122" s="163"/>
      <c r="AD122" s="163"/>
      <c r="AE122" s="163"/>
      <c r="AF122" s="163"/>
      <c r="AG122" s="164"/>
      <c r="AH122" s="163"/>
      <c r="AI122" s="163"/>
      <c r="AJ122" s="163"/>
      <c r="AK122" s="163"/>
      <c r="AL122" s="165"/>
      <c r="AM122" s="166"/>
      <c r="AN122" s="165"/>
      <c r="AO122" s="165"/>
      <c r="AP122" s="165"/>
      <c r="AQ122" s="165"/>
      <c r="AR122" s="165"/>
      <c r="AS122" s="166"/>
      <c r="AT122" s="165"/>
      <c r="AU122" s="166"/>
      <c r="AV122" s="165"/>
      <c r="AW122" s="166"/>
      <c r="AX122" s="165"/>
    </row>
    <row r="123" spans="1:50" s="42" customFormat="1" ht="4.05" customHeight="1" x14ac:dyDescent="0.3">
      <c r="A123" s="44"/>
      <c r="B123" s="158"/>
      <c r="C123" s="20"/>
      <c r="D123" s="159"/>
      <c r="E123" s="159"/>
      <c r="F123" s="159"/>
      <c r="G123" s="159"/>
      <c r="H123" s="159"/>
      <c r="I123" s="20"/>
      <c r="J123" s="159"/>
      <c r="K123" s="159"/>
      <c r="L123" s="159"/>
      <c r="M123" s="159"/>
      <c r="N123" s="159"/>
      <c r="O123" s="160"/>
      <c r="P123" s="159"/>
      <c r="Q123" s="159"/>
      <c r="R123" s="159"/>
      <c r="S123" s="159"/>
      <c r="T123" s="159"/>
      <c r="U123" s="160"/>
      <c r="V123" s="159"/>
      <c r="W123" s="159"/>
      <c r="X123" s="159"/>
      <c r="Y123" s="159"/>
      <c r="Z123" s="159"/>
      <c r="AA123" s="160"/>
      <c r="AB123" s="159"/>
      <c r="AC123" s="159"/>
      <c r="AD123" s="159"/>
      <c r="AE123" s="159"/>
      <c r="AF123" s="159"/>
      <c r="AG123" s="190"/>
      <c r="AH123" s="159"/>
      <c r="AI123" s="159"/>
      <c r="AJ123" s="159"/>
      <c r="AK123" s="159"/>
      <c r="AL123" s="161"/>
      <c r="AM123" s="35"/>
      <c r="AN123" s="161"/>
      <c r="AO123" s="161"/>
      <c r="AP123" s="161"/>
      <c r="AQ123" s="161"/>
      <c r="AR123" s="161"/>
      <c r="AS123" s="35"/>
      <c r="AT123" s="161"/>
      <c r="AU123" s="35"/>
      <c r="AV123" s="161"/>
      <c r="AW123" s="35"/>
      <c r="AX123" s="161"/>
    </row>
    <row r="124" spans="1:50" s="55" customFormat="1" ht="15" customHeight="1" x14ac:dyDescent="0.3">
      <c r="A124" s="45" t="s">
        <v>38</v>
      </c>
      <c r="B124" s="140" t="s">
        <v>702</v>
      </c>
      <c r="C124" s="18"/>
      <c r="D124" s="194"/>
      <c r="E124" s="194"/>
      <c r="F124" s="194"/>
      <c r="G124" s="194"/>
      <c r="H124" s="206"/>
      <c r="I124" s="196"/>
      <c r="J124" s="194"/>
      <c r="K124" s="194"/>
      <c r="L124" s="194"/>
      <c r="M124" s="194"/>
      <c r="N124" s="206"/>
      <c r="O124" s="195"/>
      <c r="P124" s="194"/>
      <c r="Q124" s="194"/>
      <c r="R124" s="194"/>
      <c r="S124" s="194"/>
      <c r="T124" s="206"/>
      <c r="U124" s="195"/>
      <c r="V124" s="194"/>
      <c r="W124" s="194"/>
      <c r="X124" s="194"/>
      <c r="Y124" s="194"/>
      <c r="Z124" s="206"/>
      <c r="AA124" s="195"/>
      <c r="AB124" s="194"/>
      <c r="AC124" s="194"/>
      <c r="AD124" s="194"/>
      <c r="AE124" s="194"/>
      <c r="AF124" s="206"/>
      <c r="AG124" s="197"/>
      <c r="AH124" s="194"/>
      <c r="AI124" s="194"/>
      <c r="AJ124" s="198"/>
      <c r="AK124" s="198"/>
      <c r="AL124" s="208"/>
      <c r="AM124" s="201"/>
      <c r="AN124" s="198"/>
      <c r="AO124" s="198"/>
      <c r="AP124" s="198"/>
      <c r="AQ124" s="198"/>
      <c r="AR124" s="208"/>
      <c r="AS124" s="201"/>
      <c r="AT124" s="208"/>
      <c r="AU124" s="201"/>
      <c r="AV124" s="208"/>
      <c r="AW124" s="232"/>
      <c r="AX124" s="232"/>
    </row>
    <row r="125" spans="1:50" s="55" customFormat="1" ht="15" customHeight="1" x14ac:dyDescent="0.3">
      <c r="A125" s="44"/>
      <c r="B125" s="141" t="s">
        <v>578</v>
      </c>
      <c r="C125" s="18"/>
      <c r="D125" s="203"/>
      <c r="E125" s="203"/>
      <c r="F125" s="203"/>
      <c r="G125" s="203"/>
      <c r="H125" s="202" t="str">
        <f>IF(ROUND(CF!H15,0)=ROUND(SUM(CF!D15:G15),0),"OK","ERROR")</f>
        <v>OK</v>
      </c>
      <c r="I125" s="196"/>
      <c r="J125" s="203"/>
      <c r="K125" s="203"/>
      <c r="L125" s="203"/>
      <c r="M125" s="203"/>
      <c r="N125" s="202" t="str">
        <f>IF(ROUND(CF!N15,0)=ROUND(SUM(CF!J15:M15),0),"OK","ERROR")</f>
        <v>OK</v>
      </c>
      <c r="O125" s="195"/>
      <c r="P125" s="203"/>
      <c r="Q125" s="203"/>
      <c r="R125" s="203"/>
      <c r="S125" s="203"/>
      <c r="T125" s="202" t="str">
        <f>IF(ROUND(CF!T15,0)=ROUND(SUM(CF!P15:S15),0),"OK","ERROR")</f>
        <v>OK</v>
      </c>
      <c r="U125" s="195"/>
      <c r="V125" s="203"/>
      <c r="W125" s="203"/>
      <c r="X125" s="203"/>
      <c r="Y125" s="203"/>
      <c r="Z125" s="202" t="str">
        <f>IF(ROUND(CF!Z15,0)=ROUND(SUM(CF!V15:Y15),0),"OK","ERROR")</f>
        <v>OK</v>
      </c>
      <c r="AA125" s="195"/>
      <c r="AB125" s="203"/>
      <c r="AC125" s="203"/>
      <c r="AD125" s="203"/>
      <c r="AE125" s="203"/>
      <c r="AF125" s="202" t="str">
        <f>IF(ROUND(CF!AF15,0)=ROUND(SUM(CF!AB15:AE15),0),"OK","ERROR")</f>
        <v>OK</v>
      </c>
      <c r="AG125" s="197"/>
      <c r="AH125" s="203"/>
      <c r="AI125" s="203"/>
      <c r="AJ125" s="198"/>
      <c r="AK125" s="198"/>
      <c r="AL125" s="202" t="str">
        <f>IF(ROUND(CF!AL15,0)=ROUND(SUM(CF!AH15:AK15),0),"OK","ERROR")</f>
        <v>ERROR</v>
      </c>
      <c r="AM125" s="201"/>
      <c r="AN125" s="198"/>
      <c r="AO125" s="198"/>
      <c r="AP125" s="198"/>
      <c r="AQ125" s="198"/>
      <c r="AR125" s="202" t="str">
        <f>IF(ROUND(CF!AR15,0)=ROUND(SUM(CF!AN15:AQ15),0),"OK","ERROR")</f>
        <v>OK</v>
      </c>
      <c r="AS125" s="201"/>
      <c r="AT125" s="202" t="str">
        <f>IF(ROUND(CF!AT15,0)=ROUND(SUM(CF!AP15:AS15),0),"OK","ERROR")</f>
        <v>OK</v>
      </c>
      <c r="AU125" s="201"/>
      <c r="AV125" s="202" t="str">
        <f>IF(ROUND(CF!AV15,0)=ROUND(SUM(CF!AR15:AU15),0),"OK","ERROR")</f>
        <v>OK</v>
      </c>
      <c r="AW125" s="232"/>
      <c r="AX125" s="202" t="str">
        <f>IF(ROUND(CF!AX15,0)=ROUND(SUM(CF!AT15:AW15),0),"OK","ERROR")</f>
        <v>OK</v>
      </c>
    </row>
    <row r="126" spans="1:50" s="55" customFormat="1" ht="15" customHeight="1" x14ac:dyDescent="0.3">
      <c r="A126" s="44"/>
      <c r="B126" s="141" t="s">
        <v>703</v>
      </c>
      <c r="C126" s="18"/>
      <c r="D126" s="194"/>
      <c r="E126" s="194"/>
      <c r="F126" s="194"/>
      <c r="G126" s="194"/>
      <c r="H126" s="202"/>
      <c r="I126" s="196"/>
      <c r="J126" s="194"/>
      <c r="K126" s="194"/>
      <c r="L126" s="194"/>
      <c r="M126" s="194"/>
      <c r="N126" s="202"/>
      <c r="O126" s="202"/>
      <c r="P126" s="194"/>
      <c r="Q126" s="194"/>
      <c r="R126" s="194"/>
      <c r="S126" s="194"/>
      <c r="T126" s="202"/>
      <c r="U126" s="202"/>
      <c r="V126" s="194"/>
      <c r="W126" s="194"/>
      <c r="X126" s="194"/>
      <c r="Y126" s="194"/>
      <c r="Z126" s="202"/>
      <c r="AA126" s="202"/>
      <c r="AB126" s="194"/>
      <c r="AC126" s="194"/>
      <c r="AD126" s="194"/>
      <c r="AE126" s="194"/>
      <c r="AF126" s="202"/>
      <c r="AG126" s="197"/>
      <c r="AH126" s="194"/>
      <c r="AI126" s="194"/>
      <c r="AJ126" s="198"/>
      <c r="AK126" s="198"/>
      <c r="AL126" s="202"/>
      <c r="AM126" s="201"/>
      <c r="AN126" s="198"/>
      <c r="AO126" s="198"/>
      <c r="AP126" s="198"/>
      <c r="AQ126" s="198"/>
      <c r="AR126" s="202"/>
      <c r="AS126" s="201"/>
      <c r="AT126" s="202"/>
      <c r="AU126" s="201"/>
      <c r="AV126" s="202"/>
      <c r="AW126" s="232"/>
      <c r="AX126" s="202"/>
    </row>
    <row r="127" spans="1:50" s="55" customFormat="1" ht="15" customHeight="1" x14ac:dyDescent="0.3">
      <c r="A127" s="44"/>
      <c r="B127" s="142" t="s">
        <v>637</v>
      </c>
      <c r="C127" s="18"/>
      <c r="D127" s="203"/>
      <c r="E127" s="203"/>
      <c r="F127" s="203"/>
      <c r="G127" s="203"/>
      <c r="H127" s="202" t="str">
        <f>IF(ROUND(CF!H17,0)=ROUND(SUM(CF!D17:G17),0),"OK","ERROR")</f>
        <v>OK</v>
      </c>
      <c r="I127" s="196"/>
      <c r="J127" s="203"/>
      <c r="K127" s="203"/>
      <c r="L127" s="203"/>
      <c r="M127" s="203"/>
      <c r="N127" s="202" t="str">
        <f>IF(ROUND(CF!N17,0)=ROUND(SUM(CF!J17:M17),0),"OK","ERROR")</f>
        <v>OK</v>
      </c>
      <c r="O127" s="195"/>
      <c r="P127" s="203"/>
      <c r="Q127" s="203"/>
      <c r="R127" s="203"/>
      <c r="S127" s="203"/>
      <c r="T127" s="202" t="str">
        <f>IF(ROUND(CF!T17,0)=ROUND(SUM(CF!P17:S17),0),"OK","ERROR")</f>
        <v>OK</v>
      </c>
      <c r="U127" s="195"/>
      <c r="V127" s="203"/>
      <c r="W127" s="203"/>
      <c r="X127" s="203"/>
      <c r="Y127" s="203"/>
      <c r="Z127" s="202" t="str">
        <f>IF(ROUND(CF!Z17,0)=ROUND(SUM(CF!V17:Y17),0),"OK","ERROR")</f>
        <v>OK</v>
      </c>
      <c r="AA127" s="195"/>
      <c r="AB127" s="203"/>
      <c r="AC127" s="203"/>
      <c r="AD127" s="203"/>
      <c r="AE127" s="203"/>
      <c r="AF127" s="202" t="str">
        <f>IF(ROUND(CF!AF17,0)=ROUND(SUM(CF!AB17:AE17),0),"OK","ERROR")</f>
        <v>OK</v>
      </c>
      <c r="AG127" s="197"/>
      <c r="AH127" s="203"/>
      <c r="AI127" s="203"/>
      <c r="AJ127" s="198"/>
      <c r="AK127" s="198"/>
      <c r="AL127" s="202" t="str">
        <f>IF(ROUND(CF!AL17,0)=ROUND(SUM(CF!AH17:AK17),0),"OK","ERROR")</f>
        <v>ERROR</v>
      </c>
      <c r="AM127" s="201"/>
      <c r="AN127" s="198"/>
      <c r="AO127" s="198"/>
      <c r="AP127" s="198"/>
      <c r="AQ127" s="198"/>
      <c r="AR127" s="202" t="str">
        <f>IF(ROUND(CF!AR17,0)=ROUND(SUM(CF!AN17:AQ17),0),"OK","ERROR")</f>
        <v>OK</v>
      </c>
      <c r="AS127" s="201"/>
      <c r="AT127" s="202" t="str">
        <f>IF(ROUND(CF!AT17,0)=ROUND(SUM(CF!AP17:AS17),0),"OK","ERROR")</f>
        <v>ERROR</v>
      </c>
      <c r="AU127" s="201"/>
      <c r="AV127" s="202" t="str">
        <f>IF(ROUND(CF!AV17,0)=ROUND(SUM(CF!AR17:AU17),0),"OK","ERROR")</f>
        <v>ERROR</v>
      </c>
      <c r="AW127" s="232"/>
      <c r="AX127" s="202" t="str">
        <f>IF(ROUND(CF!AX17,0)=ROUND(SUM(CF!AT17:AW17),0),"OK","ERROR")</f>
        <v>OK</v>
      </c>
    </row>
    <row r="128" spans="1:50" s="55" customFormat="1" ht="15" customHeight="1" x14ac:dyDescent="0.3">
      <c r="A128" s="44"/>
      <c r="B128" s="142" t="s">
        <v>734</v>
      </c>
      <c r="C128" s="18"/>
      <c r="D128" s="203"/>
      <c r="E128" s="203"/>
      <c r="F128" s="203"/>
      <c r="G128" s="203"/>
      <c r="H128" s="202" t="str">
        <f>IF(ROUND(CF!H18,0)=ROUND(SUM(CF!D18:G18),0),"OK","ERROR")</f>
        <v>OK</v>
      </c>
      <c r="I128" s="196"/>
      <c r="J128" s="203"/>
      <c r="K128" s="203"/>
      <c r="L128" s="203"/>
      <c r="M128" s="203"/>
      <c r="N128" s="202" t="str">
        <f>IF(ROUND(CF!N18,0)=ROUND(SUM(CF!J18:M18),0),"OK","ERROR")</f>
        <v>OK</v>
      </c>
      <c r="O128" s="195"/>
      <c r="P128" s="203"/>
      <c r="Q128" s="203"/>
      <c r="R128" s="203"/>
      <c r="S128" s="203"/>
      <c r="T128" s="202" t="str">
        <f>IF(ROUND(CF!T18,0)=ROUND(SUM(CF!P18:S18),0),"OK","ERROR")</f>
        <v>OK</v>
      </c>
      <c r="U128" s="195"/>
      <c r="V128" s="203"/>
      <c r="W128" s="203"/>
      <c r="X128" s="203"/>
      <c r="Y128" s="203"/>
      <c r="Z128" s="202" t="str">
        <f>IF(ROUND(CF!Z18,0)=ROUND(SUM(CF!V18:Y18),0),"OK","ERROR")</f>
        <v>OK</v>
      </c>
      <c r="AA128" s="195"/>
      <c r="AB128" s="203"/>
      <c r="AC128" s="203"/>
      <c r="AD128" s="203"/>
      <c r="AE128" s="203"/>
      <c r="AF128" s="202" t="str">
        <f>IF(ROUND(CF!AF18,0)=ROUND(SUM(CF!AB18:AE18),0),"OK","ERROR")</f>
        <v>OK</v>
      </c>
      <c r="AG128" s="197"/>
      <c r="AH128" s="203"/>
      <c r="AI128" s="203"/>
      <c r="AJ128" s="198"/>
      <c r="AK128" s="198"/>
      <c r="AL128" s="202" t="str">
        <f>IF(ROUND(CF!AL18,0)=ROUND(SUM(CF!AH18:AK18),0),"OK","ERROR")</f>
        <v>ERROR</v>
      </c>
      <c r="AM128" s="201"/>
      <c r="AN128" s="198"/>
      <c r="AO128" s="198"/>
      <c r="AP128" s="198"/>
      <c r="AQ128" s="198"/>
      <c r="AR128" s="202" t="str">
        <f>IF(ROUND(CF!AR18,0)=ROUND(SUM(CF!AN18:AQ18),0),"OK","ERROR")</f>
        <v>OK</v>
      </c>
      <c r="AS128" s="201"/>
      <c r="AT128" s="202" t="str">
        <f>IF(ROUND(CF!AT18,0)=ROUND(SUM(CF!AP18:AS18),0),"OK","ERROR")</f>
        <v>ERROR</v>
      </c>
      <c r="AU128" s="201"/>
      <c r="AV128" s="202" t="str">
        <f>IF(ROUND(CF!AV18,0)=ROUND(SUM(CF!AR18:AU18),0),"OK","ERROR")</f>
        <v>ERROR</v>
      </c>
      <c r="AW128" s="232"/>
      <c r="AX128" s="202" t="str">
        <f>IF(ROUND(CF!AX18,0)=ROUND(SUM(CF!AT18:AW18),0),"OK","ERROR")</f>
        <v>OK</v>
      </c>
    </row>
    <row r="129" spans="1:50" s="55" customFormat="1" ht="15" customHeight="1" x14ac:dyDescent="0.25">
      <c r="A129" s="110"/>
      <c r="B129" s="142" t="s">
        <v>113</v>
      </c>
      <c r="C129" s="112"/>
      <c r="D129" s="203"/>
      <c r="E129" s="203"/>
      <c r="F129" s="203"/>
      <c r="G129" s="203"/>
      <c r="H129" s="202" t="str">
        <f>IF(ROUND(CF!H19,0)=ROUND(SUM(CF!D19:G19),0),"OK","ERROR")</f>
        <v>OK</v>
      </c>
      <c r="I129" s="196"/>
      <c r="J129" s="203"/>
      <c r="K129" s="203"/>
      <c r="L129" s="203"/>
      <c r="M129" s="203"/>
      <c r="N129" s="202" t="str">
        <f>IF(ROUND(CF!N19,0)=ROUND(SUM(CF!J19:M19),0),"OK","ERROR")</f>
        <v>ERROR</v>
      </c>
      <c r="O129" s="196"/>
      <c r="P129" s="203"/>
      <c r="Q129" s="203"/>
      <c r="R129" s="203"/>
      <c r="S129" s="203"/>
      <c r="T129" s="202" t="str">
        <f>IF(ROUND(CF!T19,0)=ROUND(SUM(CF!P19:S19),0),"OK","ERROR")</f>
        <v>OK</v>
      </c>
      <c r="U129" s="196"/>
      <c r="V129" s="203"/>
      <c r="W129" s="203"/>
      <c r="X129" s="203"/>
      <c r="Y129" s="203"/>
      <c r="Z129" s="202" t="str">
        <f>IF(ROUND(CF!Z19,0)=ROUND(SUM(CF!V19:Y19),0),"OK","ERROR")</f>
        <v>ERROR</v>
      </c>
      <c r="AA129" s="199"/>
      <c r="AB129" s="203"/>
      <c r="AC129" s="203"/>
      <c r="AD129" s="203"/>
      <c r="AE129" s="203"/>
      <c r="AF129" s="202" t="str">
        <f>IF(ROUND(CF!AF19,0)=ROUND(SUM(CF!AB19:AE19),0),"OK","ERROR")</f>
        <v>OK</v>
      </c>
      <c r="AG129" s="197"/>
      <c r="AH129" s="203"/>
      <c r="AI129" s="203"/>
      <c r="AJ129" s="198"/>
      <c r="AK129" s="198"/>
      <c r="AL129" s="202" t="str">
        <f>IF(ROUND(CF!AL19,0)=ROUND(SUM(CF!AH19:AK19),0),"OK","ERROR")</f>
        <v>ERROR</v>
      </c>
      <c r="AM129" s="209"/>
      <c r="AN129" s="198"/>
      <c r="AO129" s="198"/>
      <c r="AP129" s="198"/>
      <c r="AQ129" s="198"/>
      <c r="AR129" s="202" t="str">
        <f>IF(ROUND(CF!AR19,0)=ROUND(SUM(CF!AN19:AQ19),0),"OK","ERROR")</f>
        <v>OK</v>
      </c>
      <c r="AS129" s="209"/>
      <c r="AT129" s="202" t="str">
        <f>IF(ROUND(CF!AT19,0)=ROUND(SUM(CF!AP19:AS19),0),"OK","ERROR")</f>
        <v>OK</v>
      </c>
      <c r="AU129" s="209"/>
      <c r="AV129" s="202" t="str">
        <f>IF(ROUND(CF!AV19,0)=ROUND(SUM(CF!AR19:AU19),0),"OK","ERROR")</f>
        <v>OK</v>
      </c>
      <c r="AW129" s="232"/>
      <c r="AX129" s="202" t="str">
        <f>IF(ROUND(CF!AX19,0)=ROUND(SUM(CF!AT19:AW19),0),"OK","ERROR")</f>
        <v>OK</v>
      </c>
    </row>
    <row r="130" spans="1:50" s="55" customFormat="1" ht="15" customHeight="1" x14ac:dyDescent="0.3">
      <c r="A130" s="44"/>
      <c r="B130" s="141" t="s">
        <v>705</v>
      </c>
      <c r="C130" s="18"/>
      <c r="D130" s="194"/>
      <c r="E130" s="194"/>
      <c r="F130" s="194"/>
      <c r="G130" s="194"/>
      <c r="H130" s="206"/>
      <c r="I130" s="196"/>
      <c r="J130" s="194"/>
      <c r="K130" s="194"/>
      <c r="L130" s="194"/>
      <c r="M130" s="194"/>
      <c r="N130" s="206"/>
      <c r="O130" s="196"/>
      <c r="P130" s="194"/>
      <c r="Q130" s="194"/>
      <c r="R130" s="194"/>
      <c r="S130" s="194"/>
      <c r="T130" s="206"/>
      <c r="U130" s="196"/>
      <c r="V130" s="194"/>
      <c r="W130" s="194"/>
      <c r="X130" s="194"/>
      <c r="Y130" s="194"/>
      <c r="Z130" s="206"/>
      <c r="AA130" s="199"/>
      <c r="AB130" s="194"/>
      <c r="AC130" s="194"/>
      <c r="AD130" s="194"/>
      <c r="AE130" s="194"/>
      <c r="AF130" s="206"/>
      <c r="AG130" s="197"/>
      <c r="AH130" s="194"/>
      <c r="AI130" s="194"/>
      <c r="AJ130" s="198"/>
      <c r="AK130" s="198"/>
      <c r="AL130" s="206"/>
      <c r="AM130" s="211"/>
      <c r="AN130" s="198"/>
      <c r="AO130" s="198"/>
      <c r="AP130" s="198"/>
      <c r="AQ130" s="198"/>
      <c r="AR130" s="206"/>
      <c r="AS130" s="211"/>
      <c r="AT130" s="206"/>
      <c r="AU130" s="211"/>
      <c r="AV130" s="206"/>
      <c r="AW130" s="232"/>
      <c r="AX130" s="206"/>
    </row>
    <row r="131" spans="1:50" s="55" customFormat="1" ht="15" customHeight="1" x14ac:dyDescent="0.25">
      <c r="A131" s="110"/>
      <c r="B131" s="142" t="s">
        <v>671</v>
      </c>
      <c r="C131" s="112"/>
      <c r="D131" s="203"/>
      <c r="E131" s="203"/>
      <c r="F131" s="203"/>
      <c r="G131" s="203"/>
      <c r="H131" s="206" t="str">
        <f>IF(ROUND(CF!H21,0)=ROUND(SUM(CF!D21:G21),0),"OK","ERROR")</f>
        <v>OK</v>
      </c>
      <c r="I131" s="196"/>
      <c r="J131" s="203"/>
      <c r="K131" s="203"/>
      <c r="L131" s="203"/>
      <c r="M131" s="203"/>
      <c r="N131" s="206" t="str">
        <f>IF(ROUND(CF!N21,0)=ROUND(SUM(CF!J21:M21),0),"OK","ERROR")</f>
        <v>OK</v>
      </c>
      <c r="O131" s="196"/>
      <c r="P131" s="203"/>
      <c r="Q131" s="203"/>
      <c r="R131" s="203"/>
      <c r="S131" s="203"/>
      <c r="T131" s="206" t="str">
        <f>IF(ROUND(CF!T21,0)=ROUND(SUM(CF!P21:S21),0),"OK","ERROR")</f>
        <v>OK</v>
      </c>
      <c r="U131" s="196"/>
      <c r="V131" s="203"/>
      <c r="W131" s="203"/>
      <c r="X131" s="203"/>
      <c r="Y131" s="203"/>
      <c r="Z131" s="206" t="str">
        <f>IF(ROUND(CF!Z21,0)=ROUND(SUM(CF!V21:Y21),0),"OK","ERROR")</f>
        <v>OK</v>
      </c>
      <c r="AA131" s="199"/>
      <c r="AB131" s="203"/>
      <c r="AC131" s="203"/>
      <c r="AD131" s="203"/>
      <c r="AE131" s="203"/>
      <c r="AF131" s="206" t="str">
        <f>IF(ROUND(CF!AF21,0)=ROUND(SUM(CF!AB21:AE21),0),"OK","ERROR")</f>
        <v>OK</v>
      </c>
      <c r="AG131" s="197"/>
      <c r="AH131" s="203"/>
      <c r="AI131" s="203"/>
      <c r="AJ131" s="198"/>
      <c r="AK131" s="198"/>
      <c r="AL131" s="206" t="str">
        <f>IF(ROUND(CF!AL21,0)=ROUND(SUM(CF!AH21:AK21),0),"OK","ERROR")</f>
        <v>ERROR</v>
      </c>
      <c r="AM131" s="211"/>
      <c r="AN131" s="198"/>
      <c r="AO131" s="198"/>
      <c r="AP131" s="198"/>
      <c r="AQ131" s="198"/>
      <c r="AR131" s="206" t="str">
        <f>IF(ROUND(CF!AR21,0)=ROUND(SUM(CF!AN21:AQ21),0),"OK","ERROR")</f>
        <v>OK</v>
      </c>
      <c r="AS131" s="211"/>
      <c r="AT131" s="206" t="str">
        <f>IF(ROUND(CF!AT21,0)=ROUND(SUM(CF!AP21:AS21),0),"OK","ERROR")</f>
        <v>ERROR</v>
      </c>
      <c r="AU131" s="211"/>
      <c r="AV131" s="206" t="str">
        <f>IF(ROUND(CF!AV21,0)=ROUND(SUM(CF!AR21:AU21),0),"OK","ERROR")</f>
        <v>ERROR</v>
      </c>
      <c r="AW131" s="232"/>
      <c r="AX131" s="206" t="str">
        <f>IF(ROUND(CF!AX21,0)=ROUND(SUM(CF!AT21:AW21),0),"OK","ERROR")</f>
        <v>OK</v>
      </c>
    </row>
    <row r="132" spans="1:50" s="55" customFormat="1" ht="15" customHeight="1" x14ac:dyDescent="0.3">
      <c r="A132" s="44"/>
      <c r="B132" s="142" t="s">
        <v>706</v>
      </c>
      <c r="C132" s="18"/>
      <c r="D132" s="203"/>
      <c r="E132" s="203"/>
      <c r="F132" s="203"/>
      <c r="G132" s="203"/>
      <c r="H132" s="206" t="str">
        <f>IF(ROUND(CF!H22,0)=ROUND(SUM(CF!D22:G22),0),"OK","ERROR")</f>
        <v>OK</v>
      </c>
      <c r="I132" s="196"/>
      <c r="J132" s="203"/>
      <c r="K132" s="203"/>
      <c r="L132" s="203"/>
      <c r="M132" s="203"/>
      <c r="N132" s="206" t="str">
        <f>IF(ROUND(CF!N22,0)=ROUND(SUM(CF!J22:M22),0),"OK","ERROR")</f>
        <v>OK</v>
      </c>
      <c r="O132" s="196"/>
      <c r="P132" s="203"/>
      <c r="Q132" s="203"/>
      <c r="R132" s="203"/>
      <c r="S132" s="203"/>
      <c r="T132" s="206" t="str">
        <f>IF(ROUND(CF!T22,0)=ROUND(SUM(CF!P22:S22),0),"OK","ERROR")</f>
        <v>OK</v>
      </c>
      <c r="U132" s="196"/>
      <c r="V132" s="203"/>
      <c r="W132" s="203"/>
      <c r="X132" s="203"/>
      <c r="Y132" s="203"/>
      <c r="Z132" s="206" t="str">
        <f>IF(ROUND(CF!Z22,0)=ROUND(SUM(CF!V22:Y22),0),"OK","ERROR")</f>
        <v>OK</v>
      </c>
      <c r="AA132" s="199"/>
      <c r="AB132" s="203"/>
      <c r="AC132" s="203"/>
      <c r="AD132" s="203"/>
      <c r="AE132" s="203"/>
      <c r="AF132" s="206" t="str">
        <f>IF(ROUND(CF!AF22,0)=ROUND(SUM(CF!AB22:AE22),0),"OK","ERROR")</f>
        <v>OK</v>
      </c>
      <c r="AG132" s="197"/>
      <c r="AH132" s="203"/>
      <c r="AI132" s="203"/>
      <c r="AJ132" s="198"/>
      <c r="AK132" s="198"/>
      <c r="AL132" s="206" t="str">
        <f>IF(ROUND(CF!AL22,0)=ROUND(SUM(CF!AH22:AK22),0),"OK","ERROR")</f>
        <v>ERROR</v>
      </c>
      <c r="AM132" s="211"/>
      <c r="AN132" s="198"/>
      <c r="AO132" s="198"/>
      <c r="AP132" s="198"/>
      <c r="AQ132" s="198"/>
      <c r="AR132" s="206" t="str">
        <f>IF(ROUND(CF!AR22,0)=ROUND(SUM(CF!AN22:AQ22),0),"OK","ERROR")</f>
        <v>OK</v>
      </c>
      <c r="AS132" s="211"/>
      <c r="AT132" s="206" t="str">
        <f>IF(ROUND(CF!AT22,0)=ROUND(SUM(CF!AP22:AS22),0),"OK","ERROR")</f>
        <v>ERROR</v>
      </c>
      <c r="AU132" s="211"/>
      <c r="AV132" s="206" t="str">
        <f>IF(ROUND(CF!AV22,0)=ROUND(SUM(CF!AR22:AU22),0),"OK","ERROR")</f>
        <v>ERROR</v>
      </c>
      <c r="AW132" s="232"/>
      <c r="AX132" s="206" t="str">
        <f>IF(ROUND(CF!AX22,0)=ROUND(SUM(CF!AT22:AW22),0),"OK","ERROR")</f>
        <v>OK</v>
      </c>
    </row>
    <row r="133" spans="1:50" s="55" customFormat="1" ht="15" customHeight="1" x14ac:dyDescent="0.25">
      <c r="A133" s="110"/>
      <c r="B133" s="142" t="s">
        <v>683</v>
      </c>
      <c r="C133" s="112"/>
      <c r="D133" s="203"/>
      <c r="E133" s="203"/>
      <c r="F133" s="203"/>
      <c r="G133" s="203"/>
      <c r="H133" s="206" t="str">
        <f>IF(ROUND(CF!H23,0)=ROUND(SUM(CF!D23:G23),0),"OK","ERROR")</f>
        <v>OK</v>
      </c>
      <c r="I133" s="196"/>
      <c r="J133" s="203"/>
      <c r="K133" s="203"/>
      <c r="L133" s="203"/>
      <c r="M133" s="203"/>
      <c r="N133" s="206" t="str">
        <f>IF(ROUND(CF!N23,0)=ROUND(SUM(CF!J23:M23),0),"OK","ERROR")</f>
        <v>OK</v>
      </c>
      <c r="O133" s="196"/>
      <c r="P133" s="203"/>
      <c r="Q133" s="203"/>
      <c r="R133" s="203"/>
      <c r="S133" s="203"/>
      <c r="T133" s="206" t="str">
        <f>IF(ROUND(CF!T23,0)=ROUND(SUM(CF!P23:S23),0),"OK","ERROR")</f>
        <v>OK</v>
      </c>
      <c r="U133" s="196"/>
      <c r="V133" s="203"/>
      <c r="W133" s="203"/>
      <c r="X133" s="203"/>
      <c r="Y133" s="203"/>
      <c r="Z133" s="206" t="str">
        <f>IF(ROUND(CF!Z23,0)=ROUND(SUM(CF!V23:Y23),0),"OK","ERROR")</f>
        <v>OK</v>
      </c>
      <c r="AA133" s="199"/>
      <c r="AB133" s="203"/>
      <c r="AC133" s="203"/>
      <c r="AD133" s="203"/>
      <c r="AE133" s="203"/>
      <c r="AF133" s="206" t="str">
        <f>IF(ROUND(CF!AF23,0)=ROUND(SUM(CF!AB23:AE23),0),"OK","ERROR")</f>
        <v>OK</v>
      </c>
      <c r="AG133" s="197"/>
      <c r="AH133" s="203"/>
      <c r="AI133" s="203"/>
      <c r="AJ133" s="198"/>
      <c r="AK133" s="198"/>
      <c r="AL133" s="206" t="str">
        <f>IF(ROUND(CF!AL23,0)=ROUND(SUM(CF!AH23:AK23),0),"OK","ERROR")</f>
        <v>ERROR</v>
      </c>
      <c r="AM133" s="211"/>
      <c r="AN133" s="198"/>
      <c r="AO133" s="198"/>
      <c r="AP133" s="198"/>
      <c r="AQ133" s="198"/>
      <c r="AR133" s="206" t="str">
        <f>IF(ROUND(CF!AR23,0)=ROUND(SUM(CF!AN23:AQ23),0),"OK","ERROR")</f>
        <v>OK</v>
      </c>
      <c r="AS133" s="211"/>
      <c r="AT133" s="206" t="str">
        <f>IF(ROUND(CF!AT23,0)=ROUND(SUM(CF!AP23:AS23),0),"OK","ERROR")</f>
        <v>ERROR</v>
      </c>
      <c r="AU133" s="211"/>
      <c r="AV133" s="206" t="str">
        <f>IF(ROUND(CF!AV23,0)=ROUND(SUM(CF!AR23:AU23),0),"OK","ERROR")</f>
        <v>ERROR</v>
      </c>
      <c r="AW133" s="232"/>
      <c r="AX133" s="206" t="str">
        <f>IF(ROUND(CF!AX23,0)=ROUND(SUM(CF!AT23:AW23),0),"OK","ERROR")</f>
        <v>OK</v>
      </c>
    </row>
    <row r="134" spans="1:50" s="55" customFormat="1" ht="15" customHeight="1" x14ac:dyDescent="0.25">
      <c r="A134" s="110"/>
      <c r="B134" s="142" t="s">
        <v>113</v>
      </c>
      <c r="C134" s="112"/>
      <c r="D134" s="203"/>
      <c r="E134" s="203"/>
      <c r="F134" s="203"/>
      <c r="G134" s="203"/>
      <c r="H134" s="212" t="str">
        <f>IF(ROUND(CF!H24,0)=ROUND(SUM(CF!D24:G24),0),"OK","ERROR")</f>
        <v>OK</v>
      </c>
      <c r="I134" s="196"/>
      <c r="J134" s="203"/>
      <c r="K134" s="203"/>
      <c r="L134" s="203"/>
      <c r="M134" s="203"/>
      <c r="N134" s="212" t="str">
        <f>IF(ROUND(CF!N24,0)=ROUND(SUM(CF!J24:M24),0),"OK","ERROR")</f>
        <v>OK</v>
      </c>
      <c r="O134" s="196"/>
      <c r="P134" s="203"/>
      <c r="Q134" s="203"/>
      <c r="R134" s="203"/>
      <c r="S134" s="203"/>
      <c r="T134" s="212" t="str">
        <f>IF(ROUND(CF!T24,0)=ROUND(SUM(CF!P24:S24),0),"OK","ERROR")</f>
        <v>OK</v>
      </c>
      <c r="U134" s="196"/>
      <c r="V134" s="203"/>
      <c r="W134" s="203"/>
      <c r="X134" s="203"/>
      <c r="Y134" s="203"/>
      <c r="Z134" s="212" t="str">
        <f>IF(ROUND(CF!Z24,0)=ROUND(SUM(CF!V24:Y24),0),"OK","ERROR")</f>
        <v>OK</v>
      </c>
      <c r="AA134" s="214"/>
      <c r="AB134" s="203"/>
      <c r="AC134" s="203"/>
      <c r="AD134" s="203"/>
      <c r="AE134" s="203"/>
      <c r="AF134" s="212" t="str">
        <f>IF(ROUND(CF!AF24,0)=ROUND(SUM(CF!AB24:AE24),0),"OK","ERROR")</f>
        <v>OK</v>
      </c>
      <c r="AG134" s="215"/>
      <c r="AH134" s="203"/>
      <c r="AI134" s="203"/>
      <c r="AJ134" s="198"/>
      <c r="AK134" s="198"/>
      <c r="AL134" s="212" t="str">
        <f>IF(ROUND(CF!AL24,0)=ROUND(SUM(CF!AH24:AK24),0),"OK","ERROR")</f>
        <v>ERROR</v>
      </c>
      <c r="AM134" s="216"/>
      <c r="AN134" s="198"/>
      <c r="AO134" s="198"/>
      <c r="AP134" s="198"/>
      <c r="AQ134" s="198"/>
      <c r="AR134" s="212" t="str">
        <f>IF(ROUND(CF!AR24,0)=ROUND(SUM(CF!AN24:AQ24),0),"OK","ERROR")</f>
        <v>OK</v>
      </c>
      <c r="AS134" s="216"/>
      <c r="AT134" s="212" t="str">
        <f>IF(ROUND(CF!AT24,0)=ROUND(SUM(CF!AP24:AS24),0),"OK","ERROR")</f>
        <v>ERROR</v>
      </c>
      <c r="AU134" s="216"/>
      <c r="AV134" s="212" t="str">
        <f>IF(ROUND(CF!AV24,0)=ROUND(SUM(CF!AR24:AU24),0),"OK","ERROR")</f>
        <v>ERROR</v>
      </c>
      <c r="AW134" s="232"/>
      <c r="AX134" s="212" t="str">
        <f>IF(ROUND(CF!AX24,0)=ROUND(SUM(CF!AT24:AW24),0),"OK","ERROR")</f>
        <v>OK</v>
      </c>
    </row>
    <row r="135" spans="1:50" s="55" customFormat="1" ht="15" customHeight="1" thickBot="1" x14ac:dyDescent="0.3">
      <c r="A135" s="84"/>
      <c r="B135" s="143" t="s">
        <v>707</v>
      </c>
      <c r="C135" s="27"/>
      <c r="D135" s="203"/>
      <c r="E135" s="203"/>
      <c r="F135" s="203"/>
      <c r="G135" s="203"/>
      <c r="H135" s="223" t="str">
        <f>IF(ROUND(CF!H25,0)=ROUND(SUM(CF!D25:G25),0),"OK","ERROR")</f>
        <v>OK</v>
      </c>
      <c r="I135" s="196"/>
      <c r="J135" s="203"/>
      <c r="K135" s="203"/>
      <c r="L135" s="203"/>
      <c r="M135" s="203"/>
      <c r="N135" s="223" t="str">
        <f>IF(ROUND(CF!N25,0)=ROUND(SUM(CF!J25:M25),0),"OK","ERROR")</f>
        <v>ERROR</v>
      </c>
      <c r="O135" s="196"/>
      <c r="P135" s="203"/>
      <c r="Q135" s="203"/>
      <c r="R135" s="203"/>
      <c r="S135" s="203"/>
      <c r="T135" s="223" t="str">
        <f>IF(ROUND(CF!T25,0)=ROUND(SUM(CF!P25:S25),0),"OK","ERROR")</f>
        <v>OK</v>
      </c>
      <c r="U135" s="196"/>
      <c r="V135" s="203"/>
      <c r="W135" s="203"/>
      <c r="X135" s="203"/>
      <c r="Y135" s="203"/>
      <c r="Z135" s="223" t="str">
        <f>IF(ROUND(CF!Z25,0)=ROUND(SUM(CF!V25:Y25),0),"OK","ERROR")</f>
        <v>ERROR</v>
      </c>
      <c r="AA135" s="214"/>
      <c r="AB135" s="203"/>
      <c r="AC135" s="203"/>
      <c r="AD135" s="203"/>
      <c r="AE135" s="203"/>
      <c r="AF135" s="223" t="str">
        <f>IF(ROUND(CF!AF25,0)=ROUND(SUM(CF!AB25:AE25),0),"OK","ERROR")</f>
        <v>OK</v>
      </c>
      <c r="AG135" s="215"/>
      <c r="AH135" s="203"/>
      <c r="AI135" s="203"/>
      <c r="AJ135" s="198"/>
      <c r="AK135" s="198"/>
      <c r="AL135" s="223" t="str">
        <f>IF(ROUND(CF!AL25,0)=ROUND(SUM(CF!AH25:AK25),0),"OK","ERROR")</f>
        <v>ERROR</v>
      </c>
      <c r="AM135" s="216"/>
      <c r="AN135" s="198"/>
      <c r="AO135" s="198"/>
      <c r="AP135" s="198"/>
      <c r="AQ135" s="198"/>
      <c r="AR135" s="223" t="str">
        <f>IF(ROUND(CF!AR25,0)=ROUND(SUM(CF!AN25:AQ25),0),"OK","ERROR")</f>
        <v>OK</v>
      </c>
      <c r="AS135" s="216"/>
      <c r="AT135" s="223" t="str">
        <f>IF(ROUND(CF!AT25,0)=ROUND(SUM(CF!AP25:AS25),0),"OK","ERROR")</f>
        <v>OK</v>
      </c>
      <c r="AU135" s="216"/>
      <c r="AV135" s="223" t="str">
        <f>IF(ROUND(CF!AV25,0)=ROUND(SUM(CF!AR25:AU25),0),"OK","ERROR")</f>
        <v>OK</v>
      </c>
      <c r="AW135" s="232"/>
      <c r="AX135" s="223" t="str">
        <f>IF(ROUND(CF!AX25,0)=ROUND(SUM(CF!AT25:AW25),0),"OK","ERROR")</f>
        <v>OK</v>
      </c>
    </row>
    <row r="136" spans="1:50" s="55" customFormat="1" ht="15" customHeight="1" thickTop="1" x14ac:dyDescent="0.3">
      <c r="A136" s="44"/>
      <c r="B136" s="140"/>
      <c r="C136" s="18"/>
      <c r="D136" s="194"/>
      <c r="E136" s="194"/>
      <c r="F136" s="194"/>
      <c r="G136" s="194"/>
      <c r="H136" s="206"/>
      <c r="I136" s="196"/>
      <c r="J136" s="194"/>
      <c r="K136" s="194"/>
      <c r="L136" s="194"/>
      <c r="M136" s="194"/>
      <c r="N136" s="206"/>
      <c r="O136" s="196"/>
      <c r="P136" s="194"/>
      <c r="Q136" s="194"/>
      <c r="R136" s="194"/>
      <c r="S136" s="194"/>
      <c r="T136" s="206"/>
      <c r="U136" s="196"/>
      <c r="V136" s="194"/>
      <c r="W136" s="194"/>
      <c r="X136" s="194"/>
      <c r="Y136" s="194"/>
      <c r="Z136" s="206"/>
      <c r="AA136" s="199"/>
      <c r="AB136" s="194"/>
      <c r="AC136" s="194"/>
      <c r="AD136" s="194"/>
      <c r="AE136" s="194"/>
      <c r="AF136" s="206"/>
      <c r="AG136" s="197"/>
      <c r="AH136" s="194"/>
      <c r="AI136" s="194"/>
      <c r="AJ136" s="198"/>
      <c r="AK136" s="198"/>
      <c r="AL136" s="206"/>
      <c r="AM136" s="211"/>
      <c r="AN136" s="198"/>
      <c r="AO136" s="198"/>
      <c r="AP136" s="198"/>
      <c r="AQ136" s="198"/>
      <c r="AR136" s="206"/>
      <c r="AS136" s="211"/>
      <c r="AT136" s="206"/>
      <c r="AU136" s="211"/>
      <c r="AV136" s="206"/>
      <c r="AW136" s="232"/>
      <c r="AX136" s="206"/>
    </row>
    <row r="137" spans="1:50" s="55" customFormat="1" ht="15" customHeight="1" x14ac:dyDescent="0.25">
      <c r="A137" s="45" t="s">
        <v>38</v>
      </c>
      <c r="B137" s="144" t="s">
        <v>708</v>
      </c>
      <c r="C137" s="112"/>
      <c r="D137" s="194"/>
      <c r="E137" s="194"/>
      <c r="F137" s="194"/>
      <c r="G137" s="194"/>
      <c r="H137" s="206"/>
      <c r="I137" s="196"/>
      <c r="J137" s="194"/>
      <c r="K137" s="194"/>
      <c r="L137" s="194"/>
      <c r="M137" s="194"/>
      <c r="N137" s="206"/>
      <c r="O137" s="196"/>
      <c r="P137" s="194"/>
      <c r="Q137" s="194"/>
      <c r="R137" s="194"/>
      <c r="S137" s="194"/>
      <c r="T137" s="206"/>
      <c r="U137" s="196"/>
      <c r="V137" s="194"/>
      <c r="W137" s="194"/>
      <c r="X137" s="194"/>
      <c r="Y137" s="194"/>
      <c r="Z137" s="206"/>
      <c r="AA137" s="214"/>
      <c r="AB137" s="194"/>
      <c r="AC137" s="194"/>
      <c r="AD137" s="194"/>
      <c r="AE137" s="194"/>
      <c r="AF137" s="206"/>
      <c r="AG137" s="215"/>
      <c r="AH137" s="194"/>
      <c r="AI137" s="194"/>
      <c r="AJ137" s="198"/>
      <c r="AK137" s="198"/>
      <c r="AL137" s="206"/>
      <c r="AM137" s="216"/>
      <c r="AN137" s="198"/>
      <c r="AO137" s="198"/>
      <c r="AP137" s="198"/>
      <c r="AQ137" s="198"/>
      <c r="AR137" s="206"/>
      <c r="AS137" s="216"/>
      <c r="AT137" s="206"/>
      <c r="AU137" s="216"/>
      <c r="AV137" s="206"/>
      <c r="AW137" s="232"/>
      <c r="AX137" s="206"/>
    </row>
    <row r="138" spans="1:50" s="55" customFormat="1" ht="15" customHeight="1" x14ac:dyDescent="0.3">
      <c r="A138" s="44"/>
      <c r="B138" s="145" t="s">
        <v>709</v>
      </c>
      <c r="C138" s="18"/>
      <c r="D138" s="203"/>
      <c r="E138" s="203"/>
      <c r="F138" s="203"/>
      <c r="G138" s="203"/>
      <c r="H138" s="206" t="str">
        <f>IF(ROUND(CF!H28,0)=ROUND(SUM(CF!D28:G28),0),"OK","ERROR")</f>
        <v>OK</v>
      </c>
      <c r="I138" s="196"/>
      <c r="J138" s="203"/>
      <c r="K138" s="203"/>
      <c r="L138" s="203"/>
      <c r="M138" s="203"/>
      <c r="N138" s="206" t="str">
        <f>IF(ROUND(CF!N28,0)=ROUND(SUM(CF!J28:M28),0),"OK","ERROR")</f>
        <v>OK</v>
      </c>
      <c r="O138" s="196"/>
      <c r="P138" s="203"/>
      <c r="Q138" s="203"/>
      <c r="R138" s="203"/>
      <c r="S138" s="203"/>
      <c r="T138" s="206" t="str">
        <f>IF(ROUND(CF!T28,0)=ROUND(SUM(CF!P28:S28),0),"OK","ERROR")</f>
        <v>OK</v>
      </c>
      <c r="U138" s="196"/>
      <c r="V138" s="203"/>
      <c r="W138" s="203"/>
      <c r="X138" s="203"/>
      <c r="Y138" s="203"/>
      <c r="Z138" s="206" t="str">
        <f>IF(ROUND(CF!Z28,0)=ROUND(SUM(CF!V28:Y28),0),"OK","ERROR")</f>
        <v>OK</v>
      </c>
      <c r="AA138" s="199"/>
      <c r="AB138" s="203"/>
      <c r="AC138" s="203"/>
      <c r="AD138" s="203"/>
      <c r="AE138" s="203"/>
      <c r="AF138" s="206" t="str">
        <f>IF(ROUND(CF!AF28,0)=ROUND(SUM(CF!AB28:AE28),0),"OK","ERROR")</f>
        <v>OK</v>
      </c>
      <c r="AG138" s="197"/>
      <c r="AH138" s="203"/>
      <c r="AI138" s="203"/>
      <c r="AJ138" s="198"/>
      <c r="AK138" s="198"/>
      <c r="AL138" s="206" t="str">
        <f>IF(ROUND(CF!AL28,0)=ROUND(SUM(CF!AH28:AK28),0),"OK","ERROR")</f>
        <v>ERROR</v>
      </c>
      <c r="AM138" s="211"/>
      <c r="AN138" s="198"/>
      <c r="AO138" s="198"/>
      <c r="AP138" s="198"/>
      <c r="AQ138" s="198"/>
      <c r="AR138" s="206" t="str">
        <f>IF(ROUND(CF!AR28,0)=ROUND(SUM(CF!AN28:AQ28),0),"OK","ERROR")</f>
        <v>OK</v>
      </c>
      <c r="AS138" s="211"/>
      <c r="AT138" s="206" t="str">
        <f>IF(ROUND(CF!AT28,0)=ROUND(SUM(CF!AP28:AS28),0),"OK","ERROR")</f>
        <v>ERROR</v>
      </c>
      <c r="AU138" s="211"/>
      <c r="AV138" s="206" t="str">
        <f>IF(ROUND(CF!AV28,0)=ROUND(SUM(CF!AR28:AU28),0),"OK","ERROR")</f>
        <v>ERROR</v>
      </c>
      <c r="AW138" s="232"/>
      <c r="AX138" s="206" t="str">
        <f>IF(ROUND(CF!AX28,0)=ROUND(SUM(CF!AT28:AW28),0),"OK","ERROR")</f>
        <v>ERROR</v>
      </c>
    </row>
    <row r="139" spans="1:50" s="55" customFormat="1" ht="15" customHeight="1" x14ac:dyDescent="0.25">
      <c r="A139" s="110"/>
      <c r="B139" s="145" t="s">
        <v>710</v>
      </c>
      <c r="C139" s="112"/>
      <c r="D139" s="203"/>
      <c r="E139" s="203"/>
      <c r="F139" s="203"/>
      <c r="G139" s="203"/>
      <c r="H139" s="206" t="str">
        <f>IF(ROUND(CF!H29,0)=ROUND(SUM(CF!D29:G29),0),"OK","ERROR")</f>
        <v>OK</v>
      </c>
      <c r="I139" s="196"/>
      <c r="J139" s="203"/>
      <c r="K139" s="203"/>
      <c r="L139" s="203"/>
      <c r="M139" s="203"/>
      <c r="N139" s="206" t="str">
        <f>IF(ROUND(CF!N29,0)=ROUND(SUM(CF!J29:M29),0),"OK","ERROR")</f>
        <v>OK</v>
      </c>
      <c r="O139" s="196"/>
      <c r="P139" s="203"/>
      <c r="Q139" s="203"/>
      <c r="R139" s="203"/>
      <c r="S139" s="203"/>
      <c r="T139" s="206" t="str">
        <f>IF(ROUND(CF!T29,0)=ROUND(SUM(CF!P29:S29),0),"OK","ERROR")</f>
        <v>OK</v>
      </c>
      <c r="U139" s="196"/>
      <c r="V139" s="203"/>
      <c r="W139" s="203"/>
      <c r="X139" s="203"/>
      <c r="Y139" s="203"/>
      <c r="Z139" s="206" t="str">
        <f>IF(ROUND(CF!Z29,0)=ROUND(SUM(CF!V29:Y29),0),"OK","ERROR")</f>
        <v>OK</v>
      </c>
      <c r="AA139" s="214"/>
      <c r="AB139" s="203"/>
      <c r="AC139" s="203"/>
      <c r="AD139" s="203"/>
      <c r="AE139" s="203"/>
      <c r="AF139" s="206" t="str">
        <f>IF(ROUND(CF!AF29,0)=ROUND(SUM(CF!AB29:AE29),0),"OK","ERROR")</f>
        <v>ERROR</v>
      </c>
      <c r="AG139" s="215"/>
      <c r="AH139" s="203"/>
      <c r="AI139" s="203"/>
      <c r="AJ139" s="198"/>
      <c r="AK139" s="198"/>
      <c r="AL139" s="206" t="str">
        <f>IF(ROUND(CF!AL29,0)=ROUND(SUM(CF!AH29:AK29),0),"OK","ERROR")</f>
        <v>OK</v>
      </c>
      <c r="AM139" s="216"/>
      <c r="AN139" s="198"/>
      <c r="AO139" s="198"/>
      <c r="AP139" s="198"/>
      <c r="AQ139" s="198"/>
      <c r="AR139" s="206" t="str">
        <f>IF(ROUND(CF!AR29,0)=ROUND(SUM(CF!AN29:AQ29),0),"OK","ERROR")</f>
        <v>OK</v>
      </c>
      <c r="AS139" s="216"/>
      <c r="AT139" s="206" t="str">
        <f>IF(ROUND(CF!AT29,0)=ROUND(SUM(CF!AP29:AS29),0),"OK","ERROR")</f>
        <v>ERROR</v>
      </c>
      <c r="AU139" s="216"/>
      <c r="AV139" s="206" t="str">
        <f>IF(ROUND(CF!AV29,0)=ROUND(SUM(CF!AR29:AU29),0),"OK","ERROR")</f>
        <v>ERROR</v>
      </c>
      <c r="AW139" s="232"/>
      <c r="AX139" s="206" t="str">
        <f>IF(ROUND(CF!AX29,0)=ROUND(SUM(CF!AT29:AW29),0),"OK","ERROR")</f>
        <v>ERROR</v>
      </c>
    </row>
    <row r="140" spans="1:50" s="55" customFormat="1" ht="15" customHeight="1" x14ac:dyDescent="0.3">
      <c r="A140" s="44"/>
      <c r="B140" s="145" t="s">
        <v>711</v>
      </c>
      <c r="C140" s="18"/>
      <c r="D140" s="203"/>
      <c r="E140" s="203"/>
      <c r="F140" s="203"/>
      <c r="G140" s="203"/>
      <c r="H140" s="206" t="str">
        <f>IF(ROUND(CF!H30,0)=ROUND(SUM(CF!D30:G30),0),"OK","ERROR")</f>
        <v>OK</v>
      </c>
      <c r="I140" s="196"/>
      <c r="J140" s="203"/>
      <c r="K140" s="203"/>
      <c r="L140" s="203"/>
      <c r="M140" s="203"/>
      <c r="N140" s="206" t="str">
        <f>IF(ROUND(CF!N30,0)=ROUND(SUM(CF!J30:M30),0),"OK","ERROR")</f>
        <v>OK</v>
      </c>
      <c r="O140" s="196"/>
      <c r="P140" s="203"/>
      <c r="Q140" s="203"/>
      <c r="R140" s="203"/>
      <c r="S140" s="203"/>
      <c r="T140" s="206" t="str">
        <f>IF(ROUND(CF!T30,0)=ROUND(SUM(CF!P30:S30),0),"OK","ERROR")</f>
        <v>OK</v>
      </c>
      <c r="U140" s="196"/>
      <c r="V140" s="203"/>
      <c r="W140" s="203"/>
      <c r="X140" s="203"/>
      <c r="Y140" s="203"/>
      <c r="Z140" s="206" t="str">
        <f>IF(ROUND(CF!Z30,0)=ROUND(SUM(CF!V30:Y30),0),"OK","ERROR")</f>
        <v>OK</v>
      </c>
      <c r="AA140" s="199"/>
      <c r="AB140" s="203"/>
      <c r="AC140" s="203"/>
      <c r="AD140" s="203"/>
      <c r="AE140" s="203"/>
      <c r="AF140" s="206" t="str">
        <f>IF(ROUND(CF!AF30,0)=ROUND(SUM(CF!AB30:AE30),0),"OK","ERROR")</f>
        <v>OK</v>
      </c>
      <c r="AG140" s="197"/>
      <c r="AH140" s="203"/>
      <c r="AI140" s="203"/>
      <c r="AJ140" s="198"/>
      <c r="AK140" s="198"/>
      <c r="AL140" s="206" t="str">
        <f>IF(ROUND(CF!AL30,0)=ROUND(SUM(CF!AH30:AK30),0),"OK","ERROR")</f>
        <v>OK</v>
      </c>
      <c r="AM140" s="211"/>
      <c r="AN140" s="198"/>
      <c r="AO140" s="198"/>
      <c r="AP140" s="198"/>
      <c r="AQ140" s="198"/>
      <c r="AR140" s="206" t="str">
        <f>IF(ROUND(CF!AR30,0)=ROUND(SUM(CF!AN30:AQ30),0),"OK","ERROR")</f>
        <v>OK</v>
      </c>
      <c r="AS140" s="211"/>
      <c r="AT140" s="206" t="str">
        <f>IF(ROUND(CF!AT30,0)=ROUND(SUM(CF!AP30:AS30),0),"OK","ERROR")</f>
        <v>OK</v>
      </c>
      <c r="AU140" s="211"/>
      <c r="AV140" s="206" t="str">
        <f>IF(ROUND(CF!AV30,0)=ROUND(SUM(CF!AR30:AU30),0),"OK","ERROR")</f>
        <v>OK</v>
      </c>
      <c r="AW140" s="232"/>
      <c r="AX140" s="206" t="str">
        <f>IF(ROUND(CF!AX30,0)=ROUND(SUM(CF!AT30:AW30),0),"OK","ERROR")</f>
        <v>OK</v>
      </c>
    </row>
    <row r="141" spans="1:50" s="55" customFormat="1" ht="15" customHeight="1" x14ac:dyDescent="0.25">
      <c r="A141" s="110"/>
      <c r="B141" s="145" t="s">
        <v>712</v>
      </c>
      <c r="C141" s="112"/>
      <c r="D141" s="203"/>
      <c r="E141" s="203"/>
      <c r="F141" s="203"/>
      <c r="G141" s="203"/>
      <c r="H141" s="206" t="str">
        <f>IF(ROUND(CF!H31,0)=ROUND(SUM(CF!D31:G31),0),"OK","ERROR")</f>
        <v>OK</v>
      </c>
      <c r="I141" s="196"/>
      <c r="J141" s="203"/>
      <c r="K141" s="203"/>
      <c r="L141" s="203"/>
      <c r="M141" s="203"/>
      <c r="N141" s="206" t="str">
        <f>IF(ROUND(CF!N31,0)=ROUND(SUM(CF!J31:M31),0),"OK","ERROR")</f>
        <v>OK</v>
      </c>
      <c r="O141" s="196"/>
      <c r="P141" s="203"/>
      <c r="Q141" s="203"/>
      <c r="R141" s="203"/>
      <c r="S141" s="203"/>
      <c r="T141" s="206" t="str">
        <f>IF(ROUND(CF!T31,0)=ROUND(SUM(CF!P31:S31),0),"OK","ERROR")</f>
        <v>OK</v>
      </c>
      <c r="U141" s="196"/>
      <c r="V141" s="203"/>
      <c r="W141" s="203"/>
      <c r="X141" s="203"/>
      <c r="Y141" s="203"/>
      <c r="Z141" s="206" t="str">
        <f>IF(ROUND(CF!Z31,0)=ROUND(SUM(CF!V31:Y31),0),"OK","ERROR")</f>
        <v>OK</v>
      </c>
      <c r="AA141" s="214"/>
      <c r="AB141" s="203"/>
      <c r="AC141" s="203"/>
      <c r="AD141" s="203"/>
      <c r="AE141" s="203"/>
      <c r="AF141" s="206" t="str">
        <f>IF(ROUND(CF!AF31,0)=ROUND(SUM(CF!AB31:AE31),0),"OK","ERROR")</f>
        <v>OK</v>
      </c>
      <c r="AG141" s="215"/>
      <c r="AH141" s="203"/>
      <c r="AI141" s="203"/>
      <c r="AJ141" s="198"/>
      <c r="AK141" s="198"/>
      <c r="AL141" s="206" t="str">
        <f>IF(ROUND(CF!AL31,0)=ROUND(SUM(CF!AH31:AK31),0),"OK","ERROR")</f>
        <v>OK</v>
      </c>
      <c r="AM141" s="220"/>
      <c r="AN141" s="198"/>
      <c r="AO141" s="198"/>
      <c r="AP141" s="198"/>
      <c r="AQ141" s="198"/>
      <c r="AR141" s="206" t="str">
        <f>IF(ROUND(CF!AR31,0)=ROUND(SUM(CF!AN31:AQ31),0),"OK","ERROR")</f>
        <v>OK</v>
      </c>
      <c r="AS141" s="220"/>
      <c r="AT141" s="206" t="str">
        <f>IF(ROUND(CF!AT31,0)=ROUND(SUM(CF!AP31:AS31),0),"OK","ERROR")</f>
        <v>OK</v>
      </c>
      <c r="AU141" s="220"/>
      <c r="AV141" s="206" t="str">
        <f>IF(ROUND(CF!AV31,0)=ROUND(SUM(CF!AR31:AU31),0),"OK","ERROR")</f>
        <v>OK</v>
      </c>
      <c r="AW141" s="232"/>
      <c r="AX141" s="206" t="str">
        <f>IF(ROUND(CF!AX31,0)=ROUND(SUM(CF!AT31:AW31),0),"OK","ERROR")</f>
        <v>OK</v>
      </c>
    </row>
    <row r="142" spans="1:50" s="55" customFormat="1" ht="15" customHeight="1" x14ac:dyDescent="0.25">
      <c r="A142" s="110"/>
      <c r="B142" s="145" t="s">
        <v>713</v>
      </c>
      <c r="C142" s="112"/>
      <c r="D142" s="203"/>
      <c r="E142" s="203"/>
      <c r="F142" s="203"/>
      <c r="G142" s="203"/>
      <c r="H142" s="206" t="str">
        <f>IF(ROUND(CF!H32,0)=ROUND(SUM(CF!D32:G32),0),"OK","ERROR")</f>
        <v>OK</v>
      </c>
      <c r="I142" s="196"/>
      <c r="J142" s="203"/>
      <c r="K142" s="203"/>
      <c r="L142" s="203"/>
      <c r="M142" s="203"/>
      <c r="N142" s="206" t="str">
        <f>IF(ROUND(CF!N32,0)=ROUND(SUM(CF!J32:M32),0),"OK","ERROR")</f>
        <v>OK</v>
      </c>
      <c r="O142" s="196"/>
      <c r="P142" s="203"/>
      <c r="Q142" s="203"/>
      <c r="R142" s="203"/>
      <c r="S142" s="203"/>
      <c r="T142" s="206" t="str">
        <f>IF(ROUND(CF!T32,0)=ROUND(SUM(CF!P32:S32),0),"OK","ERROR")</f>
        <v>OK</v>
      </c>
      <c r="U142" s="196"/>
      <c r="V142" s="203"/>
      <c r="W142" s="203"/>
      <c r="X142" s="203"/>
      <c r="Y142" s="203"/>
      <c r="Z142" s="206" t="str">
        <f>IF(ROUND(CF!Z32,0)=ROUND(SUM(CF!V32:Y32),0),"OK","ERROR")</f>
        <v>OK</v>
      </c>
      <c r="AA142" s="214"/>
      <c r="AB142" s="203"/>
      <c r="AC142" s="203"/>
      <c r="AD142" s="203"/>
      <c r="AE142" s="203"/>
      <c r="AF142" s="206" t="str">
        <f>IF(ROUND(CF!AF32,0)=ROUND(SUM(CF!AB32:AE32),0),"OK","ERROR")</f>
        <v>ERROR</v>
      </c>
      <c r="AG142" s="215"/>
      <c r="AH142" s="203"/>
      <c r="AI142" s="203"/>
      <c r="AJ142" s="198"/>
      <c r="AK142" s="198"/>
      <c r="AL142" s="206" t="str">
        <f>IF(ROUND(CF!AL32,0)=ROUND(SUM(CF!AH32:AK32),0),"OK","ERROR")</f>
        <v>OK</v>
      </c>
      <c r="AM142" s="220"/>
      <c r="AN142" s="198"/>
      <c r="AO142" s="198"/>
      <c r="AP142" s="198"/>
      <c r="AQ142" s="198"/>
      <c r="AR142" s="206" t="str">
        <f>IF(ROUND(CF!AR32,0)=ROUND(SUM(CF!AN32:AQ32),0),"OK","ERROR")</f>
        <v>OK</v>
      </c>
      <c r="AS142" s="220"/>
      <c r="AT142" s="206" t="str">
        <f>IF(ROUND(CF!AT32,0)=ROUND(SUM(CF!AP32:AS32),0),"OK","ERROR")</f>
        <v>OK</v>
      </c>
      <c r="AU142" s="220"/>
      <c r="AV142" s="206" t="str">
        <f>IF(ROUND(CF!AV32,0)=ROUND(SUM(CF!AR32:AU32),0),"OK","ERROR")</f>
        <v>OK</v>
      </c>
      <c r="AW142" s="232"/>
      <c r="AX142" s="206" t="str">
        <f>IF(ROUND(CF!AX32,0)=ROUND(SUM(CF!AT32:AW32),0),"OK","ERROR")</f>
        <v>OK</v>
      </c>
    </row>
    <row r="143" spans="1:50" s="55" customFormat="1" ht="15" customHeight="1" x14ac:dyDescent="0.3">
      <c r="A143" s="110"/>
      <c r="B143" s="145" t="s">
        <v>714</v>
      </c>
      <c r="C143" s="18"/>
      <c r="D143" s="203"/>
      <c r="E143" s="203"/>
      <c r="F143" s="203"/>
      <c r="G143" s="203"/>
      <c r="H143" s="206" t="str">
        <f>IF(ROUND(CF!H33,0)=ROUND(SUM(CF!D33:G33),0),"OK","ERROR")</f>
        <v>ERROR</v>
      </c>
      <c r="I143" s="196"/>
      <c r="J143" s="203"/>
      <c r="K143" s="203"/>
      <c r="L143" s="203"/>
      <c r="M143" s="203"/>
      <c r="N143" s="206" t="str">
        <f>IF(ROUND(CF!N33,0)=ROUND(SUM(CF!J33:M33),0),"OK","ERROR")</f>
        <v>OK</v>
      </c>
      <c r="O143" s="196"/>
      <c r="P143" s="203"/>
      <c r="Q143" s="203"/>
      <c r="R143" s="203"/>
      <c r="S143" s="203"/>
      <c r="T143" s="206" t="str">
        <f>IF(ROUND(CF!T33,0)=ROUND(SUM(CF!P33:S33),0),"OK","ERROR")</f>
        <v>ERROR</v>
      </c>
      <c r="U143" s="196"/>
      <c r="V143" s="203"/>
      <c r="W143" s="203"/>
      <c r="X143" s="203"/>
      <c r="Y143" s="203"/>
      <c r="Z143" s="206" t="str">
        <f>IF(ROUND(CF!Z33,0)=ROUND(SUM(CF!V33:Y33),0),"OK","ERROR")</f>
        <v>ERROR</v>
      </c>
      <c r="AA143" s="199"/>
      <c r="AB143" s="203"/>
      <c r="AC143" s="203"/>
      <c r="AD143" s="203"/>
      <c r="AE143" s="203"/>
      <c r="AF143" s="206" t="str">
        <f>IF(ROUND(CF!AF33,0)=ROUND(SUM(CF!AB33:AE33),0),"OK","ERROR")</f>
        <v>OK</v>
      </c>
      <c r="AG143" s="197"/>
      <c r="AH143" s="203"/>
      <c r="AI143" s="203"/>
      <c r="AJ143" s="198"/>
      <c r="AK143" s="198"/>
      <c r="AL143" s="206" t="str">
        <f>IF(ROUND(CF!AL33,0)=ROUND(SUM(CF!AH33:AK33),0),"OK","ERROR")</f>
        <v>OK</v>
      </c>
      <c r="AM143" s="211"/>
      <c r="AN143" s="198"/>
      <c r="AO143" s="198"/>
      <c r="AP143" s="198"/>
      <c r="AQ143" s="198"/>
      <c r="AR143" s="206" t="str">
        <f>IF(ROUND(CF!AR33,0)=ROUND(SUM(CF!AN33:AQ33),0),"OK","ERROR")</f>
        <v>OK</v>
      </c>
      <c r="AS143" s="211"/>
      <c r="AT143" s="206" t="str">
        <f>IF(ROUND(CF!AT33,0)=ROUND(SUM(CF!AP33:AS33),0),"OK","ERROR")</f>
        <v>OK</v>
      </c>
      <c r="AU143" s="211"/>
      <c r="AV143" s="206" t="str">
        <f>IF(ROUND(CF!AV33,0)=ROUND(SUM(CF!AR33:AU33),0),"OK","ERROR")</f>
        <v>OK</v>
      </c>
      <c r="AW143" s="232"/>
      <c r="AX143" s="206" t="str">
        <f>IF(ROUND(CF!AX33,0)=ROUND(SUM(CF!AT33:AW33),0),"OK","ERROR")</f>
        <v>OK</v>
      </c>
    </row>
    <row r="144" spans="1:50" s="55" customFormat="1" ht="15" customHeight="1" x14ac:dyDescent="0.3">
      <c r="A144" s="44"/>
      <c r="B144" s="145" t="s">
        <v>715</v>
      </c>
      <c r="C144" s="18"/>
      <c r="D144" s="203"/>
      <c r="E144" s="203"/>
      <c r="F144" s="203"/>
      <c r="G144" s="203"/>
      <c r="H144" s="206" t="str">
        <f>IF(ROUND(CF!H34,0)=ROUND(SUM(CF!D34:G34),0),"OK","ERROR")</f>
        <v>ERROR</v>
      </c>
      <c r="I144" s="196"/>
      <c r="J144" s="203"/>
      <c r="K144" s="203"/>
      <c r="L144" s="203"/>
      <c r="M144" s="203"/>
      <c r="N144" s="206" t="str">
        <f>IF(ROUND(CF!N34,0)=ROUND(SUM(CF!J34:M34),0),"OK","ERROR")</f>
        <v>OK</v>
      </c>
      <c r="O144" s="196"/>
      <c r="P144" s="203"/>
      <c r="Q144" s="203"/>
      <c r="R144" s="203"/>
      <c r="S144" s="203"/>
      <c r="T144" s="206" t="str">
        <f>IF(ROUND(CF!T34,0)=ROUND(SUM(CF!P34:S34),0),"OK","ERROR")</f>
        <v>OK</v>
      </c>
      <c r="U144" s="196"/>
      <c r="V144" s="203"/>
      <c r="W144" s="203"/>
      <c r="X144" s="203"/>
      <c r="Y144" s="203"/>
      <c r="Z144" s="206" t="str">
        <f>IF(ROUND(CF!Z34,0)=ROUND(SUM(CF!V34:Y34),0),"OK","ERROR")</f>
        <v>OK</v>
      </c>
      <c r="AA144" s="199"/>
      <c r="AB144" s="203"/>
      <c r="AC144" s="203"/>
      <c r="AD144" s="203"/>
      <c r="AE144" s="203"/>
      <c r="AF144" s="206" t="str">
        <f>IF(ROUND(CF!AF34,0)=ROUND(SUM(CF!AB34:AE34),0),"OK","ERROR")</f>
        <v>OK</v>
      </c>
      <c r="AG144" s="197"/>
      <c r="AH144" s="203"/>
      <c r="AI144" s="203"/>
      <c r="AJ144" s="198"/>
      <c r="AK144" s="198"/>
      <c r="AL144" s="206" t="str">
        <f>IF(ROUND(CF!AL34,0)=ROUND(SUM(CF!AH34:AK34),0),"OK","ERROR")</f>
        <v>OK</v>
      </c>
      <c r="AM144" s="211"/>
      <c r="AN144" s="198"/>
      <c r="AO144" s="198"/>
      <c r="AP144" s="198"/>
      <c r="AQ144" s="198"/>
      <c r="AR144" s="206" t="str">
        <f>IF(ROUND(CF!AR34,0)=ROUND(SUM(CF!AN34:AQ34),0),"OK","ERROR")</f>
        <v>OK</v>
      </c>
      <c r="AS144" s="211"/>
      <c r="AT144" s="206" t="str">
        <f>IF(ROUND(CF!AT34,0)=ROUND(SUM(CF!AP34:AS34),0),"OK","ERROR")</f>
        <v>OK</v>
      </c>
      <c r="AU144" s="211"/>
      <c r="AV144" s="206" t="str">
        <f>IF(ROUND(CF!AV34,0)=ROUND(SUM(CF!AR34:AU34),0),"OK","ERROR")</f>
        <v>OK</v>
      </c>
      <c r="AW144" s="232"/>
      <c r="AX144" s="206" t="str">
        <f>IF(ROUND(CF!AX34,0)=ROUND(SUM(CF!AT34:AW34),0),"OK","ERROR")</f>
        <v>OK</v>
      </c>
    </row>
    <row r="145" spans="1:50" s="55" customFormat="1" ht="15" customHeight="1" x14ac:dyDescent="0.25">
      <c r="B145" s="145" t="s">
        <v>716</v>
      </c>
      <c r="C145" s="112"/>
      <c r="D145" s="203"/>
      <c r="E145" s="203"/>
      <c r="F145" s="203"/>
      <c r="G145" s="203"/>
      <c r="H145" s="212" t="str">
        <f>IF(ROUND(CF!H35,0)=ROUND(SUM(CF!D35:G35),0),"OK","ERROR")</f>
        <v>OK</v>
      </c>
      <c r="I145" s="196"/>
      <c r="J145" s="203"/>
      <c r="K145" s="203"/>
      <c r="L145" s="203"/>
      <c r="M145" s="203"/>
      <c r="N145" s="212" t="str">
        <f>IF(ROUND(CF!N35,0)=ROUND(SUM(CF!J35:M35),0),"OK","ERROR")</f>
        <v>ERROR</v>
      </c>
      <c r="O145" s="196"/>
      <c r="P145" s="203"/>
      <c r="Q145" s="203"/>
      <c r="R145" s="203"/>
      <c r="S145" s="203"/>
      <c r="T145" s="212" t="str">
        <f>IF(ROUND(CF!T35,0)=ROUND(SUM(CF!P35:S35),0),"OK","ERROR")</f>
        <v>ERROR</v>
      </c>
      <c r="U145" s="196"/>
      <c r="V145" s="203"/>
      <c r="W145" s="203"/>
      <c r="X145" s="203"/>
      <c r="Y145" s="203"/>
      <c r="Z145" s="212" t="str">
        <f>IF(ROUND(CF!Z35,0)=ROUND(SUM(CF!V35:Y35),0),"OK","ERROR")</f>
        <v>ERROR</v>
      </c>
      <c r="AA145" s="214"/>
      <c r="AB145" s="203"/>
      <c r="AC145" s="203"/>
      <c r="AD145" s="203"/>
      <c r="AE145" s="203"/>
      <c r="AF145" s="212" t="str">
        <f>IF(ROUND(CF!AF35,0)=ROUND(SUM(CF!AB35:AE35),0),"OK","ERROR")</f>
        <v>ERROR</v>
      </c>
      <c r="AG145" s="215"/>
      <c r="AH145" s="203"/>
      <c r="AI145" s="203"/>
      <c r="AJ145" s="198"/>
      <c r="AK145" s="198"/>
      <c r="AL145" s="212" t="str">
        <f>IF(ROUND(CF!AL35,0)=ROUND(SUM(CF!AH35:AK35),0),"OK","ERROR")</f>
        <v>ERROR</v>
      </c>
      <c r="AM145" s="216"/>
      <c r="AN145" s="198"/>
      <c r="AO145" s="198"/>
      <c r="AP145" s="198"/>
      <c r="AQ145" s="198"/>
      <c r="AR145" s="212" t="str">
        <f>IF(ROUND(CF!AR35,0)=ROUND(SUM(CF!AN35:AQ35),0),"OK","ERROR")</f>
        <v>OK</v>
      </c>
      <c r="AS145" s="216"/>
      <c r="AT145" s="212" t="str">
        <f>IF(ROUND(CF!AT35,0)=ROUND(SUM(CF!AP35:AS35),0),"OK","ERROR")</f>
        <v>OK</v>
      </c>
      <c r="AU145" s="216"/>
      <c r="AV145" s="212" t="str">
        <f>IF(ROUND(CF!AV35,0)=ROUND(SUM(CF!AR35:AU35),0),"OK","ERROR")</f>
        <v>OK</v>
      </c>
      <c r="AW145" s="232"/>
      <c r="AX145" s="212" t="str">
        <f>IF(ROUND(CF!AX35,0)=ROUND(SUM(CF!AT35:AW35),0),"OK","ERROR")</f>
        <v>OK</v>
      </c>
    </row>
    <row r="146" spans="1:50" s="55" customFormat="1" ht="15" customHeight="1" thickBot="1" x14ac:dyDescent="0.35">
      <c r="A146" s="110"/>
      <c r="B146" s="146" t="s">
        <v>717</v>
      </c>
      <c r="C146" s="18"/>
      <c r="D146" s="203"/>
      <c r="E146" s="203"/>
      <c r="F146" s="203"/>
      <c r="G146" s="203"/>
      <c r="H146" s="223" t="str">
        <f>IF(ROUND(CF!H36,0)=ROUND(SUM(CF!D36:G36),0),"OK","ERROR")</f>
        <v>OK</v>
      </c>
      <c r="I146" s="196"/>
      <c r="J146" s="203"/>
      <c r="K146" s="203"/>
      <c r="L146" s="203"/>
      <c r="M146" s="203"/>
      <c r="N146" s="223" t="str">
        <f>IF(ROUND(CF!N36,0)=ROUND(SUM(CF!J36:M36),0),"OK","ERROR")</f>
        <v>ERROR</v>
      </c>
      <c r="O146" s="196"/>
      <c r="P146" s="203"/>
      <c r="Q146" s="203"/>
      <c r="R146" s="203"/>
      <c r="S146" s="203"/>
      <c r="T146" s="223" t="str">
        <f>IF(ROUND(CF!T36,0)=ROUND(SUM(CF!P36:S36),0),"OK","ERROR")</f>
        <v>OK</v>
      </c>
      <c r="U146" s="196"/>
      <c r="V146" s="203"/>
      <c r="W146" s="203"/>
      <c r="X146" s="203"/>
      <c r="Y146" s="203"/>
      <c r="Z146" s="223" t="str">
        <f>IF(ROUND(CF!Z36,0)=ROUND(SUM(CF!V36:Y36),0),"OK","ERROR")</f>
        <v>ERROR</v>
      </c>
      <c r="AA146" s="199"/>
      <c r="AB146" s="203"/>
      <c r="AC146" s="203"/>
      <c r="AD146" s="203"/>
      <c r="AE146" s="203"/>
      <c r="AF146" s="223" t="str">
        <f>IF(ROUND(CF!AF36,0)=ROUND(SUM(CF!AB36:AE36),0),"OK","ERROR")</f>
        <v>OK</v>
      </c>
      <c r="AG146" s="197"/>
      <c r="AH146" s="203"/>
      <c r="AI146" s="203"/>
      <c r="AJ146" s="198"/>
      <c r="AK146" s="198"/>
      <c r="AL146" s="223" t="str">
        <f>IF(ROUND(CF!AL36,0)=ROUND(SUM(CF!AH36:AK36),0),"OK","ERROR")</f>
        <v>ERROR</v>
      </c>
      <c r="AM146" s="201"/>
      <c r="AN146" s="198"/>
      <c r="AO146" s="198"/>
      <c r="AP146" s="198"/>
      <c r="AQ146" s="198"/>
      <c r="AR146" s="223" t="str">
        <f>IF(ROUND(CF!AR36,0)=ROUND(SUM(CF!AN36:AQ36),0),"OK","ERROR")</f>
        <v>OK</v>
      </c>
      <c r="AS146" s="201"/>
      <c r="AT146" s="223" t="str">
        <f>IF(ROUND(CF!AT36,0)=ROUND(SUM(CF!AP36:AS36),0),"OK","ERROR")</f>
        <v>OK</v>
      </c>
      <c r="AU146" s="201"/>
      <c r="AV146" s="223" t="str">
        <f>IF(ROUND(CF!AV36,0)=ROUND(SUM(CF!AR36:AU36),0),"OK","ERROR")</f>
        <v>OK</v>
      </c>
      <c r="AW146" s="232"/>
      <c r="AX146" s="223" t="str">
        <f>IF(ROUND(CF!AX36,0)=ROUND(SUM(CF!AT36:AW36),0),"OK","ERROR")</f>
        <v>OK</v>
      </c>
    </row>
    <row r="147" spans="1:50" s="55" customFormat="1" ht="15" customHeight="1" thickTop="1" x14ac:dyDescent="0.3">
      <c r="A147" s="44"/>
      <c r="B147" s="140"/>
      <c r="C147" s="112"/>
      <c r="D147" s="194"/>
      <c r="E147" s="194"/>
      <c r="F147" s="194"/>
      <c r="G147" s="194"/>
      <c r="H147" s="206"/>
      <c r="I147" s="196"/>
      <c r="J147" s="194"/>
      <c r="K147" s="194"/>
      <c r="L147" s="194"/>
      <c r="M147" s="194"/>
      <c r="N147" s="206"/>
      <c r="O147" s="196"/>
      <c r="P147" s="194"/>
      <c r="Q147" s="194"/>
      <c r="R147" s="194"/>
      <c r="S147" s="194"/>
      <c r="T147" s="206"/>
      <c r="U147" s="196"/>
      <c r="V147" s="194"/>
      <c r="W147" s="194"/>
      <c r="X147" s="194"/>
      <c r="Y147" s="194"/>
      <c r="Z147" s="206"/>
      <c r="AA147" s="218"/>
      <c r="AB147" s="194"/>
      <c r="AC147" s="194"/>
      <c r="AD147" s="194"/>
      <c r="AE147" s="194"/>
      <c r="AF147" s="206"/>
      <c r="AG147" s="215"/>
      <c r="AH147" s="194"/>
      <c r="AI147" s="194"/>
      <c r="AJ147" s="198"/>
      <c r="AK147" s="198"/>
      <c r="AL147" s="206"/>
      <c r="AM147" s="216"/>
      <c r="AN147" s="198"/>
      <c r="AO147" s="198"/>
      <c r="AP147" s="198"/>
      <c r="AQ147" s="198"/>
      <c r="AR147" s="206"/>
      <c r="AS147" s="216"/>
      <c r="AT147" s="206"/>
      <c r="AU147" s="216"/>
      <c r="AV147" s="206"/>
      <c r="AW147" s="232"/>
      <c r="AX147" s="206"/>
    </row>
    <row r="148" spans="1:50" s="55" customFormat="1" ht="15" customHeight="1" x14ac:dyDescent="0.3">
      <c r="A148" s="45" t="s">
        <v>38</v>
      </c>
      <c r="B148" s="144" t="s">
        <v>718</v>
      </c>
      <c r="C148" s="28"/>
      <c r="D148" s="194"/>
      <c r="E148" s="194"/>
      <c r="F148" s="194"/>
      <c r="G148" s="194"/>
      <c r="H148" s="206"/>
      <c r="I148" s="196"/>
      <c r="J148" s="194"/>
      <c r="K148" s="194"/>
      <c r="L148" s="194"/>
      <c r="M148" s="194"/>
      <c r="N148" s="206"/>
      <c r="O148" s="196"/>
      <c r="P148" s="194"/>
      <c r="Q148" s="194"/>
      <c r="R148" s="194"/>
      <c r="S148" s="194"/>
      <c r="T148" s="206"/>
      <c r="U148" s="196"/>
      <c r="V148" s="194"/>
      <c r="W148" s="194"/>
      <c r="X148" s="194"/>
      <c r="Y148" s="194"/>
      <c r="Z148" s="206"/>
      <c r="AA148" s="199"/>
      <c r="AB148" s="194"/>
      <c r="AC148" s="194"/>
      <c r="AD148" s="194"/>
      <c r="AE148" s="194"/>
      <c r="AF148" s="206"/>
      <c r="AG148" s="197"/>
      <c r="AH148" s="194"/>
      <c r="AI148" s="194"/>
      <c r="AJ148" s="198"/>
      <c r="AK148" s="198"/>
      <c r="AL148" s="206"/>
      <c r="AM148" s="201"/>
      <c r="AN148" s="198"/>
      <c r="AO148" s="198"/>
      <c r="AP148" s="198"/>
      <c r="AQ148" s="198"/>
      <c r="AR148" s="206"/>
      <c r="AS148" s="201"/>
      <c r="AT148" s="206"/>
      <c r="AU148" s="201"/>
      <c r="AV148" s="206"/>
      <c r="AW148" s="232"/>
      <c r="AX148" s="206"/>
    </row>
    <row r="149" spans="1:50" s="55" customFormat="1" ht="15" customHeight="1" x14ac:dyDescent="0.25">
      <c r="A149" s="110"/>
      <c r="B149" s="145" t="s">
        <v>719</v>
      </c>
      <c r="C149" s="112"/>
      <c r="D149" s="203"/>
      <c r="E149" s="203"/>
      <c r="F149" s="203"/>
      <c r="G149" s="203"/>
      <c r="H149" s="206" t="str">
        <f>IF(ROUND(CF!H39,0)=ROUND(SUM(CF!D39:G39),0),"OK","ERROR")</f>
        <v>OK</v>
      </c>
      <c r="I149" s="196"/>
      <c r="J149" s="203"/>
      <c r="K149" s="203"/>
      <c r="L149" s="203"/>
      <c r="M149" s="203"/>
      <c r="N149" s="206" t="str">
        <f>IF(ROUND(CF!N39,0)=ROUND(SUM(CF!J39:M39),0),"OK","ERROR")</f>
        <v>OK</v>
      </c>
      <c r="O149" s="196"/>
      <c r="P149" s="203"/>
      <c r="Q149" s="203"/>
      <c r="R149" s="203"/>
      <c r="S149" s="203"/>
      <c r="T149" s="206" t="str">
        <f>IF(ROUND(CF!T39,0)=ROUND(SUM(CF!P39:S39),0),"OK","ERROR")</f>
        <v>OK</v>
      </c>
      <c r="U149" s="196"/>
      <c r="V149" s="203"/>
      <c r="W149" s="203"/>
      <c r="X149" s="203"/>
      <c r="Y149" s="203"/>
      <c r="Z149" s="206" t="str">
        <f>IF(ROUND(CF!Z39,0)=ROUND(SUM(CF!V39:Y39),0),"OK","ERROR")</f>
        <v>OK</v>
      </c>
      <c r="AA149" s="199"/>
      <c r="AB149" s="203"/>
      <c r="AC149" s="203"/>
      <c r="AD149" s="203"/>
      <c r="AE149" s="203"/>
      <c r="AF149" s="206" t="str">
        <f>IF(ROUND(CF!AF39,0)=ROUND(SUM(CF!AB39:AE39),0),"OK","ERROR")</f>
        <v>OK</v>
      </c>
      <c r="AG149" s="197"/>
      <c r="AH149" s="203"/>
      <c r="AI149" s="203"/>
      <c r="AJ149" s="198"/>
      <c r="AK149" s="198"/>
      <c r="AL149" s="206" t="str">
        <f>IF(ROUND(CF!AL39,0)=ROUND(SUM(CF!AH39:AK39),0),"OK","ERROR")</f>
        <v>OK</v>
      </c>
      <c r="AM149" s="201"/>
      <c r="AN149" s="198"/>
      <c r="AO149" s="198"/>
      <c r="AP149" s="198"/>
      <c r="AQ149" s="198"/>
      <c r="AR149" s="206" t="str">
        <f>IF(ROUND(CF!AR39,0)=ROUND(SUM(CF!AN39:AQ39),0),"OK","ERROR")</f>
        <v>OK</v>
      </c>
      <c r="AS149" s="201"/>
      <c r="AT149" s="206" t="str">
        <f>IF(ROUND(CF!AT39,0)=ROUND(SUM(CF!AP39:AS39),0),"OK","ERROR")</f>
        <v>OK</v>
      </c>
      <c r="AU149" s="201"/>
      <c r="AV149" s="206" t="str">
        <f>IF(ROUND(CF!AV39,0)=ROUND(SUM(CF!AR39:AU39),0),"OK","ERROR")</f>
        <v>OK</v>
      </c>
      <c r="AW149" s="232"/>
      <c r="AX149" s="206" t="str">
        <f>IF(ROUND(CF!AX39,0)=ROUND(SUM(CF!AT39:AW39),0),"OK","ERROR")</f>
        <v>OK</v>
      </c>
    </row>
    <row r="150" spans="1:50" s="55" customFormat="1" ht="15" customHeight="1" x14ac:dyDescent="0.25">
      <c r="A150" s="110"/>
      <c r="B150" s="145" t="s">
        <v>720</v>
      </c>
      <c r="C150" s="112"/>
      <c r="D150" s="203"/>
      <c r="E150" s="203"/>
      <c r="F150" s="203"/>
      <c r="G150" s="203"/>
      <c r="H150" s="206" t="str">
        <f>IF(ROUND(CF!H40,0)=ROUND(SUM(CF!D40:G40),0),"OK","ERROR")</f>
        <v>OK</v>
      </c>
      <c r="I150" s="196"/>
      <c r="J150" s="203"/>
      <c r="K150" s="203"/>
      <c r="L150" s="203"/>
      <c r="M150" s="203"/>
      <c r="N150" s="206" t="str">
        <f>IF(ROUND(CF!N40,0)=ROUND(SUM(CF!J40:M40),0),"OK","ERROR")</f>
        <v>ERROR</v>
      </c>
      <c r="O150" s="196"/>
      <c r="P150" s="203"/>
      <c r="Q150" s="203"/>
      <c r="R150" s="203"/>
      <c r="S150" s="203"/>
      <c r="T150" s="206" t="str">
        <f>IF(ROUND(CF!T40,0)=ROUND(SUM(CF!P40:S40),0),"OK","ERROR")</f>
        <v>OK</v>
      </c>
      <c r="U150" s="196"/>
      <c r="V150" s="203"/>
      <c r="W150" s="203"/>
      <c r="X150" s="203"/>
      <c r="Y150" s="203"/>
      <c r="Z150" s="206" t="str">
        <f>IF(ROUND(CF!Z40,0)=ROUND(SUM(CF!V40:Y40),0),"OK","ERROR")</f>
        <v>OK</v>
      </c>
      <c r="AA150" s="199"/>
      <c r="AB150" s="203"/>
      <c r="AC150" s="203"/>
      <c r="AD150" s="203"/>
      <c r="AE150" s="203"/>
      <c r="AF150" s="206" t="str">
        <f>IF(ROUND(CF!AF40,0)=ROUND(SUM(CF!AB40:AE40),0),"OK","ERROR")</f>
        <v>OK</v>
      </c>
      <c r="AG150" s="197"/>
      <c r="AH150" s="203"/>
      <c r="AI150" s="203"/>
      <c r="AJ150" s="198"/>
      <c r="AK150" s="198"/>
      <c r="AL150" s="206" t="str">
        <f>IF(ROUND(CF!AL40,0)=ROUND(SUM(CF!AH40:AK40),0),"OK","ERROR")</f>
        <v>ERROR</v>
      </c>
      <c r="AM150" s="201"/>
      <c r="AN150" s="198"/>
      <c r="AO150" s="198"/>
      <c r="AP150" s="198"/>
      <c r="AQ150" s="198"/>
      <c r="AR150" s="206" t="str">
        <f>IF(ROUND(CF!AR40,0)=ROUND(SUM(CF!AN40:AQ40),0),"OK","ERROR")</f>
        <v>OK</v>
      </c>
      <c r="AS150" s="201"/>
      <c r="AT150" s="206" t="str">
        <f>IF(ROUND(CF!AT40,0)=ROUND(SUM(CF!AP40:AS40),0),"OK","ERROR")</f>
        <v>OK</v>
      </c>
      <c r="AU150" s="201"/>
      <c r="AV150" s="206" t="str">
        <f>IF(ROUND(CF!AV40,0)=ROUND(SUM(CF!AR40:AU40),0),"OK","ERROR")</f>
        <v>OK</v>
      </c>
      <c r="AW150" s="232"/>
      <c r="AX150" s="206" t="str">
        <f>IF(ROUND(CF!AX40,0)=ROUND(SUM(CF!AT40:AW40),0),"OK","ERROR")</f>
        <v>OK</v>
      </c>
    </row>
    <row r="151" spans="1:50" s="55" customFormat="1" ht="15" customHeight="1" x14ac:dyDescent="0.25">
      <c r="A151" s="110"/>
      <c r="B151" s="145" t="s">
        <v>721</v>
      </c>
      <c r="C151" s="112"/>
      <c r="D151" s="203"/>
      <c r="E151" s="203"/>
      <c r="F151" s="203"/>
      <c r="G151" s="203"/>
      <c r="H151" s="206" t="str">
        <f>IF(ROUND(CF!H41,0)=ROUND(SUM(CF!D41:G41),0),"OK","ERROR")</f>
        <v>ERROR</v>
      </c>
      <c r="I151" s="196"/>
      <c r="J151" s="203"/>
      <c r="K151" s="203"/>
      <c r="L151" s="203"/>
      <c r="M151" s="203"/>
      <c r="N151" s="206" t="str">
        <f>IF(ROUND(CF!N41,0)=ROUND(SUM(CF!J41:M41),0),"OK","ERROR")</f>
        <v>OK</v>
      </c>
      <c r="O151" s="196"/>
      <c r="P151" s="203"/>
      <c r="Q151" s="203"/>
      <c r="R151" s="203"/>
      <c r="S151" s="203"/>
      <c r="T151" s="206" t="str">
        <f>IF(ROUND(CF!T41,0)=ROUND(SUM(CF!P41:S41),0),"OK","ERROR")</f>
        <v>OK</v>
      </c>
      <c r="U151" s="196"/>
      <c r="V151" s="203"/>
      <c r="W151" s="203"/>
      <c r="X151" s="203"/>
      <c r="Y151" s="203"/>
      <c r="Z151" s="206" t="str">
        <f>IF(ROUND(CF!Z41,0)=ROUND(SUM(CF!V41:Y41),0),"OK","ERROR")</f>
        <v>ERROR</v>
      </c>
      <c r="AA151" s="199"/>
      <c r="AB151" s="203"/>
      <c r="AC151" s="203"/>
      <c r="AD151" s="203"/>
      <c r="AE151" s="203"/>
      <c r="AF151" s="206" t="str">
        <f>IF(ROUND(CF!AF41,0)=ROUND(SUM(CF!AB41:AE41),0),"OK","ERROR")</f>
        <v>OK</v>
      </c>
      <c r="AG151" s="197"/>
      <c r="AH151" s="203"/>
      <c r="AI151" s="203"/>
      <c r="AJ151" s="198"/>
      <c r="AK151" s="198"/>
      <c r="AL151" s="206" t="str">
        <f>IF(ROUND(CF!AL41,0)=ROUND(SUM(CF!AH41:AK41),0),"OK","ERROR")</f>
        <v>ERROR</v>
      </c>
      <c r="AM151" s="201"/>
      <c r="AN151" s="198"/>
      <c r="AO151" s="198"/>
      <c r="AP151" s="198"/>
      <c r="AQ151" s="198"/>
      <c r="AR151" s="206" t="str">
        <f>IF(ROUND(CF!AR41,0)=ROUND(SUM(CF!AN41:AQ41),0),"OK","ERROR")</f>
        <v>OK</v>
      </c>
      <c r="AS151" s="201"/>
      <c r="AT151" s="206" t="str">
        <f>IF(ROUND(CF!AT41,0)=ROUND(SUM(CF!AP41:AS41),0),"OK","ERROR")</f>
        <v>OK</v>
      </c>
      <c r="AU151" s="201"/>
      <c r="AV151" s="206" t="str">
        <f>IF(ROUND(CF!AV41,0)=ROUND(SUM(CF!AR41:AU41),0),"OK","ERROR")</f>
        <v>OK</v>
      </c>
      <c r="AW151" s="232"/>
      <c r="AX151" s="206" t="str">
        <f>IF(ROUND(CF!AX41,0)=ROUND(SUM(CF!AT41:AW41),0),"OK","ERROR")</f>
        <v>OK</v>
      </c>
    </row>
    <row r="152" spans="1:50" s="55" customFormat="1" ht="15" customHeight="1" x14ac:dyDescent="0.3">
      <c r="A152" s="132"/>
      <c r="B152" s="145" t="s">
        <v>722</v>
      </c>
      <c r="C152" s="28"/>
      <c r="D152" s="203"/>
      <c r="E152" s="203"/>
      <c r="F152" s="203"/>
      <c r="G152" s="203"/>
      <c r="H152" s="206" t="str">
        <f>IF(ROUND(CF!H42,0)=ROUND(SUM(CF!D42:G42),0),"OK","ERROR")</f>
        <v>ERROR</v>
      </c>
      <c r="I152" s="196"/>
      <c r="J152" s="203"/>
      <c r="K152" s="203"/>
      <c r="L152" s="203"/>
      <c r="M152" s="203"/>
      <c r="N152" s="206" t="str">
        <f>IF(ROUND(CF!N42,0)=ROUND(SUM(CF!J42:M42),0),"OK","ERROR")</f>
        <v>OK</v>
      </c>
      <c r="O152" s="196"/>
      <c r="P152" s="203"/>
      <c r="Q152" s="203"/>
      <c r="R152" s="203"/>
      <c r="S152" s="203"/>
      <c r="T152" s="206" t="str">
        <f>IF(ROUND(CF!T42,0)=ROUND(SUM(CF!P42:S42),0),"OK","ERROR")</f>
        <v>OK</v>
      </c>
      <c r="U152" s="196"/>
      <c r="V152" s="203"/>
      <c r="W152" s="203"/>
      <c r="X152" s="203"/>
      <c r="Y152" s="203"/>
      <c r="Z152" s="206" t="str">
        <f>IF(ROUND(CF!Z42,0)=ROUND(SUM(CF!V42:Y42),0),"OK","ERROR")</f>
        <v>OK</v>
      </c>
      <c r="AA152" s="199"/>
      <c r="AB152" s="203"/>
      <c r="AC152" s="203"/>
      <c r="AD152" s="203"/>
      <c r="AE152" s="203"/>
      <c r="AF152" s="206" t="str">
        <f>IF(ROUND(CF!AF42,0)=ROUND(SUM(CF!AB42:AE42),0),"OK","ERROR")</f>
        <v>OK</v>
      </c>
      <c r="AG152" s="197"/>
      <c r="AH152" s="203"/>
      <c r="AI152" s="203"/>
      <c r="AJ152" s="198"/>
      <c r="AK152" s="198"/>
      <c r="AL152" s="206" t="str">
        <f>IF(ROUND(CF!AL42,0)=ROUND(SUM(CF!AH42:AK42),0),"OK","ERROR")</f>
        <v>ERROR</v>
      </c>
      <c r="AM152" s="233"/>
      <c r="AN152" s="198"/>
      <c r="AO152" s="198"/>
      <c r="AP152" s="198"/>
      <c r="AQ152" s="198"/>
      <c r="AR152" s="206" t="str">
        <f>IF(ROUND(CF!AR42,0)=ROUND(SUM(CF!AN42:AQ42),0),"OK","ERROR")</f>
        <v>OK</v>
      </c>
      <c r="AS152" s="201"/>
      <c r="AT152" s="206" t="str">
        <f>IF(ROUND(CF!AT42,0)=ROUND(SUM(CF!AP42:AS42),0),"OK","ERROR")</f>
        <v>OK</v>
      </c>
      <c r="AU152" s="201"/>
      <c r="AV152" s="206" t="str">
        <f>IF(ROUND(CF!AV42,0)=ROUND(SUM(CF!AR42:AU42),0),"OK","ERROR")</f>
        <v>OK</v>
      </c>
      <c r="AW152" s="232"/>
      <c r="AX152" s="206" t="str">
        <f>IF(ROUND(CF!AX42,0)=ROUND(SUM(CF!AT42:AW42),0),"OK","ERROR")</f>
        <v>OK</v>
      </c>
    </row>
    <row r="153" spans="1:50" s="55" customFormat="1" ht="15" customHeight="1" x14ac:dyDescent="0.25">
      <c r="A153" s="110"/>
      <c r="B153" s="145" t="s">
        <v>723</v>
      </c>
      <c r="C153" s="112"/>
      <c r="D153" s="203"/>
      <c r="E153" s="203"/>
      <c r="F153" s="203"/>
      <c r="G153" s="203"/>
      <c r="H153" s="206" t="str">
        <f>IF(ROUND(CF!H43,0)=ROUND(SUM(CF!D43:G43),0),"OK","ERROR")</f>
        <v>OK</v>
      </c>
      <c r="I153" s="196"/>
      <c r="J153" s="203"/>
      <c r="K153" s="203"/>
      <c r="L153" s="203"/>
      <c r="M153" s="203"/>
      <c r="N153" s="206" t="str">
        <f>IF(ROUND(CF!N43,0)=ROUND(SUM(CF!J43:M43),0),"OK","ERROR")</f>
        <v>OK</v>
      </c>
      <c r="O153" s="196"/>
      <c r="P153" s="203"/>
      <c r="Q153" s="203"/>
      <c r="R153" s="203"/>
      <c r="S153" s="203"/>
      <c r="T153" s="206" t="str">
        <f>IF(ROUND(CF!T43,0)=ROUND(SUM(CF!P43:S43),0),"OK","ERROR")</f>
        <v>OK</v>
      </c>
      <c r="U153" s="196"/>
      <c r="V153" s="203"/>
      <c r="W153" s="203"/>
      <c r="X153" s="203"/>
      <c r="Y153" s="203"/>
      <c r="Z153" s="206" t="str">
        <f>IF(ROUND(CF!Z43,0)=ROUND(SUM(CF!V43:Y43),0),"OK","ERROR")</f>
        <v>OK</v>
      </c>
      <c r="AA153" s="199"/>
      <c r="AB153" s="203"/>
      <c r="AC153" s="203"/>
      <c r="AD153" s="203"/>
      <c r="AE153" s="203"/>
      <c r="AF153" s="206" t="str">
        <f>IF(ROUND(CF!AF43,0)=ROUND(SUM(CF!AB43:AE43),0),"OK","ERROR")</f>
        <v>OK</v>
      </c>
      <c r="AG153" s="197"/>
      <c r="AH153" s="203"/>
      <c r="AI153" s="203"/>
      <c r="AJ153" s="198"/>
      <c r="AK153" s="198"/>
      <c r="AL153" s="206" t="str">
        <f>IF(ROUND(CF!AL43,0)=ROUND(SUM(CF!AH43:AK43),0),"OK","ERROR")</f>
        <v>ERROR</v>
      </c>
      <c r="AM153" s="233"/>
      <c r="AN153" s="198"/>
      <c r="AO153" s="198"/>
      <c r="AP153" s="198"/>
      <c r="AQ153" s="198"/>
      <c r="AR153" s="206" t="str">
        <f>IF(ROUND(CF!AR43,0)=ROUND(SUM(CF!AN43:AQ43),0),"OK","ERROR")</f>
        <v>OK</v>
      </c>
      <c r="AS153" s="201"/>
      <c r="AT153" s="206" t="str">
        <f>IF(ROUND(CF!AT43,0)=ROUND(SUM(CF!AP43:AS43),0),"OK","ERROR")</f>
        <v>OK</v>
      </c>
      <c r="AU153" s="201"/>
      <c r="AV153" s="206" t="str">
        <f>IF(ROUND(CF!AV43,0)=ROUND(SUM(CF!AR43:AU43),0),"OK","ERROR")</f>
        <v>OK</v>
      </c>
      <c r="AW153" s="232"/>
      <c r="AX153" s="206" t="str">
        <f>IF(ROUND(CF!AX43,0)=ROUND(SUM(CF!AT43:AW43),0),"OK","ERROR")</f>
        <v>OK</v>
      </c>
    </row>
    <row r="154" spans="1:50" s="55" customFormat="1" ht="15" customHeight="1" x14ac:dyDescent="0.25">
      <c r="A154" s="110"/>
      <c r="B154" s="145" t="s">
        <v>724</v>
      </c>
      <c r="C154" s="112"/>
      <c r="D154" s="203"/>
      <c r="E154" s="203"/>
      <c r="F154" s="203"/>
      <c r="G154" s="203"/>
      <c r="H154" s="212" t="str">
        <f>IF(ROUND(CF!H44,0)=ROUND(SUM(CF!D44:G44),0),"OK","ERROR")</f>
        <v>OK</v>
      </c>
      <c r="I154" s="196"/>
      <c r="J154" s="203"/>
      <c r="K154" s="203"/>
      <c r="L154" s="203"/>
      <c r="M154" s="203"/>
      <c r="N154" s="212" t="str">
        <f>IF(ROUND(CF!N44,0)=ROUND(SUM(CF!J44:M44),0),"OK","ERROR")</f>
        <v>OK</v>
      </c>
      <c r="O154" s="196"/>
      <c r="P154" s="203"/>
      <c r="Q154" s="203"/>
      <c r="R154" s="203"/>
      <c r="S154" s="203"/>
      <c r="T154" s="212" t="str">
        <f>IF(ROUND(CF!T44,0)=ROUND(SUM(CF!P44:S44),0),"OK","ERROR")</f>
        <v>OK</v>
      </c>
      <c r="U154" s="196"/>
      <c r="V154" s="203"/>
      <c r="W154" s="203"/>
      <c r="X154" s="203"/>
      <c r="Y154" s="203"/>
      <c r="Z154" s="212" t="str">
        <f>IF(ROUND(CF!Z44,0)=ROUND(SUM(CF!V44:Y44),0),"OK","ERROR")</f>
        <v>ERROR</v>
      </c>
      <c r="AA154" s="214"/>
      <c r="AB154" s="203"/>
      <c r="AC154" s="203"/>
      <c r="AD154" s="203"/>
      <c r="AE154" s="203"/>
      <c r="AF154" s="212" t="str">
        <f>IF(ROUND(CF!AF44,0)=ROUND(SUM(CF!AB44:AE44),0),"OK","ERROR")</f>
        <v>OK</v>
      </c>
      <c r="AG154" s="215"/>
      <c r="AH154" s="203"/>
      <c r="AI154" s="203"/>
      <c r="AJ154" s="198"/>
      <c r="AK154" s="198"/>
      <c r="AL154" s="212" t="str">
        <f>IF(ROUND(CF!AL44,0)=ROUND(SUM(CF!AH44:AK44),0),"OK","ERROR")</f>
        <v>ERROR</v>
      </c>
      <c r="AM154" s="216"/>
      <c r="AN154" s="198"/>
      <c r="AO154" s="198"/>
      <c r="AP154" s="198"/>
      <c r="AQ154" s="198"/>
      <c r="AR154" s="212" t="str">
        <f>IF(ROUND(CF!AR44,0)=ROUND(SUM(CF!AN44:AQ44),0),"OK","ERROR")</f>
        <v>OK</v>
      </c>
      <c r="AS154" s="216"/>
      <c r="AT154" s="212" t="str">
        <f>IF(ROUND(CF!AT44,0)=ROUND(SUM(CF!AP44:AS44),0),"OK","ERROR")</f>
        <v>OK</v>
      </c>
      <c r="AU154" s="216"/>
      <c r="AV154" s="212" t="str">
        <f>IF(ROUND(CF!AV44,0)=ROUND(SUM(CF!AR44:AU44),0),"OK","ERROR")</f>
        <v>OK</v>
      </c>
      <c r="AW154" s="232"/>
      <c r="AX154" s="212" t="str">
        <f>IF(ROUND(CF!AX44,0)=ROUND(SUM(CF!AT44:AW44),0),"OK","ERROR")</f>
        <v>OK</v>
      </c>
    </row>
    <row r="155" spans="1:50" s="55" customFormat="1" ht="15" customHeight="1" thickBot="1" x14ac:dyDescent="0.35">
      <c r="A155" s="110"/>
      <c r="B155" s="146" t="s">
        <v>725</v>
      </c>
      <c r="C155" s="18"/>
      <c r="D155" s="203"/>
      <c r="E155" s="203"/>
      <c r="F155" s="203"/>
      <c r="G155" s="203"/>
      <c r="H155" s="223" t="str">
        <f>IF(ROUND(CF!H45,0)=ROUND(SUM(CF!D45:G45),0),"OK","ERROR")</f>
        <v>OK</v>
      </c>
      <c r="I155" s="196"/>
      <c r="J155" s="203"/>
      <c r="K155" s="203"/>
      <c r="L155" s="203"/>
      <c r="M155" s="203"/>
      <c r="N155" s="223" t="str">
        <f>IF(ROUND(CF!N45,0)=ROUND(SUM(CF!J45:M45),0),"OK","ERROR")</f>
        <v>ERROR</v>
      </c>
      <c r="O155" s="196"/>
      <c r="P155" s="203"/>
      <c r="Q155" s="203"/>
      <c r="R155" s="203"/>
      <c r="S155" s="203"/>
      <c r="T155" s="223" t="str">
        <f>IF(ROUND(CF!T45,0)=ROUND(SUM(CF!P45:S45),0),"OK","ERROR")</f>
        <v>OK</v>
      </c>
      <c r="U155" s="196"/>
      <c r="V155" s="203"/>
      <c r="W155" s="203"/>
      <c r="X155" s="203"/>
      <c r="Y155" s="203"/>
      <c r="Z155" s="223" t="str">
        <f>IF(ROUND(CF!Z45,0)=ROUND(SUM(CF!V45:Y45),0),"OK","ERROR")</f>
        <v>OK</v>
      </c>
      <c r="AA155" s="196"/>
      <c r="AB155" s="203"/>
      <c r="AC155" s="203"/>
      <c r="AD155" s="203"/>
      <c r="AE155" s="203"/>
      <c r="AF155" s="223" t="str">
        <f>IF(ROUND(CF!AF45,0)=ROUND(SUM(CF!AB45:AE45),0),"OK","ERROR")</f>
        <v>OK</v>
      </c>
      <c r="AG155" s="224"/>
      <c r="AH155" s="203"/>
      <c r="AI155" s="203"/>
      <c r="AJ155" s="198"/>
      <c r="AK155" s="198"/>
      <c r="AL155" s="223" t="str">
        <f>IF(ROUND(CF!AL45,0)=ROUND(SUM(CF!AH45:AK45),0),"OK","ERROR")</f>
        <v>ERROR</v>
      </c>
      <c r="AM155" s="225"/>
      <c r="AN155" s="198"/>
      <c r="AO155" s="198"/>
      <c r="AP155" s="198"/>
      <c r="AQ155" s="198"/>
      <c r="AR155" s="223" t="str">
        <f>IF(ROUND(CF!AR45,0)=ROUND(SUM(CF!AN45:AQ45),0),"OK","ERROR")</f>
        <v>OK</v>
      </c>
      <c r="AS155" s="225"/>
      <c r="AT155" s="223" t="str">
        <f>IF(ROUND(CF!AT45,0)=ROUND(SUM(CF!AP45:AS45),0),"OK","ERROR")</f>
        <v>OK</v>
      </c>
      <c r="AU155" s="225"/>
      <c r="AV155" s="223" t="str">
        <f>IF(ROUND(CF!AV45,0)=ROUND(SUM(CF!AR45:AU45),0),"OK","ERROR")</f>
        <v>OK</v>
      </c>
      <c r="AW155" s="232"/>
      <c r="AX155" s="223" t="str">
        <f>IF(ROUND(CF!AX45,0)=ROUND(SUM(CF!AT45:AW45),0),"OK","ERROR")</f>
        <v>OK</v>
      </c>
    </row>
    <row r="156" spans="1:50" s="55" customFormat="1" ht="15" customHeight="1" thickTop="1" x14ac:dyDescent="0.3">
      <c r="A156" s="110"/>
      <c r="B156" s="10"/>
      <c r="C156" s="112"/>
      <c r="D156" s="194"/>
      <c r="E156" s="194"/>
      <c r="F156" s="194"/>
      <c r="G156" s="194"/>
      <c r="H156" s="206"/>
      <c r="I156" s="196"/>
      <c r="J156" s="194"/>
      <c r="K156" s="194"/>
      <c r="L156" s="194"/>
      <c r="M156" s="194"/>
      <c r="N156" s="206"/>
      <c r="O156" s="196"/>
      <c r="P156" s="194"/>
      <c r="Q156" s="194"/>
      <c r="R156" s="194"/>
      <c r="S156" s="194"/>
      <c r="T156" s="206"/>
      <c r="U156" s="196"/>
      <c r="V156" s="194"/>
      <c r="W156" s="194"/>
      <c r="X156" s="194"/>
      <c r="Y156" s="194"/>
      <c r="Z156" s="206"/>
      <c r="AA156" s="214"/>
      <c r="AB156" s="194"/>
      <c r="AC156" s="194"/>
      <c r="AD156" s="194"/>
      <c r="AE156" s="194"/>
      <c r="AF156" s="206"/>
      <c r="AG156" s="215"/>
      <c r="AH156" s="194"/>
      <c r="AI156" s="194"/>
      <c r="AJ156" s="198"/>
      <c r="AK156" s="198"/>
      <c r="AL156" s="206"/>
      <c r="AM156" s="216"/>
      <c r="AN156" s="198"/>
      <c r="AO156" s="198"/>
      <c r="AP156" s="198"/>
      <c r="AQ156" s="198"/>
      <c r="AR156" s="206"/>
      <c r="AS156" s="216"/>
      <c r="AT156" s="206"/>
      <c r="AU156" s="216"/>
      <c r="AV156" s="206"/>
      <c r="AW156" s="232"/>
      <c r="AX156" s="206"/>
    </row>
    <row r="157" spans="1:50" s="55" customFormat="1" ht="15" customHeight="1" x14ac:dyDescent="0.3">
      <c r="A157" s="45" t="s">
        <v>38</v>
      </c>
      <c r="B157" s="144" t="s">
        <v>726</v>
      </c>
      <c r="C157" s="18"/>
      <c r="D157" s="203"/>
      <c r="E157" s="203"/>
      <c r="F157" s="203"/>
      <c r="G157" s="203"/>
      <c r="H157" s="206" t="str">
        <f>IF(ROUND(CF!H47,0)=ROUND(SUM(CF!D47:G47),0),"OK","ERROR")</f>
        <v>OK</v>
      </c>
      <c r="I157" s="196"/>
      <c r="J157" s="203"/>
      <c r="K157" s="203"/>
      <c r="L157" s="203"/>
      <c r="M157" s="203"/>
      <c r="N157" s="206" t="str">
        <f>IF(ROUND(CF!N47,0)=ROUND(SUM(CF!J47:M47),0),"OK","ERROR")</f>
        <v>OK</v>
      </c>
      <c r="O157" s="196"/>
      <c r="P157" s="203"/>
      <c r="Q157" s="203"/>
      <c r="R157" s="203"/>
      <c r="S157" s="203"/>
      <c r="T157" s="206" t="str">
        <f>IF(ROUND(CF!T47,0)=ROUND(SUM(CF!P47:S47),0),"OK","ERROR")</f>
        <v>OK</v>
      </c>
      <c r="U157" s="196"/>
      <c r="V157" s="203"/>
      <c r="W157" s="203"/>
      <c r="X157" s="203"/>
      <c r="Y157" s="203"/>
      <c r="Z157" s="206" t="str">
        <f>IF(ROUND(CF!Z47,0)=ROUND(SUM(CF!V47:Y47),0),"OK","ERROR")</f>
        <v>ERROR</v>
      </c>
      <c r="AA157" s="196"/>
      <c r="AB157" s="203"/>
      <c r="AC157" s="203"/>
      <c r="AD157" s="203"/>
      <c r="AE157" s="203"/>
      <c r="AF157" s="206" t="str">
        <f>IF(ROUND(CF!AF47,0)=ROUND(SUM(CF!AB47:AE47),0),"OK","ERROR")</f>
        <v>OK</v>
      </c>
      <c r="AG157" s="224"/>
      <c r="AH157" s="203"/>
      <c r="AI157" s="203"/>
      <c r="AJ157" s="198"/>
      <c r="AK157" s="198"/>
      <c r="AL157" s="206" t="str">
        <f>IF(ROUND(CF!AL47,0)=ROUND(SUM(CF!AH47:AK47),0),"OK","ERROR")</f>
        <v>ERROR</v>
      </c>
      <c r="AM157" s="211"/>
      <c r="AN157" s="198"/>
      <c r="AO157" s="198"/>
      <c r="AP157" s="198"/>
      <c r="AQ157" s="198"/>
      <c r="AR157" s="206" t="str">
        <f>IF(ROUND(CF!AR47,0)=ROUND(SUM(CF!AN47:AQ47),0),"OK","ERROR")</f>
        <v>OK</v>
      </c>
      <c r="AS157" s="211"/>
      <c r="AT157" s="206" t="str">
        <f>IF(ROUND(CF!AT47,0)=ROUND(SUM(CF!AP47:AS47),0),"OK","ERROR")</f>
        <v>OK</v>
      </c>
      <c r="AU157" s="211"/>
      <c r="AV157" s="206" t="str">
        <f>IF(ROUND(CF!AV47,0)=ROUND(SUM(CF!AR47:AU47),0),"OK","ERROR")</f>
        <v>OK</v>
      </c>
      <c r="AW157" s="232"/>
      <c r="AX157" s="206" t="str">
        <f>IF(ROUND(CF!AX47,0)=ROUND(SUM(CF!AT47:AW47),0),"OK","ERROR")</f>
        <v>OK</v>
      </c>
    </row>
    <row r="158" spans="1:50" s="55" customFormat="1" ht="15" customHeight="1" x14ac:dyDescent="0.25">
      <c r="A158" s="110"/>
      <c r="C158" s="112"/>
      <c r="D158" s="194"/>
      <c r="E158" s="194"/>
      <c r="F158" s="194"/>
      <c r="G158" s="194"/>
      <c r="H158" s="206"/>
      <c r="I158" s="196"/>
      <c r="J158" s="194"/>
      <c r="K158" s="194"/>
      <c r="L158" s="194"/>
      <c r="M158" s="194"/>
      <c r="N158" s="206"/>
      <c r="O158" s="196"/>
      <c r="P158" s="194"/>
      <c r="Q158" s="194"/>
      <c r="R158" s="194"/>
      <c r="S158" s="194"/>
      <c r="T158" s="206"/>
      <c r="U158" s="196"/>
      <c r="V158" s="194"/>
      <c r="W158" s="194"/>
      <c r="X158" s="194"/>
      <c r="Y158" s="194"/>
      <c r="Z158" s="206"/>
      <c r="AA158" s="196"/>
      <c r="AB158" s="194"/>
      <c r="AC158" s="194"/>
      <c r="AD158" s="194"/>
      <c r="AE158" s="194"/>
      <c r="AF158" s="206"/>
      <c r="AG158" s="224"/>
      <c r="AH158" s="194"/>
      <c r="AI158" s="194"/>
      <c r="AJ158" s="198"/>
      <c r="AK158" s="198"/>
      <c r="AL158" s="206"/>
      <c r="AM158" s="225"/>
      <c r="AN158" s="198"/>
      <c r="AO158" s="198"/>
      <c r="AP158" s="198"/>
      <c r="AQ158" s="198"/>
      <c r="AR158" s="206"/>
      <c r="AS158" s="225"/>
      <c r="AT158" s="206"/>
      <c r="AU158" s="225"/>
      <c r="AV158" s="206"/>
      <c r="AW158" s="232"/>
      <c r="AX158" s="206"/>
    </row>
    <row r="159" spans="1:50" s="55" customFormat="1" ht="15" customHeight="1" x14ac:dyDescent="0.3">
      <c r="A159" s="45" t="s">
        <v>38</v>
      </c>
      <c r="B159" s="144" t="s">
        <v>727</v>
      </c>
      <c r="C159" s="18"/>
      <c r="D159" s="203"/>
      <c r="E159" s="203"/>
      <c r="F159" s="203"/>
      <c r="G159" s="203"/>
      <c r="H159" s="212" t="str">
        <f>IF(ROUND(CF!H49,0)=ROUND(SUM(CF!D49:G49),0),"OK","ERROR")</f>
        <v>OK</v>
      </c>
      <c r="I159" s="196"/>
      <c r="J159" s="203"/>
      <c r="K159" s="203"/>
      <c r="L159" s="203"/>
      <c r="M159" s="203"/>
      <c r="N159" s="212" t="str">
        <f>IF(ROUND(CF!N49,0)=ROUND(SUM(CF!J49:M49),0),"OK","ERROR")</f>
        <v>ERROR</v>
      </c>
      <c r="O159" s="196"/>
      <c r="P159" s="203"/>
      <c r="Q159" s="203"/>
      <c r="R159" s="203"/>
      <c r="S159" s="203"/>
      <c r="T159" s="212" t="str">
        <f>IF(ROUND(CF!T49,0)=ROUND(SUM(CF!P49:S49),0),"OK","ERROR")</f>
        <v>OK</v>
      </c>
      <c r="U159" s="196"/>
      <c r="V159" s="203"/>
      <c r="W159" s="203"/>
      <c r="X159" s="203"/>
      <c r="Y159" s="203"/>
      <c r="Z159" s="212" t="str">
        <f>IF(ROUND(CF!Z49,0)=ROUND(SUM(CF!V49:Y49),0),"OK","ERROR")</f>
        <v>OK</v>
      </c>
      <c r="AA159" s="196"/>
      <c r="AB159" s="203"/>
      <c r="AC159" s="203"/>
      <c r="AD159" s="203"/>
      <c r="AE159" s="203"/>
      <c r="AF159" s="212" t="str">
        <f>IF(ROUND(CF!AF49,0)=ROUND(SUM(CF!AB49:AE49),0),"OK","ERROR")</f>
        <v>OK</v>
      </c>
      <c r="AG159" s="224"/>
      <c r="AH159" s="203"/>
      <c r="AI159" s="203"/>
      <c r="AJ159" s="198"/>
      <c r="AK159" s="198"/>
      <c r="AL159" s="212" t="str">
        <f>IF(ROUND(CF!AL49,0)=ROUND(SUM(CF!AH49:AK49),0),"OK","ERROR")</f>
        <v>ERROR</v>
      </c>
      <c r="AM159" s="225"/>
      <c r="AN159" s="198"/>
      <c r="AO159" s="198"/>
      <c r="AP159" s="198"/>
      <c r="AQ159" s="198"/>
      <c r="AR159" s="212" t="str">
        <f>IF(ROUND(CF!AR49,0)=ROUND(SUM(CF!AN49:AQ49),0),"OK","ERROR")</f>
        <v>OK</v>
      </c>
      <c r="AS159" s="225"/>
      <c r="AT159" s="212" t="str">
        <f>IF(ROUND(CF!AT49,0)=ROUND(SUM(CF!AP49:AS49),0),"OK","ERROR")</f>
        <v>OK</v>
      </c>
      <c r="AU159" s="225"/>
      <c r="AV159" s="212" t="str">
        <f>IF(ROUND(CF!AV49,0)=ROUND(SUM(CF!AR49:AU49),0),"OK","ERROR")</f>
        <v>OK</v>
      </c>
      <c r="AW159" s="232"/>
      <c r="AX159" s="212" t="str">
        <f>IF(ROUND(CF!AX49,0)=ROUND(SUM(CF!AT49:AW49),0),"OK","ERROR")</f>
        <v>OK</v>
      </c>
    </row>
    <row r="161" spans="1:50" s="42" customFormat="1" ht="15" customHeight="1" x14ac:dyDescent="0.3">
      <c r="A161" s="45" t="s">
        <v>38</v>
      </c>
      <c r="B161" s="147" t="s">
        <v>735</v>
      </c>
      <c r="C161" s="19"/>
      <c r="D161" s="188"/>
      <c r="E161" s="188">
        <f>F161</f>
        <v>2020</v>
      </c>
      <c r="F161" s="188">
        <v>2020</v>
      </c>
      <c r="G161" s="188">
        <f>F161</f>
        <v>2020</v>
      </c>
      <c r="H161" s="188">
        <f>F161</f>
        <v>2020</v>
      </c>
      <c r="I161" s="19"/>
      <c r="J161" s="188">
        <f>L161</f>
        <v>2021</v>
      </c>
      <c r="K161" s="188">
        <f>L161</f>
        <v>2021</v>
      </c>
      <c r="L161" s="188">
        <v>2021</v>
      </c>
      <c r="M161" s="188">
        <f>L161</f>
        <v>2021</v>
      </c>
      <c r="N161" s="188">
        <f>L161</f>
        <v>2021</v>
      </c>
      <c r="O161" s="155"/>
      <c r="P161" s="188">
        <f>R161</f>
        <v>2022</v>
      </c>
      <c r="Q161" s="188">
        <f>R161</f>
        <v>2022</v>
      </c>
      <c r="R161" s="188">
        <v>2022</v>
      </c>
      <c r="S161" s="188">
        <f>R161</f>
        <v>2022</v>
      </c>
      <c r="T161" s="188">
        <f>R161</f>
        <v>2022</v>
      </c>
      <c r="U161" s="155"/>
      <c r="V161" s="188">
        <f>X161</f>
        <v>2023</v>
      </c>
      <c r="W161" s="188">
        <f>X161</f>
        <v>2023</v>
      </c>
      <c r="X161" s="188">
        <v>2023</v>
      </c>
      <c r="Y161" s="188">
        <f>X161</f>
        <v>2023</v>
      </c>
      <c r="Z161" s="188">
        <f>X161</f>
        <v>2023</v>
      </c>
      <c r="AA161" s="156"/>
      <c r="AB161" s="188">
        <f>AD161</f>
        <v>2024</v>
      </c>
      <c r="AC161" s="188">
        <f>AD161</f>
        <v>2024</v>
      </c>
      <c r="AD161" s="188">
        <v>2024</v>
      </c>
      <c r="AE161" s="188">
        <f>AD161</f>
        <v>2024</v>
      </c>
      <c r="AF161" s="188">
        <f>AD161</f>
        <v>2024</v>
      </c>
      <c r="AG161" s="156"/>
      <c r="AH161" s="188">
        <f>AJ161</f>
        <v>2025</v>
      </c>
      <c r="AI161" s="188">
        <f>AJ161</f>
        <v>2025</v>
      </c>
      <c r="AJ161" s="189">
        <v>2025</v>
      </c>
      <c r="AK161" s="188">
        <f>AJ161</f>
        <v>2025</v>
      </c>
      <c r="AL161" s="188">
        <f>AJ161</f>
        <v>2025</v>
      </c>
      <c r="AM161" s="157"/>
      <c r="AN161" s="188">
        <f>AP161</f>
        <v>2025</v>
      </c>
      <c r="AO161" s="188">
        <f>AP161</f>
        <v>2025</v>
      </c>
      <c r="AP161" s="189">
        <v>2025</v>
      </c>
      <c r="AQ161" s="188">
        <f>AP161</f>
        <v>2025</v>
      </c>
      <c r="AR161" s="188">
        <f>AP161</f>
        <v>2025</v>
      </c>
      <c r="AS161" s="19"/>
      <c r="AT161" s="148"/>
      <c r="AU161" s="19"/>
      <c r="AV161" s="149"/>
      <c r="AW161" s="19"/>
      <c r="AX161" s="149"/>
    </row>
    <row r="162" spans="1:50" s="42" customFormat="1" ht="15" customHeight="1" x14ac:dyDescent="0.3">
      <c r="B162" s="150"/>
      <c r="C162" s="19"/>
      <c r="D162" s="803">
        <v>2020</v>
      </c>
      <c r="E162" s="803"/>
      <c r="F162" s="803"/>
      <c r="G162" s="803"/>
      <c r="H162" s="803"/>
      <c r="I162" s="155"/>
      <c r="J162" s="803">
        <f>D162+1</f>
        <v>2021</v>
      </c>
      <c r="K162" s="803"/>
      <c r="L162" s="803"/>
      <c r="M162" s="803"/>
      <c r="N162" s="803"/>
      <c r="O162" s="155"/>
      <c r="P162" s="803">
        <f>J162+1</f>
        <v>2022</v>
      </c>
      <c r="Q162" s="803"/>
      <c r="R162" s="803"/>
      <c r="S162" s="803"/>
      <c r="T162" s="803"/>
      <c r="U162" s="155"/>
      <c r="V162" s="803">
        <f>P162+1</f>
        <v>2023</v>
      </c>
      <c r="W162" s="803"/>
      <c r="X162" s="803"/>
      <c r="Y162" s="803"/>
      <c r="Z162" s="803"/>
      <c r="AA162" s="155"/>
      <c r="AB162" s="803">
        <f>V162+1</f>
        <v>2024</v>
      </c>
      <c r="AC162" s="803"/>
      <c r="AD162" s="803"/>
      <c r="AE162" s="803"/>
      <c r="AF162" s="803"/>
      <c r="AG162" s="155"/>
      <c r="AH162" s="802">
        <f>AB162+1</f>
        <v>2025</v>
      </c>
      <c r="AI162" s="802"/>
      <c r="AJ162" s="802"/>
      <c r="AK162" s="802"/>
      <c r="AL162" s="802"/>
      <c r="AM162" s="155"/>
      <c r="AN162" s="802">
        <f>AH162+1</f>
        <v>2026</v>
      </c>
      <c r="AO162" s="802"/>
      <c r="AP162" s="802"/>
      <c r="AQ162" s="802"/>
      <c r="AR162" s="802"/>
      <c r="AS162" s="157"/>
      <c r="AT162" s="152">
        <f>AN162+1</f>
        <v>2027</v>
      </c>
      <c r="AU162" s="153"/>
      <c r="AV162" s="152">
        <f>+AT162+1</f>
        <v>2028</v>
      </c>
      <c r="AW162" s="153"/>
      <c r="AX162" s="152">
        <f>+AV162+1</f>
        <v>2029</v>
      </c>
    </row>
    <row r="163" spans="1:50" s="42" customFormat="1" ht="15" customHeight="1" x14ac:dyDescent="0.3">
      <c r="B163" s="150"/>
      <c r="C163" s="19"/>
      <c r="D163" s="154" t="s">
        <v>219</v>
      </c>
      <c r="E163" s="154" t="s">
        <v>220</v>
      </c>
      <c r="F163" s="154" t="s">
        <v>221</v>
      </c>
      <c r="G163" s="154" t="s">
        <v>222</v>
      </c>
      <c r="H163" s="154" t="s">
        <v>223</v>
      </c>
      <c r="I163" s="19"/>
      <c r="J163" s="154" t="s">
        <v>219</v>
      </c>
      <c r="K163" s="154" t="s">
        <v>220</v>
      </c>
      <c r="L163" s="154" t="s">
        <v>221</v>
      </c>
      <c r="M163" s="154" t="s">
        <v>222</v>
      </c>
      <c r="N163" s="154" t="s">
        <v>223</v>
      </c>
      <c r="O163" s="151"/>
      <c r="P163" s="154" t="s">
        <v>219</v>
      </c>
      <c r="Q163" s="154" t="s">
        <v>220</v>
      </c>
      <c r="R163" s="154" t="s">
        <v>221</v>
      </c>
      <c r="S163" s="154" t="s">
        <v>222</v>
      </c>
      <c r="T163" s="154" t="s">
        <v>223</v>
      </c>
      <c r="U163" s="151"/>
      <c r="V163" s="154" t="s">
        <v>219</v>
      </c>
      <c r="W163" s="154" t="s">
        <v>220</v>
      </c>
      <c r="X163" s="154" t="s">
        <v>221</v>
      </c>
      <c r="Y163" s="154" t="s">
        <v>222</v>
      </c>
      <c r="Z163" s="154" t="s">
        <v>223</v>
      </c>
      <c r="AA163" s="151"/>
      <c r="AB163" s="154" t="s">
        <v>219</v>
      </c>
      <c r="AC163" s="154" t="s">
        <v>220</v>
      </c>
      <c r="AD163" s="154" t="s">
        <v>221</v>
      </c>
      <c r="AE163" s="154" t="s">
        <v>222</v>
      </c>
      <c r="AF163" s="154" t="s">
        <v>223</v>
      </c>
      <c r="AG163" s="151"/>
      <c r="AH163" s="154" t="s">
        <v>219</v>
      </c>
      <c r="AI163" s="154" t="s">
        <v>220</v>
      </c>
      <c r="AJ163" s="154" t="s">
        <v>221</v>
      </c>
      <c r="AK163" s="154" t="s">
        <v>222</v>
      </c>
      <c r="AL163" s="154" t="s">
        <v>223</v>
      </c>
      <c r="AM163" s="151"/>
      <c r="AN163" s="154" t="s">
        <v>219</v>
      </c>
      <c r="AO163" s="154" t="s">
        <v>220</v>
      </c>
      <c r="AP163" s="154" t="s">
        <v>221</v>
      </c>
      <c r="AQ163" s="154" t="s">
        <v>222</v>
      </c>
      <c r="AR163" s="154" t="s">
        <v>223</v>
      </c>
      <c r="AS163" s="151"/>
      <c r="AT163" s="154" t="s">
        <v>223</v>
      </c>
      <c r="AU163" s="151"/>
      <c r="AV163" s="154" t="s">
        <v>223</v>
      </c>
      <c r="AW163" s="151"/>
      <c r="AX163" s="154" t="s">
        <v>223</v>
      </c>
    </row>
    <row r="164" spans="1:50" s="42" customFormat="1" ht="4.05" customHeight="1" x14ac:dyDescent="0.3">
      <c r="A164" s="44"/>
      <c r="B164" s="162"/>
      <c r="C164" s="36"/>
      <c r="D164" s="163"/>
      <c r="E164" s="163"/>
      <c r="F164" s="163"/>
      <c r="G164" s="163"/>
      <c r="H164" s="163"/>
      <c r="I164" s="36"/>
      <c r="J164" s="163"/>
      <c r="K164" s="163"/>
      <c r="L164" s="163"/>
      <c r="M164" s="163"/>
      <c r="N164" s="163"/>
      <c r="O164" s="164"/>
      <c r="P164" s="163"/>
      <c r="Q164" s="163"/>
      <c r="R164" s="163"/>
      <c r="S164" s="163"/>
      <c r="T164" s="163"/>
      <c r="U164" s="164"/>
      <c r="V164" s="163"/>
      <c r="W164" s="163"/>
      <c r="X164" s="163"/>
      <c r="Y164" s="163"/>
      <c r="Z164" s="163"/>
      <c r="AA164" s="164"/>
      <c r="AB164" s="163"/>
      <c r="AC164" s="163"/>
      <c r="AD164" s="163"/>
      <c r="AE164" s="163"/>
      <c r="AF164" s="163"/>
      <c r="AG164" s="164"/>
      <c r="AH164" s="163"/>
      <c r="AI164" s="163"/>
      <c r="AJ164" s="163"/>
      <c r="AK164" s="163"/>
      <c r="AL164" s="165"/>
      <c r="AM164" s="166"/>
      <c r="AN164" s="165"/>
      <c r="AO164" s="165"/>
      <c r="AP164" s="165"/>
      <c r="AQ164" s="165"/>
      <c r="AR164" s="165"/>
      <c r="AS164" s="166"/>
      <c r="AT164" s="165"/>
      <c r="AU164" s="166"/>
      <c r="AV164" s="165"/>
      <c r="AW164" s="166"/>
      <c r="AX164" s="165"/>
    </row>
    <row r="165" spans="1:50" s="42" customFormat="1" ht="4.05" customHeight="1" x14ac:dyDescent="0.3">
      <c r="A165" s="44"/>
      <c r="B165" s="158"/>
      <c r="C165" s="20"/>
      <c r="D165" s="159"/>
      <c r="E165" s="159"/>
      <c r="F165" s="159"/>
      <c r="G165" s="159"/>
      <c r="H165" s="159"/>
      <c r="I165" s="20"/>
      <c r="J165" s="159"/>
      <c r="K165" s="159"/>
      <c r="L165" s="159"/>
      <c r="M165" s="159"/>
      <c r="N165" s="159"/>
      <c r="O165" s="160"/>
      <c r="P165" s="159"/>
      <c r="Q165" s="159"/>
      <c r="R165" s="159"/>
      <c r="S165" s="159"/>
      <c r="T165" s="159"/>
      <c r="U165" s="160"/>
      <c r="V165" s="159"/>
      <c r="W165" s="159"/>
      <c r="X165" s="159"/>
      <c r="Y165" s="159"/>
      <c r="Z165" s="159"/>
      <c r="AA165" s="160"/>
      <c r="AB165" s="159"/>
      <c r="AC165" s="159"/>
      <c r="AD165" s="159"/>
      <c r="AE165" s="159"/>
      <c r="AF165" s="159"/>
      <c r="AG165" s="190"/>
      <c r="AH165" s="159"/>
      <c r="AI165" s="159"/>
      <c r="AJ165" s="159"/>
      <c r="AK165" s="159"/>
      <c r="AL165" s="161"/>
      <c r="AM165" s="35"/>
      <c r="AN165" s="161"/>
      <c r="AO165" s="161"/>
      <c r="AP165" s="161"/>
      <c r="AQ165" s="161"/>
      <c r="AR165" s="161"/>
      <c r="AS165" s="35"/>
      <c r="AT165" s="161"/>
      <c r="AU165" s="35"/>
      <c r="AV165" s="161"/>
      <c r="AW165" s="35"/>
      <c r="AX165" s="161"/>
    </row>
    <row r="166" spans="1:50" s="55" customFormat="1" ht="15" customHeight="1" x14ac:dyDescent="0.3">
      <c r="A166" s="44"/>
      <c r="B166" s="140"/>
      <c r="C166" s="18"/>
      <c r="D166" s="47"/>
      <c r="E166" s="47"/>
      <c r="F166" s="47"/>
      <c r="G166" s="47"/>
      <c r="H166" s="58"/>
      <c r="I166" s="49"/>
      <c r="J166" s="47"/>
      <c r="K166" s="47"/>
      <c r="L166" s="47"/>
      <c r="M166" s="47"/>
      <c r="N166" s="58"/>
      <c r="O166" s="48"/>
      <c r="P166" s="47"/>
      <c r="Q166" s="47"/>
      <c r="R166" s="47"/>
      <c r="S166" s="47"/>
      <c r="T166" s="58"/>
      <c r="U166" s="48"/>
      <c r="V166" s="47"/>
      <c r="W166" s="47"/>
      <c r="X166" s="47"/>
      <c r="Y166" s="47"/>
      <c r="Z166" s="58"/>
      <c r="AA166" s="48"/>
      <c r="AB166" s="47"/>
      <c r="AC166" s="47"/>
      <c r="AD166" s="47"/>
      <c r="AE166" s="47"/>
      <c r="AF166" s="58"/>
      <c r="AG166" s="50"/>
      <c r="AH166" s="47"/>
      <c r="AI166" s="47"/>
      <c r="AJ166" s="51"/>
      <c r="AK166" s="51"/>
      <c r="AL166" s="59"/>
      <c r="AM166" s="54"/>
      <c r="AN166" s="51"/>
      <c r="AO166" s="51"/>
      <c r="AP166" s="51"/>
      <c r="AQ166" s="51"/>
      <c r="AR166" s="59"/>
      <c r="AS166" s="54"/>
      <c r="AT166" s="59"/>
      <c r="AU166" s="54"/>
      <c r="AV166" s="59"/>
      <c r="AX166" s="59"/>
    </row>
    <row r="167" spans="1:50" s="55" customFormat="1" ht="15" customHeight="1" x14ac:dyDescent="0.3">
      <c r="A167" s="45" t="s">
        <v>38</v>
      </c>
      <c r="B167" s="140" t="s">
        <v>702</v>
      </c>
      <c r="C167" s="18"/>
      <c r="D167" s="194"/>
      <c r="E167" s="194"/>
      <c r="F167" s="194"/>
      <c r="G167" s="194"/>
      <c r="H167" s="206"/>
      <c r="I167" s="196"/>
      <c r="J167" s="194"/>
      <c r="K167" s="194"/>
      <c r="L167" s="194"/>
      <c r="M167" s="194"/>
      <c r="N167" s="206"/>
      <c r="O167" s="195"/>
      <c r="P167" s="194"/>
      <c r="Q167" s="194"/>
      <c r="R167" s="194"/>
      <c r="S167" s="194"/>
      <c r="T167" s="206"/>
      <c r="U167" s="195"/>
      <c r="V167" s="194"/>
      <c r="W167" s="194"/>
      <c r="X167" s="194"/>
      <c r="Y167" s="194"/>
      <c r="Z167" s="206"/>
      <c r="AA167" s="195"/>
      <c r="AB167" s="194"/>
      <c r="AC167" s="194"/>
      <c r="AD167" s="194"/>
      <c r="AE167" s="194"/>
      <c r="AF167" s="206"/>
      <c r="AG167" s="197"/>
      <c r="AH167" s="194"/>
      <c r="AI167" s="194"/>
      <c r="AJ167" s="198"/>
      <c r="AK167" s="198"/>
      <c r="AL167" s="208"/>
      <c r="AM167" s="201"/>
      <c r="AN167" s="198"/>
      <c r="AO167" s="198"/>
      <c r="AP167" s="198"/>
      <c r="AQ167" s="198"/>
      <c r="AR167" s="208"/>
      <c r="AS167" s="201"/>
      <c r="AT167" s="208"/>
      <c r="AU167" s="201"/>
      <c r="AV167" s="208"/>
      <c r="AW167" s="232"/>
      <c r="AX167" s="208"/>
    </row>
    <row r="168" spans="1:50" s="55" customFormat="1" ht="15" customHeight="1" thickBot="1" x14ac:dyDescent="0.3">
      <c r="A168" s="84"/>
      <c r="B168" s="143" t="s">
        <v>707</v>
      </c>
      <c r="C168" s="27"/>
      <c r="D168" s="203" t="str">
        <f>IF(ROUND(CF!D25,0)=ROUND(SUM(CF!D15,CF!D17:D19,CF!D21:D24),0),"OK","ERROR")</f>
        <v>ERROR</v>
      </c>
      <c r="E168" s="203" t="str">
        <f>IF(ROUND(CF!E25,0)=ROUND(SUM(CF!E15,CF!E17:E19,CF!E21:E24),0),"OK","ERROR")</f>
        <v>OK</v>
      </c>
      <c r="F168" s="203" t="str">
        <f>IF(ROUND(CF!F25,0)=ROUND(SUM(CF!F15,CF!F17:F19,CF!F21:F24),0),"OK","ERROR")</f>
        <v>ERROR</v>
      </c>
      <c r="G168" s="203" t="str">
        <f>IF(ROUND(CF!G25,0)=ROUND(SUM(CF!G15,CF!G17:G19,CF!G21:G24),0),"OK","ERROR")</f>
        <v>ERROR</v>
      </c>
      <c r="H168" s="223" t="str">
        <f>IF(ROUND(CF!H25,0)=ROUND(SUM(CF!H15,CF!H17:H19,CF!H21:H24),0),"OK","ERROR")</f>
        <v>ERROR</v>
      </c>
      <c r="I168" s="196"/>
      <c r="J168" s="203" t="str">
        <f>IF(ROUND(CF!J25,0)=ROUND(SUM(CF!J15,CF!J17:J19,CF!J21:J24),0),"OK","ERROR")</f>
        <v>ERROR</v>
      </c>
      <c r="K168" s="203" t="str">
        <f>IF(ROUND(CF!K25,0)=ROUND(SUM(CF!K15,CF!K17:K19,CF!K21:K24),0),"OK","ERROR")</f>
        <v>ERROR</v>
      </c>
      <c r="L168" s="203" t="str">
        <f>IF(ROUND(CF!L25,0)=ROUND(SUM(CF!L15,CF!L17:L19,CF!L21:L24),0),"OK","ERROR")</f>
        <v>ERROR</v>
      </c>
      <c r="M168" s="203" t="str">
        <f>IF(ROUND(CF!M25,0)=ROUND(SUM(CF!M15,CF!M17:M19,CF!M21:M24),0),"OK","ERROR")</f>
        <v>ERROR</v>
      </c>
      <c r="N168" s="223" t="str">
        <f>IF(ROUND(CF!N25,0)=ROUND(SUM(CF!N15,CF!N17:N19,CF!N21:N24),0),"OK","ERROR")</f>
        <v>ERROR</v>
      </c>
      <c r="O168" s="196"/>
      <c r="P168" s="203" t="str">
        <f>IF(ROUND(CF!P25,0)=ROUND(SUM(CF!P15,CF!P17:P19,CF!P21:P24),0),"OK","ERROR")</f>
        <v>ERROR</v>
      </c>
      <c r="Q168" s="203" t="str">
        <f>IF(ROUND(CF!Q25,0)=ROUND(SUM(CF!Q15,CF!Q17:Q19,CF!Q21:Q24),0),"OK","ERROR")</f>
        <v>ERROR</v>
      </c>
      <c r="R168" s="203" t="str">
        <f>IF(ROUND(CF!R25,0)=ROUND(SUM(CF!R15,CF!R17:R19,CF!R21:R24),0),"OK","ERROR")</f>
        <v>ERROR</v>
      </c>
      <c r="S168" s="203" t="str">
        <f>IF(ROUND(CF!S25,0)=ROUND(SUM(CF!S15,CF!S17:S19,CF!S21:S24),0),"OK","ERROR")</f>
        <v>ERROR</v>
      </c>
      <c r="T168" s="223" t="str">
        <f>IF(ROUND(CF!T25,0)=ROUND(SUM(CF!T15,CF!T17:T19,CF!T21:T24),0),"OK","ERROR")</f>
        <v>ERROR</v>
      </c>
      <c r="U168" s="196"/>
      <c r="V168" s="203" t="str">
        <f>IF(ROUND(CF!V25,0)=ROUND(SUM(CF!V15,CF!V17:V19,CF!V21:V24),0),"OK","ERROR")</f>
        <v>ERROR</v>
      </c>
      <c r="W168" s="203" t="str">
        <f>IF(ROUND(CF!W25,0)=ROUND(SUM(CF!W15,CF!W17:W19,CF!W21:W24),0),"OK","ERROR")</f>
        <v>ERROR</v>
      </c>
      <c r="X168" s="203" t="str">
        <f>IF(ROUND(CF!X25,0)=ROUND(SUM(CF!X15,CF!X17:X19,CF!X21:X24),0),"OK","ERROR")</f>
        <v>ERROR</v>
      </c>
      <c r="Y168" s="203" t="str">
        <f>IF(ROUND(CF!Y25,0)=ROUND(SUM(CF!Y15,CF!Y17:Y19,CF!Y21:Y24),0),"OK","ERROR")</f>
        <v>ERROR</v>
      </c>
      <c r="Z168" s="223" t="str">
        <f>IF(ROUND(CF!Z25,0)=ROUND(SUM(CF!Z15,CF!Z17:Z19,CF!Z21:Z24),0),"OK","ERROR")</f>
        <v>ERROR</v>
      </c>
      <c r="AA168" s="214"/>
      <c r="AB168" s="203" t="str">
        <f>IF(ROUND(CF!AB25,0)=ROUND(SUM(CF!AB15,CF!AB17:AB19,CF!AB21:AB24),0),"OK","ERROR")</f>
        <v>ERROR</v>
      </c>
      <c r="AC168" s="203" t="str">
        <f>IF(ROUND(CF!AC25,0)=ROUND(SUM(CF!AC15,CF!AC17:AC19,CF!AC21:AC24),0),"OK","ERROR")</f>
        <v>ERROR</v>
      </c>
      <c r="AD168" s="203" t="str">
        <f>IF(ROUND(CF!AD25,0)=ROUND(SUM(CF!AD15,CF!AD17:AD19,CF!AD21:AD24),0),"OK","ERROR")</f>
        <v>ERROR</v>
      </c>
      <c r="AE168" s="203" t="str">
        <f>IF(ROUND(CF!AE25,0)=ROUND(SUM(CF!AE15,CF!AE17:AE19,CF!AE21:AE24),0),"OK","ERROR")</f>
        <v>ERROR</v>
      </c>
      <c r="AF168" s="223" t="str">
        <f>IF(ROUND(CF!AF25,0)=ROUND(SUM(CF!AF15,CF!AF17:AF19,CF!AF21:AF24),0),"OK","ERROR")</f>
        <v>ERROR</v>
      </c>
      <c r="AG168" s="215"/>
      <c r="AH168" s="203" t="str">
        <f>IF(ROUND(CF!AH25,0)=ROUND(SUM(CF!AH15,CF!AH17:AH19,CF!AH21:AH24),0),"OK","ERROR")</f>
        <v>ERROR</v>
      </c>
      <c r="AI168" s="203" t="str">
        <f>IF(ROUND(CF!AI25,0)=ROUND(SUM(CF!AI15,CF!AI17:AI19,CF!AI21:AI24),0),"OK","ERROR")</f>
        <v>ERROR</v>
      </c>
      <c r="AJ168" s="203" t="str">
        <f>IF(ROUND(CF!AJ24,0)=ROUND(SUM(CF!AJ15,CF!AJ17:AJ19,CF!AJ21:AJ24),0),"OK","ERROR")</f>
        <v>ERROR</v>
      </c>
      <c r="AK168" s="203" t="str">
        <f>IF(ROUND(CF!AK25,0)=ROUND(SUM(CF!AK15,CF!AK17:AK19,CF!AK21:AK24),0),"OK","ERROR")</f>
        <v>ERROR</v>
      </c>
      <c r="AL168" s="223" t="str">
        <f>IF(ROUND(CF!AL25,0)=ROUND(SUM(CF!AL15,CF!AL17:AL19,CF!AL21:AL24),0),"OK","ERROR")</f>
        <v>ERROR</v>
      </c>
      <c r="AM168" s="216"/>
      <c r="AN168" s="203" t="str">
        <f>IF(ROUND(CF!AN25,0)=ROUND(SUM(CF!AN15,CF!AN17:AN19,CF!AN21:AN24),0),"OK","ERROR")</f>
        <v>ERROR</v>
      </c>
      <c r="AO168" s="203" t="str">
        <f>IF(ROUND(CF!AO25,0)=ROUND(SUM(CF!AO15,CF!AO17:AO19,CF!AO21:AO24),0),"OK","ERROR")</f>
        <v>ERROR</v>
      </c>
      <c r="AP168" s="203" t="str">
        <f>IF(ROUND(CF!AP25,0)=ROUND(SUM(CF!AP15,CF!AP17:AP19,CF!AP21:AP24),0),"OK","ERROR")</f>
        <v>ERROR</v>
      </c>
      <c r="AQ168" s="203" t="str">
        <f>IF(ROUND(CF!AQ25,0)=ROUND(SUM(CF!AQ15,CF!AQ17:AQ19,CF!AQ21:AQ24),0),"OK","ERROR")</f>
        <v>ERROR</v>
      </c>
      <c r="AR168" s="223" t="str">
        <f>IF(ROUND(CF!AR25,0)=ROUND(SUM(CF!AR15,CF!AR17:AR19,CF!AR21:AR24),0),"OK","ERROR")</f>
        <v>ERROR</v>
      </c>
      <c r="AS168" s="216"/>
      <c r="AT168" s="223" t="str">
        <f>IF(ROUND(CF!AT25,0)=ROUND(SUM(CF!AT15,CF!AT17:AT19,CF!AT21:AT24),0),"OK","ERROR")</f>
        <v>OK</v>
      </c>
      <c r="AU168" s="216"/>
      <c r="AV168" s="223" t="str">
        <f>IF(ROUND(CF!AV25,0)=ROUND(SUM(CF!AV15,CF!AV17:AV19,CF!AV21:AV24),0),"OK","ERROR")</f>
        <v>OK</v>
      </c>
      <c r="AW168" s="232"/>
      <c r="AX168" s="223" t="str">
        <f>IF(ROUND(CF!AX25,0)=ROUND(SUM(CF!AX15,CF!AX17:AX19,CF!AX21:AX24),0),"OK","ERROR")</f>
        <v>OK</v>
      </c>
    </row>
    <row r="169" spans="1:50" s="55" customFormat="1" ht="15" customHeight="1" thickTop="1" x14ac:dyDescent="0.3">
      <c r="A169" s="44"/>
      <c r="B169" s="140"/>
      <c r="C169" s="18"/>
      <c r="D169" s="194"/>
      <c r="E169" s="194"/>
      <c r="F169" s="194"/>
      <c r="G169" s="194"/>
      <c r="H169" s="206"/>
      <c r="I169" s="196"/>
      <c r="J169" s="194"/>
      <c r="K169" s="194"/>
      <c r="L169" s="194"/>
      <c r="M169" s="194"/>
      <c r="N169" s="206"/>
      <c r="O169" s="196"/>
      <c r="P169" s="194"/>
      <c r="Q169" s="194"/>
      <c r="R169" s="194"/>
      <c r="S169" s="194"/>
      <c r="T169" s="206"/>
      <c r="U169" s="196"/>
      <c r="V169" s="194"/>
      <c r="W169" s="194"/>
      <c r="X169" s="194"/>
      <c r="Y169" s="194"/>
      <c r="Z169" s="206"/>
      <c r="AA169" s="199"/>
      <c r="AB169" s="194"/>
      <c r="AC169" s="194"/>
      <c r="AD169" s="194"/>
      <c r="AE169" s="194"/>
      <c r="AF169" s="206"/>
      <c r="AG169" s="197"/>
      <c r="AH169" s="194"/>
      <c r="AI169" s="194"/>
      <c r="AJ169" s="194"/>
      <c r="AK169" s="194"/>
      <c r="AL169" s="206"/>
      <c r="AM169" s="211"/>
      <c r="AN169" s="194"/>
      <c r="AO169" s="194"/>
      <c r="AP169" s="194"/>
      <c r="AQ169" s="194"/>
      <c r="AR169" s="206"/>
      <c r="AS169" s="211"/>
      <c r="AT169" s="206"/>
      <c r="AU169" s="211"/>
      <c r="AV169" s="206"/>
      <c r="AW169" s="232"/>
      <c r="AX169" s="206"/>
    </row>
    <row r="170" spans="1:50" s="55" customFormat="1" ht="15" customHeight="1" x14ac:dyDescent="0.25">
      <c r="A170" s="45" t="s">
        <v>38</v>
      </c>
      <c r="B170" s="144" t="s">
        <v>708</v>
      </c>
      <c r="C170" s="112"/>
      <c r="D170" s="194"/>
      <c r="E170" s="194"/>
      <c r="F170" s="194"/>
      <c r="G170" s="194"/>
      <c r="H170" s="206"/>
      <c r="I170" s="196"/>
      <c r="J170" s="194"/>
      <c r="K170" s="194"/>
      <c r="L170" s="194"/>
      <c r="M170" s="194"/>
      <c r="N170" s="206"/>
      <c r="O170" s="196"/>
      <c r="P170" s="194"/>
      <c r="Q170" s="194"/>
      <c r="R170" s="194"/>
      <c r="S170" s="194"/>
      <c r="T170" s="206"/>
      <c r="U170" s="196"/>
      <c r="V170" s="194"/>
      <c r="W170" s="194"/>
      <c r="X170" s="194"/>
      <c r="Y170" s="194"/>
      <c r="Z170" s="206"/>
      <c r="AA170" s="214"/>
      <c r="AB170" s="194"/>
      <c r="AC170" s="194"/>
      <c r="AD170" s="194"/>
      <c r="AE170" s="194"/>
      <c r="AF170" s="206"/>
      <c r="AG170" s="215"/>
      <c r="AH170" s="194"/>
      <c r="AI170" s="194"/>
      <c r="AJ170" s="194"/>
      <c r="AK170" s="194"/>
      <c r="AL170" s="206"/>
      <c r="AM170" s="216"/>
      <c r="AN170" s="194"/>
      <c r="AO170" s="194"/>
      <c r="AP170" s="194"/>
      <c r="AQ170" s="194"/>
      <c r="AR170" s="206"/>
      <c r="AS170" s="216"/>
      <c r="AT170" s="206"/>
      <c r="AU170" s="216"/>
      <c r="AV170" s="206"/>
      <c r="AW170" s="232"/>
      <c r="AX170" s="206"/>
    </row>
    <row r="171" spans="1:50" s="55" customFormat="1" ht="15" customHeight="1" thickBot="1" x14ac:dyDescent="0.35">
      <c r="A171" s="110"/>
      <c r="B171" s="146" t="s">
        <v>717</v>
      </c>
      <c r="C171" s="18"/>
      <c r="D171" s="203" t="str">
        <f>IF(ROUND(CF!D36,0)=ROUND(SUM(CF!D28:D35),0),"OK","ERROR")</f>
        <v>OK</v>
      </c>
      <c r="E171" s="203" t="str">
        <f>IF(ROUND(CF!E36,0)=ROUND(SUM(CF!E28:E35),0),"OK","ERROR")</f>
        <v>OK</v>
      </c>
      <c r="F171" s="203" t="str">
        <f>IF(ROUND(CF!F36,0)=ROUND(SUM(CF!F28:F35),0),"OK","ERROR")</f>
        <v>OK</v>
      </c>
      <c r="G171" s="203" t="str">
        <f>IF(ROUND(CF!G36,0)=ROUND(SUM(CF!G28:G35),0),"OK","ERROR")</f>
        <v>OK</v>
      </c>
      <c r="H171" s="223" t="str">
        <f>IF(ROUND(CF!H36,0)=ROUND(SUM(CF!H28:H35),0),"OK","ERROR")</f>
        <v>OK</v>
      </c>
      <c r="I171" s="196"/>
      <c r="J171" s="203" t="str">
        <f>IF(ROUND(CF!J36,0)=ROUND(SUM(CF!J28:J35),0),"OK","ERROR")</f>
        <v>OK</v>
      </c>
      <c r="K171" s="203" t="str">
        <f>IF(ROUND(CF!K36,0)=ROUND(SUM(CF!K28:K35),0),"OK","ERROR")</f>
        <v>OK</v>
      </c>
      <c r="L171" s="203" t="str">
        <f>IF(ROUND(CF!L36,0)=ROUND(SUM(CF!L28:L35),0),"OK","ERROR")</f>
        <v>OK</v>
      </c>
      <c r="M171" s="203" t="str">
        <f>IF(ROUND(CF!M36,0)=ROUND(SUM(CF!M28:M35),0),"OK","ERROR")</f>
        <v>OK</v>
      </c>
      <c r="N171" s="223" t="str">
        <f>IF(ROUND(CF!N36,0)=ROUND(SUM(CF!N28:N35),0),"OK","ERROR")</f>
        <v>OK</v>
      </c>
      <c r="O171" s="196"/>
      <c r="P171" s="203" t="str">
        <f>IF(ROUND(CF!P36,0)=ROUND(SUM(CF!P28:P35),0),"OK","ERROR")</f>
        <v>OK</v>
      </c>
      <c r="Q171" s="203" t="str">
        <f>IF(ROUND(CF!Q36,0)=ROUND(SUM(CF!Q28:Q35),0),"OK","ERROR")</f>
        <v>OK</v>
      </c>
      <c r="R171" s="203" t="str">
        <f>IF(ROUND(CF!R36,0)=ROUND(SUM(CF!R28:R35),0),"OK","ERROR")</f>
        <v>OK</v>
      </c>
      <c r="S171" s="203" t="str">
        <f>IF(ROUND(CF!S36,0)=ROUND(SUM(CF!S28:S35),0),"OK","ERROR")</f>
        <v>OK</v>
      </c>
      <c r="T171" s="223" t="str">
        <f>IF(ROUND(CF!T36,0)=ROUND(SUM(CF!T28:T35),0),"OK","ERROR")</f>
        <v>OK</v>
      </c>
      <c r="U171" s="196"/>
      <c r="V171" s="203" t="str">
        <f>IF(ROUND(CF!V36,0)=ROUND(SUM(CF!V28:V35),0),"OK","ERROR")</f>
        <v>OK</v>
      </c>
      <c r="W171" s="203" t="str">
        <f>IF(ROUND(CF!W36,0)=ROUND(SUM(CF!W28:W35),0),"OK","ERROR")</f>
        <v>OK</v>
      </c>
      <c r="X171" s="203" t="str">
        <f>IF(ROUND(CF!X36,0)=ROUND(SUM(CF!X28:X35),0),"OK","ERROR")</f>
        <v>OK</v>
      </c>
      <c r="Y171" s="203" t="str">
        <f>IF(ROUND(CF!Y36,0)=ROUND(SUM(CF!Y28:Y35),0),"OK","ERROR")</f>
        <v>OK</v>
      </c>
      <c r="Z171" s="223" t="str">
        <f>IF(ROUND(CF!Z36,0)=ROUND(SUM(CF!Z28:Z35),0),"OK","ERROR")</f>
        <v>OK</v>
      </c>
      <c r="AA171" s="199"/>
      <c r="AB171" s="203" t="str">
        <f>IF(ROUND(CF!AB36,0)=ROUND(SUM(CF!AB28:AB35),0),"OK","ERROR")</f>
        <v>OK</v>
      </c>
      <c r="AC171" s="203" t="str">
        <f>IF(ROUND(CF!AC36,0)=ROUND(SUM(CF!AC28:AC35),0),"OK","ERROR")</f>
        <v>OK</v>
      </c>
      <c r="AD171" s="203" t="str">
        <f>IF(ROUND(CF!AD36,0)=ROUND(SUM(CF!AD28:AD35),0),"OK","ERROR")</f>
        <v>OK</v>
      </c>
      <c r="AE171" s="203" t="str">
        <f>IF(ROUND(CF!AE36,0)=ROUND(SUM(CF!AE28:AE35),0),"OK","ERROR")</f>
        <v>OK</v>
      </c>
      <c r="AF171" s="223" t="str">
        <f>IF(ROUND(CF!AF36,0)=ROUND(SUM(CF!AF28:AF35),0),"OK","ERROR")</f>
        <v>ERROR</v>
      </c>
      <c r="AG171" s="197"/>
      <c r="AH171" s="203" t="str">
        <f>IF(ROUND(CF!AH36,0)=ROUND(SUM(CF!AH28:AH35),0),"OK","ERROR")</f>
        <v>OK</v>
      </c>
      <c r="AI171" s="203" t="str">
        <f>IF(ROUND(CF!AI36,0)=ROUND(SUM(CF!AI28:AI35),0),"OK","ERROR")</f>
        <v>OK</v>
      </c>
      <c r="AJ171" s="203" t="str">
        <f>IF(ROUND(CF!AJ36,0)=ROUND(SUM(CF!AJ28:AJ35),0),"OK","ERROR")</f>
        <v>ERROR</v>
      </c>
      <c r="AK171" s="203" t="str">
        <f>IF(ROUND(CF!AK36,0)=ROUND(SUM(CF!AK28:AK35),0),"OK","ERROR")</f>
        <v>ERROR</v>
      </c>
      <c r="AL171" s="223" t="str">
        <f>IF(ROUND(CF!AL36,0)=ROUND(SUM(CF!AL28:AL35),0),"OK","ERROR")</f>
        <v>ERROR</v>
      </c>
      <c r="AM171" s="201"/>
      <c r="AN171" s="203" t="str">
        <f>IF(ROUND(CF!AN36,0)=ROUND(SUM(CF!AN28:AN35),0),"OK","ERROR")</f>
        <v>ERROR</v>
      </c>
      <c r="AO171" s="203" t="str">
        <f>IF(ROUND(CF!AO36,0)=ROUND(SUM(CF!AO28:AO35),0),"OK","ERROR")</f>
        <v>ERROR</v>
      </c>
      <c r="AP171" s="203" t="str">
        <f>IF(ROUND(CF!AP36,0)=ROUND(SUM(CF!AP28:AP35),0),"OK","ERROR")</f>
        <v>ERROR</v>
      </c>
      <c r="AQ171" s="203" t="str">
        <f>IF(ROUND(CF!AQ36,0)=ROUND(SUM(CF!AQ28:AQ35),0),"OK","ERROR")</f>
        <v>ERROR</v>
      </c>
      <c r="AR171" s="223" t="str">
        <f>IF(ROUND(CF!AR36,0)=ROUND(SUM(CF!AR28:AR35),0),"OK","ERROR")</f>
        <v>ERROR</v>
      </c>
      <c r="AS171" s="201"/>
      <c r="AT171" s="223" t="str">
        <f>IF(ROUND(CF!AT36,0)=ROUND(SUM(CF!AT28:AT35),0),"OK","ERROR")</f>
        <v>ERROR</v>
      </c>
      <c r="AU171" s="201"/>
      <c r="AV171" s="223" t="str">
        <f>IF(ROUND(CF!AV36,0)=ROUND(SUM(CF!AV28:AV35),0),"OK","ERROR")</f>
        <v>ERROR</v>
      </c>
      <c r="AW171" s="232"/>
      <c r="AX171" s="223" t="str">
        <f>IF(ROUND(CF!AX36,0)=ROUND(SUM(CF!AX28:AX35),0),"OK","ERROR")</f>
        <v>ERROR</v>
      </c>
    </row>
    <row r="172" spans="1:50" s="55" customFormat="1" ht="15" customHeight="1" thickTop="1" x14ac:dyDescent="0.3">
      <c r="A172" s="44"/>
      <c r="B172" s="140"/>
      <c r="C172" s="112"/>
      <c r="D172" s="194"/>
      <c r="E172" s="194"/>
      <c r="F172" s="194"/>
      <c r="G172" s="194"/>
      <c r="H172" s="206"/>
      <c r="I172" s="196"/>
      <c r="J172" s="194"/>
      <c r="K172" s="194"/>
      <c r="L172" s="194"/>
      <c r="M172" s="194"/>
      <c r="N172" s="206"/>
      <c r="O172" s="196"/>
      <c r="P172" s="194"/>
      <c r="Q172" s="194"/>
      <c r="R172" s="194"/>
      <c r="S172" s="194"/>
      <c r="T172" s="206"/>
      <c r="U172" s="196"/>
      <c r="V172" s="194"/>
      <c r="W172" s="194"/>
      <c r="X172" s="194"/>
      <c r="Y172" s="194"/>
      <c r="Z172" s="206"/>
      <c r="AA172" s="218"/>
      <c r="AB172" s="194"/>
      <c r="AC172" s="194"/>
      <c r="AD172" s="194"/>
      <c r="AE172" s="194"/>
      <c r="AF172" s="206"/>
      <c r="AG172" s="215"/>
      <c r="AH172" s="194"/>
      <c r="AI172" s="194"/>
      <c r="AJ172" s="194"/>
      <c r="AK172" s="194"/>
      <c r="AL172" s="206"/>
      <c r="AM172" s="216"/>
      <c r="AN172" s="194"/>
      <c r="AO172" s="194"/>
      <c r="AP172" s="194"/>
      <c r="AQ172" s="194"/>
      <c r="AR172" s="206"/>
      <c r="AS172" s="216"/>
      <c r="AT172" s="206"/>
      <c r="AU172" s="216"/>
      <c r="AV172" s="206"/>
      <c r="AW172" s="232"/>
      <c r="AX172" s="206"/>
    </row>
    <row r="173" spans="1:50" s="55" customFormat="1" ht="15" customHeight="1" x14ac:dyDescent="0.3">
      <c r="A173" s="45" t="s">
        <v>38</v>
      </c>
      <c r="B173" s="144" t="s">
        <v>718</v>
      </c>
      <c r="C173" s="28"/>
      <c r="D173" s="194"/>
      <c r="E173" s="194"/>
      <c r="F173" s="194"/>
      <c r="G173" s="194"/>
      <c r="H173" s="206"/>
      <c r="I173" s="196"/>
      <c r="J173" s="194"/>
      <c r="K173" s="194"/>
      <c r="L173" s="194"/>
      <c r="M173" s="194"/>
      <c r="N173" s="206"/>
      <c r="O173" s="196"/>
      <c r="P173" s="194"/>
      <c r="Q173" s="194"/>
      <c r="R173" s="194"/>
      <c r="S173" s="194"/>
      <c r="T173" s="206"/>
      <c r="U173" s="196"/>
      <c r="V173" s="194"/>
      <c r="W173" s="194"/>
      <c r="X173" s="194"/>
      <c r="Y173" s="194"/>
      <c r="Z173" s="206"/>
      <c r="AA173" s="199"/>
      <c r="AB173" s="194"/>
      <c r="AC173" s="194"/>
      <c r="AD173" s="194"/>
      <c r="AE173" s="194"/>
      <c r="AF173" s="206"/>
      <c r="AG173" s="197"/>
      <c r="AH173" s="194"/>
      <c r="AI173" s="194"/>
      <c r="AJ173" s="194"/>
      <c r="AK173" s="194"/>
      <c r="AL173" s="206"/>
      <c r="AM173" s="201"/>
      <c r="AN173" s="194"/>
      <c r="AO173" s="194"/>
      <c r="AP173" s="194"/>
      <c r="AQ173" s="194"/>
      <c r="AR173" s="206"/>
      <c r="AS173" s="201"/>
      <c r="AT173" s="206"/>
      <c r="AU173" s="201"/>
      <c r="AV173" s="206"/>
      <c r="AW173" s="232"/>
      <c r="AX173" s="206"/>
    </row>
    <row r="174" spans="1:50" s="55" customFormat="1" ht="15" customHeight="1" thickBot="1" x14ac:dyDescent="0.35">
      <c r="A174" s="110"/>
      <c r="B174" s="146" t="s">
        <v>725</v>
      </c>
      <c r="C174" s="18"/>
      <c r="D174" s="203" t="str">
        <f>IF(ROUND(CF!D45,0)=ROUND(SUM(CF!D39:D44),0),"OK","ERROR")</f>
        <v>OK</v>
      </c>
      <c r="E174" s="203" t="str">
        <f>IF(ROUND(CF!E45,0)=ROUND(SUM(CF!E39:E44),0),"OK","ERROR")</f>
        <v>OK</v>
      </c>
      <c r="F174" s="203" t="str">
        <f>IF(ROUND(CF!F45,0)=ROUND(SUM(CF!F39:F44),0),"OK","ERROR")</f>
        <v>OK</v>
      </c>
      <c r="G174" s="203" t="str">
        <f>IF(ROUND(CF!G45,0)=ROUND(SUM(CF!G39:G44),0),"OK","ERROR")</f>
        <v>OK</v>
      </c>
      <c r="H174" s="223" t="str">
        <f>IF(ROUND(CF!H45,0)=ROUND(SUM(CF!H39:H44),0),"OK","ERROR")</f>
        <v>OK</v>
      </c>
      <c r="I174" s="196"/>
      <c r="J174" s="203" t="str">
        <f>IF(ROUND(CF!J45,0)=ROUND(SUM(CF!J39:J44),0),"OK","ERROR")</f>
        <v>OK</v>
      </c>
      <c r="K174" s="203" t="str">
        <f>IF(ROUND(CF!K45,0)=ROUND(SUM(CF!K39:K44),0),"OK","ERROR")</f>
        <v>OK</v>
      </c>
      <c r="L174" s="203" t="str">
        <f>IF(ROUND(CF!L45,0)=ROUND(SUM(CF!L39:L44),0),"OK","ERROR")</f>
        <v>OK</v>
      </c>
      <c r="M174" s="203" t="str">
        <f>IF(ROUND(CF!M45,0)=ROUND(SUM(CF!M39:M44),0),"OK","ERROR")</f>
        <v>OK</v>
      </c>
      <c r="N174" s="223" t="str">
        <f>IF(ROUND(CF!N45,0)=ROUND(SUM(CF!N39:N44),0),"OK","ERROR")</f>
        <v>OK</v>
      </c>
      <c r="O174" s="196"/>
      <c r="P174" s="203" t="str">
        <f>IF(ROUND(CF!P45,0)=ROUND(SUM(CF!P39:P44),0),"OK","ERROR")</f>
        <v>OK</v>
      </c>
      <c r="Q174" s="203" t="str">
        <f>IF(ROUND(CF!Q45,0)=ROUND(SUM(CF!Q39:Q44),0),"OK","ERROR")</f>
        <v>OK</v>
      </c>
      <c r="R174" s="203" t="str">
        <f>IF(ROUND(CF!R45,0)=ROUND(SUM(CF!R39:R44),0),"OK","ERROR")</f>
        <v>OK</v>
      </c>
      <c r="S174" s="203" t="str">
        <f>IF(ROUND(CF!S45,0)=ROUND(SUM(CF!S39:S44),0),"OK","ERROR")</f>
        <v>OK</v>
      </c>
      <c r="T174" s="223" t="str">
        <f>IF(ROUND(CF!T45,0)=ROUND(SUM(CF!T39:T44),0),"OK","ERROR")</f>
        <v>OK</v>
      </c>
      <c r="U174" s="196"/>
      <c r="V174" s="203" t="str">
        <f>IF(ROUND(CF!V45,0)=ROUND(SUM(CF!V39:V44),0),"OK","ERROR")</f>
        <v>OK</v>
      </c>
      <c r="W174" s="203" t="str">
        <f>IF(ROUND(CF!W45,0)=ROUND(SUM(CF!W39:W44),0),"OK","ERROR")</f>
        <v>OK</v>
      </c>
      <c r="X174" s="203" t="str">
        <f>IF(ROUND(CF!X45,0)=ROUND(SUM(CF!X39:X44),0),"OK","ERROR")</f>
        <v>OK</v>
      </c>
      <c r="Y174" s="203" t="str">
        <f>IF(ROUND(CF!Y45,0)=ROUND(SUM(CF!Y39:Y44),0),"OK","ERROR")</f>
        <v>OK</v>
      </c>
      <c r="Z174" s="223" t="str">
        <f>IF(ROUND(CF!Z45,0)=ROUND(SUM(CF!Z39:Z44),0),"OK","ERROR")</f>
        <v>OK</v>
      </c>
      <c r="AA174" s="196"/>
      <c r="AB174" s="203" t="str">
        <f>IF(ROUND(CF!AB45,0)=ROUND(SUM(CF!AB39:AB44),0),"OK","ERROR")</f>
        <v>OK</v>
      </c>
      <c r="AC174" s="203" t="str">
        <f>IF(ROUND(CF!AC45,0)=ROUND(SUM(CF!AC39:AC44),0),"OK","ERROR")</f>
        <v>OK</v>
      </c>
      <c r="AD174" s="203" t="str">
        <f>IF(ROUND(CF!AD45,0)=ROUND(SUM(CF!AD39:AD44),0),"OK","ERROR")</f>
        <v>OK</v>
      </c>
      <c r="AE174" s="203" t="str">
        <f>IF(ROUND(CF!AE45,0)=ROUND(SUM(CF!AE39:AE44),0),"OK","ERROR")</f>
        <v>OK</v>
      </c>
      <c r="AF174" s="223" t="str">
        <f>IF(ROUND(CF!AF45,0)=ROUND(SUM(CF!AF39:AF44),0),"OK","ERROR")</f>
        <v>OK</v>
      </c>
      <c r="AG174" s="224"/>
      <c r="AH174" s="203" t="str">
        <f>IF(ROUND(CF!AH45,0)=ROUND(SUM(CF!AH39:AH44),0),"OK","ERROR")</f>
        <v>OK</v>
      </c>
      <c r="AI174" s="203" t="str">
        <f>IF(ROUND(CF!AI45,0)=ROUND(SUM(CF!AI39:AI44),0),"OK","ERROR")</f>
        <v>OK</v>
      </c>
      <c r="AJ174" s="203" t="str">
        <f>IF(ROUND(CF!AJ45,0)=ROUND(SUM(CF!AJ39:AJ44),0),"OK","ERROR")</f>
        <v>OK</v>
      </c>
      <c r="AK174" s="203" t="str">
        <f>IF(ROUND(CF!AK45,0)=ROUND(SUM(CF!AK39:AK44),0),"OK","ERROR")</f>
        <v>OK</v>
      </c>
      <c r="AL174" s="223" t="str">
        <f>IF(ROUND(CF!AL45,0)=ROUND(SUM(CF!AL39:AL44),0),"OK","ERROR")</f>
        <v>OK</v>
      </c>
      <c r="AM174" s="225"/>
      <c r="AN174" s="203" t="str">
        <f>IF(ROUND(CF!AN45,0)=ROUND(SUM(CF!AN39:AN44),0),"OK","ERROR")</f>
        <v>OK</v>
      </c>
      <c r="AO174" s="203" t="str">
        <f>IF(ROUND(CF!AO45,0)=ROUND(SUM(CF!AO39:AO44),0),"OK","ERROR")</f>
        <v>OK</v>
      </c>
      <c r="AP174" s="203" t="str">
        <f>IF(ROUND(CF!AP45,0)=ROUND(SUM(CF!AP39:AP44),0),"OK","ERROR")</f>
        <v>OK</v>
      </c>
      <c r="AQ174" s="203" t="str">
        <f>IF(ROUND(CF!AQ45,0)=ROUND(SUM(CF!AQ39:AQ44),0),"OK","ERROR")</f>
        <v>OK</v>
      </c>
      <c r="AR174" s="223" t="str">
        <f>IF(ROUND(CF!AR45,0)=ROUND(SUM(CF!AR39:AR44),0),"OK","ERROR")</f>
        <v>OK</v>
      </c>
      <c r="AS174" s="225"/>
      <c r="AT174" s="223" t="str">
        <f>IF(ROUND(CF!AT45,0)=ROUND(SUM(CF!AT39:AT44),0),"OK","ERROR")</f>
        <v>OK</v>
      </c>
      <c r="AU174" s="225"/>
      <c r="AV174" s="223" t="str">
        <f>IF(ROUND(CF!AV45,0)=ROUND(SUM(CF!AV39:AV44),0),"OK","ERROR")</f>
        <v>OK</v>
      </c>
      <c r="AW174" s="232"/>
      <c r="AX174" s="223" t="str">
        <f>IF(ROUND(CF!AX45,0)=ROUND(SUM(CF!AX39:AX44),0),"OK","ERROR")</f>
        <v>OK</v>
      </c>
    </row>
    <row r="175" spans="1:50" s="55" customFormat="1" ht="15" customHeight="1" thickTop="1" x14ac:dyDescent="0.3">
      <c r="A175" s="110"/>
      <c r="B175" s="10"/>
      <c r="C175" s="112"/>
      <c r="D175" s="194"/>
      <c r="E175" s="194"/>
      <c r="F175" s="194"/>
      <c r="G175" s="194"/>
      <c r="H175" s="206"/>
      <c r="I175" s="196"/>
      <c r="J175" s="194"/>
      <c r="K175" s="194"/>
      <c r="L175" s="194"/>
      <c r="M175" s="194"/>
      <c r="N175" s="206"/>
      <c r="O175" s="196"/>
      <c r="P175" s="194"/>
      <c r="Q175" s="194"/>
      <c r="R175" s="194"/>
      <c r="S175" s="194"/>
      <c r="T175" s="206"/>
      <c r="U175" s="196"/>
      <c r="V175" s="194"/>
      <c r="W175" s="194"/>
      <c r="X175" s="194"/>
      <c r="Y175" s="194"/>
      <c r="Z175" s="206"/>
      <c r="AA175" s="214"/>
      <c r="AB175" s="194"/>
      <c r="AC175" s="194"/>
      <c r="AD175" s="194"/>
      <c r="AE175" s="194"/>
      <c r="AF175" s="206"/>
      <c r="AG175" s="215"/>
      <c r="AH175" s="194"/>
      <c r="AI175" s="194"/>
      <c r="AJ175" s="194"/>
      <c r="AK175" s="194"/>
      <c r="AL175" s="206"/>
      <c r="AM175" s="216"/>
      <c r="AN175" s="194"/>
      <c r="AO175" s="194"/>
      <c r="AP175" s="194"/>
      <c r="AQ175" s="194"/>
      <c r="AR175" s="206"/>
      <c r="AS175" s="216"/>
      <c r="AT175" s="206"/>
      <c r="AU175" s="216"/>
      <c r="AV175" s="206"/>
      <c r="AW175" s="232"/>
      <c r="AX175" s="206"/>
    </row>
    <row r="176" spans="1:50" s="55" customFormat="1" ht="15" customHeight="1" x14ac:dyDescent="0.3">
      <c r="A176" s="45" t="s">
        <v>38</v>
      </c>
      <c r="B176" s="144" t="s">
        <v>727</v>
      </c>
      <c r="C176" s="18"/>
      <c r="D176" s="203" t="str">
        <f>IF(ROUND(CF!D49,0)=ROUND(SUM(CF!D25,CF!D36,CF!D45,CF!D47),0),"OK","ERROR")</f>
        <v>OK</v>
      </c>
      <c r="E176" s="203" t="str">
        <f>IF(ROUND(CF!E49,0)=ROUND(SUM(CF!E25,CF!E36,CF!E45,CF!E47),0),"OK","ERROR")</f>
        <v>OK</v>
      </c>
      <c r="F176" s="203" t="str">
        <f>IF(ROUND(CF!F49,0)=ROUND(SUM(CF!F25,CF!F36,CF!F45,CF!F47),0),"OK","ERROR")</f>
        <v>OK</v>
      </c>
      <c r="G176" s="203" t="str">
        <f>IF(ROUND(CF!G49,0)=ROUND(SUM(CF!G25,CF!G36,CF!G45,CF!G47),0),"OK","ERROR")</f>
        <v>OK</v>
      </c>
      <c r="H176" s="212" t="str">
        <f>IF(ROUND(CF!H49,0)=ROUND(SUM(CF!H25,CF!H36,CF!H45,CF!H47),0),"OK","ERROR")</f>
        <v>OK</v>
      </c>
      <c r="I176" s="196"/>
      <c r="J176" s="203" t="str">
        <f>IF(ROUND(CF!J49,0)=ROUND(SUM(CF!J25,CF!J36,CF!J45,CF!J47),0),"OK","ERROR")</f>
        <v>OK</v>
      </c>
      <c r="K176" s="203" t="str">
        <f>IF(ROUND(CF!K49,0)=ROUND(SUM(CF!K25,CF!K36,CF!K45,CF!K47),0),"OK","ERROR")</f>
        <v>OK</v>
      </c>
      <c r="L176" s="203" t="str">
        <f>IF(ROUND(CF!L49,0)=ROUND(SUM(CF!L25,CF!L36,CF!L45,CF!L47),0),"OK","ERROR")</f>
        <v>OK</v>
      </c>
      <c r="M176" s="203" t="str">
        <f>IF(ROUND(CF!M49,0)=ROUND(SUM(CF!M25,CF!M36,CF!M45,CF!M47),0),"OK","ERROR")</f>
        <v>OK</v>
      </c>
      <c r="N176" s="212" t="str">
        <f>IF(ROUND(CF!N49,0)=ROUND(SUM(CF!N25,CF!N36,CF!N45,CF!N47),0),"OK","ERROR")</f>
        <v>ERROR</v>
      </c>
      <c r="O176" s="196"/>
      <c r="P176" s="203" t="str">
        <f>IF(ROUND(CF!P49,0)=ROUND(SUM(CF!P25,CF!P36,CF!P45,CF!P47),0),"OK","ERROR")</f>
        <v>OK</v>
      </c>
      <c r="Q176" s="203" t="str">
        <f>IF(ROUND(CF!Q49,0)=ROUND(SUM(CF!Q25,CF!Q36,CF!Q45,CF!Q47),0),"OK","ERROR")</f>
        <v>OK</v>
      </c>
      <c r="R176" s="203" t="str">
        <f>IF(ROUND(CF!R49,0)=ROUND(SUM(CF!R25,CF!R36,CF!R45,CF!R47),0),"OK","ERROR")</f>
        <v>OK</v>
      </c>
      <c r="S176" s="203" t="str">
        <f>IF(ROUND(CF!S49,0)=ROUND(SUM(CF!S25,CF!S36,CF!S45,CF!S47),0),"OK","ERROR")</f>
        <v>OK</v>
      </c>
      <c r="T176" s="212" t="str">
        <f>IF(ROUND(CF!T49,0)=ROUND(SUM(CF!T25,CF!T36,CF!T45,CF!T47),0),"OK","ERROR")</f>
        <v>OK</v>
      </c>
      <c r="U176" s="196"/>
      <c r="V176" s="203" t="str">
        <f>IF(ROUND(CF!V49,0)=ROUND(SUM(CF!V25,CF!V36,CF!V45,CF!V47),0),"OK","ERROR")</f>
        <v>OK</v>
      </c>
      <c r="W176" s="203" t="str">
        <f>IF(ROUND(CF!W49,0)=ROUND(SUM(CF!W25,CF!W36,CF!W45,CF!W47),0),"OK","ERROR")</f>
        <v>OK</v>
      </c>
      <c r="X176" s="203" t="str">
        <f>IF(ROUND(CF!X49,0)=ROUND(SUM(CF!X25,CF!X36,CF!X45,CF!X47),0),"OK","ERROR")</f>
        <v>OK</v>
      </c>
      <c r="Y176" s="203" t="str">
        <f>IF(ROUND(CF!Y49,0)=ROUND(SUM(CF!Y25,CF!Y36,CF!Y45,CF!Y47),0),"OK","ERROR")</f>
        <v>OK</v>
      </c>
      <c r="Z176" s="212" t="str">
        <f>IF(ROUND(CF!Z49,0)=ROUND(SUM(CF!Z25,CF!Z36,CF!Z45,CF!Z47),0),"OK","ERROR")</f>
        <v>ERROR</v>
      </c>
      <c r="AA176" s="196"/>
      <c r="AB176" s="203" t="str">
        <f>IF(ROUND(CF!AB49,0)=ROUND(SUM(CF!AB25,CF!AB36,CF!AB45,CF!AB47),0),"OK","ERROR")</f>
        <v>OK</v>
      </c>
      <c r="AC176" s="203" t="str">
        <f>IF(ROUND(CF!AC49,0)=ROUND(SUM(CF!AC25,CF!AC36,CF!AC45,CF!AC47),0),"OK","ERROR")</f>
        <v>OK</v>
      </c>
      <c r="AD176" s="203" t="str">
        <f>IF(ROUND(CF!AD49,0)=ROUND(SUM(CF!AD25,CF!AD36,CF!AD45,CF!AD47),0),"OK","ERROR")</f>
        <v>OK</v>
      </c>
      <c r="AE176" s="203" t="str">
        <f>IF(ROUND(CF!AE49,0)=ROUND(SUM(CF!AE25,CF!AE36,CF!AE45,CF!AE47),0),"OK","ERROR")</f>
        <v>OK</v>
      </c>
      <c r="AF176" s="212" t="str">
        <f>IF(ROUND(CF!AF49,0)=ROUND(SUM(CF!AF25,CF!AF36,CF!AF45,CF!AF47),0),"OK","ERROR")</f>
        <v>OK</v>
      </c>
      <c r="AG176" s="224"/>
      <c r="AH176" s="203" t="str">
        <f>IF(ROUND(CF!AH49,0)=ROUND(SUM(CF!AH25,CF!AH36,CF!AH45,CF!AH47),0),"OK","ERROR")</f>
        <v>OK</v>
      </c>
      <c r="AI176" s="203" t="str">
        <f>IF(ROUND(CF!AI49,0)=ROUND(SUM(CF!AI25,CF!AI36,CF!AI45,CF!AI47),0),"OK","ERROR")</f>
        <v>OK</v>
      </c>
      <c r="AJ176" s="203" t="str">
        <f>IF(ROUND(CF!AJ49,0)=ROUND(SUM(CF!AJ24,CF!AJ36,CF!AJ45,CF!AJ47),0),"OK","ERROR")</f>
        <v>ERROR</v>
      </c>
      <c r="AK176" s="203" t="str">
        <f>IF(ROUND(CF!AK49,0)=ROUND(SUM(CF!AK25,CF!AK36,CF!AK45,CF!AK47),0),"OK","ERROR")</f>
        <v>OK</v>
      </c>
      <c r="AL176" s="212" t="str">
        <f>IF(ROUND(CF!AL49,0)=ROUND(SUM(CF!AL25,CF!AL36,CF!AL45,CF!AL47),0),"OK","ERROR")</f>
        <v>OK</v>
      </c>
      <c r="AM176" s="225"/>
      <c r="AN176" s="203" t="str">
        <f>IF(ROUND(CF!AN49,0)=ROUND(SUM(CF!AN25,CF!AN36,CF!AN45,CF!AN47),0),"OK","ERROR")</f>
        <v>OK</v>
      </c>
      <c r="AO176" s="203" t="str">
        <f>IF(ROUND(CF!AO49,0)=ROUND(SUM(CF!AO25,CF!AO36,CF!AO45,CF!AO47),0),"OK","ERROR")</f>
        <v>OK</v>
      </c>
      <c r="AP176" s="203" t="str">
        <f>IF(ROUND(CF!AP49,0)=ROUND(SUM(CF!AP25,CF!AP36,CF!AP45,CF!AP47),0),"OK","ERROR")</f>
        <v>OK</v>
      </c>
      <c r="AQ176" s="203" t="str">
        <f>IF(ROUND(CF!AQ49,0)=ROUND(SUM(CF!AQ25,CF!AQ36,CF!AQ45,CF!AQ47),0),"OK","ERROR")</f>
        <v>OK</v>
      </c>
      <c r="AR176" s="212" t="str">
        <f>IF(ROUND(CF!AR49,0)=ROUND(SUM(CF!AR25,CF!AR36,CF!AR45,CF!AR47),0),"OK","ERROR")</f>
        <v>OK</v>
      </c>
      <c r="AS176" s="225"/>
      <c r="AT176" s="212" t="str">
        <f>IF(ROUND(CF!AT49,0)=ROUND(SUM(CF!AT25,CF!AT36,CF!AT45,CF!AT47),0),"OK","ERROR")</f>
        <v>OK</v>
      </c>
      <c r="AU176" s="225"/>
      <c r="AV176" s="212" t="str">
        <f>IF(ROUND(CF!AV49,0)=ROUND(SUM(CF!AV25,CF!AV36,CF!AV45,CF!AV47),0),"OK","ERROR")</f>
        <v>OK</v>
      </c>
      <c r="AW176" s="232"/>
      <c r="AX176" s="212" t="str">
        <f>IF(ROUND(CF!AX49,0)=ROUND(SUM(CF!AX25,CF!AX36,CF!AX45,CF!AX47),0),"OK","ERROR")</f>
        <v>OK</v>
      </c>
    </row>
    <row r="177" spans="2:50" s="55" customFormat="1" ht="15" customHeight="1" thickBot="1" x14ac:dyDescent="0.3">
      <c r="B177" s="144" t="s">
        <v>728</v>
      </c>
      <c r="C177" s="112"/>
      <c r="D177" s="194" t="str">
        <f>IF(ROUND(CF!D50,0)=ROUND(SUM(CF!D49,CF!D12),0),"OK","ERROR")</f>
        <v>ERROR</v>
      </c>
      <c r="E177" s="194" t="str">
        <f>IF(ROUND(CF!E50,0)=ROUND(SUM(CF!E49,CF!E12),0),"OK","ERROR")</f>
        <v>ERROR</v>
      </c>
      <c r="F177" s="194" t="str">
        <f>IF(ROUND(CF!F50,0)=ROUND(SUM(CF!F49,CF!F12),0),"OK","ERROR")</f>
        <v>ERROR</v>
      </c>
      <c r="G177" s="194" t="str">
        <f>IF(ROUND(CF!G50,0)=ROUND(SUM(CF!G49,CF!G12),0),"OK","ERROR")</f>
        <v>ERROR</v>
      </c>
      <c r="H177" s="223" t="str">
        <f>IF(ROUND(CF!H50,0)=ROUND(SUM(CF!H49,CF!H12),0),"OK","ERROR")</f>
        <v>ERROR</v>
      </c>
      <c r="I177" s="196"/>
      <c r="J177" s="194" t="str">
        <f>IF(ROUND(CF!J50,0)=ROUND(SUM(CF!J49,CF!J12),0),"OK","ERROR")</f>
        <v>ERROR</v>
      </c>
      <c r="K177" s="194" t="str">
        <f>IF(ROUND(CF!K50,0)=ROUND(SUM(CF!K49,CF!K12),0),"OK","ERROR")</f>
        <v>ERROR</v>
      </c>
      <c r="L177" s="194" t="str">
        <f>IF(ROUND(CF!L50,0)=ROUND(SUM(CF!L49,CF!L12),0),"OK","ERROR")</f>
        <v>ERROR</v>
      </c>
      <c r="M177" s="194" t="str">
        <f>IF(ROUND(CF!M50,0)=ROUND(SUM(CF!M49,CF!M12),0),"OK","ERROR")</f>
        <v>ERROR</v>
      </c>
      <c r="N177" s="223" t="str">
        <f>IF(ROUND(CF!N50,0)=ROUND(SUM(CF!N49,CF!N12),0),"OK","ERROR")</f>
        <v>ERROR</v>
      </c>
      <c r="O177" s="196"/>
      <c r="P177" s="194" t="str">
        <f>IF(ROUND(CF!P50,0)=ROUND(SUM(CF!P49,CF!P12),0),"OK","ERROR")</f>
        <v>ERROR</v>
      </c>
      <c r="Q177" s="194" t="str">
        <f>IF(ROUND(CF!Q50,0)=ROUND(SUM(CF!Q49,CF!Q12),0),"OK","ERROR")</f>
        <v>ERROR</v>
      </c>
      <c r="R177" s="194" t="str">
        <f>IF(ROUND(CF!R50,0)=ROUND(SUM(CF!R49,CF!R12),0),"OK","ERROR")</f>
        <v>ERROR</v>
      </c>
      <c r="S177" s="194" t="str">
        <f>IF(ROUND(CF!S50,0)=ROUND(SUM(CF!S49,CF!S12),0),"OK","ERROR")</f>
        <v>ERROR</v>
      </c>
      <c r="T177" s="223" t="str">
        <f>IF(ROUND(CF!T50,0)=ROUND(SUM(CF!T49,CF!T12),0),"OK","ERROR")</f>
        <v>ERROR</v>
      </c>
      <c r="U177" s="196"/>
      <c r="V177" s="194" t="str">
        <f>IF(ROUND(CF!V50,0)=ROUND(SUM(CF!V49,CF!V12),0),"OK","ERROR")</f>
        <v>ERROR</v>
      </c>
      <c r="W177" s="194" t="str">
        <f>IF(ROUND(CF!W50,0)=ROUND(SUM(CF!W49,CF!W12),0),"OK","ERROR")</f>
        <v>ERROR</v>
      </c>
      <c r="X177" s="194" t="str">
        <f>IF(ROUND(CF!X50,0)=ROUND(SUM(CF!X49,CF!X12),0),"OK","ERROR")</f>
        <v>ERROR</v>
      </c>
      <c r="Y177" s="194" t="str">
        <f>IF(ROUND(CF!Y50,0)=ROUND(SUM(CF!Y49,CF!Y12),0),"OK","ERROR")</f>
        <v>ERROR</v>
      </c>
      <c r="Z177" s="223" t="str">
        <f>IF(ROUND(CF!Z50,0)=ROUND(SUM(CF!Z49,CF!Z12),0),"OK","ERROR")</f>
        <v>ERROR</v>
      </c>
      <c r="AA177" s="196"/>
      <c r="AB177" s="194" t="str">
        <f>IF(ROUND(CF!AB50,0)=ROUND(SUM(CF!AB49,CF!AB12),0),"OK","ERROR")</f>
        <v>ERROR</v>
      </c>
      <c r="AC177" s="194" t="str">
        <f>IF(ROUND(CF!AC50,0)=ROUND(SUM(CF!AC49,CF!AC12),0),"OK","ERROR")</f>
        <v>ERROR</v>
      </c>
      <c r="AD177" s="194" t="str">
        <f>IF(ROUND(CF!AD50,0)=ROUND(SUM(CF!AD49,CF!AD12),0),"OK","ERROR")</f>
        <v>ERROR</v>
      </c>
      <c r="AE177" s="194" t="str">
        <f>IF(ROUND(CF!AE50,0)=ROUND(SUM(CF!AE49,CF!AE12),0),"OK","ERROR")</f>
        <v>ERROR</v>
      </c>
      <c r="AF177" s="223" t="str">
        <f>IF(ROUND(CF!AF50,0)=ROUND(SUM(CF!AF49,CF!AF12),0),"OK","ERROR")</f>
        <v>ERROR</v>
      </c>
      <c r="AG177" s="224"/>
      <c r="AH177" s="194" t="str">
        <f>IF(ROUND(CF!AH50,0)=ROUND(SUM(CF!AH49,CF!AH12),0),"OK","ERROR")</f>
        <v>ERROR</v>
      </c>
      <c r="AI177" s="194" t="str">
        <f>IF(ROUND(CF!AI50,0)=ROUND(SUM(CF!AI49,CF!AI12),0),"OK","ERROR")</f>
        <v>ERROR</v>
      </c>
      <c r="AJ177" s="194" t="str">
        <f>IF(ROUND(CF!AJ50,0)=ROUND(SUM(CF!AJ49,CF!AJ12),0),"OK","ERROR")</f>
        <v>OK</v>
      </c>
      <c r="AK177" s="194" t="str">
        <f>IF(ROUND(CF!AK50,0)=ROUND(SUM(CF!AK49,CF!AK12),0),"OK","ERROR")</f>
        <v>OK</v>
      </c>
      <c r="AL177" s="223" t="str">
        <f>IF(ROUND(CF!AL50,0)=ROUND(SUM(CF!AL49,CF!AL12),0),"OK","ERROR")</f>
        <v>OK</v>
      </c>
      <c r="AM177" s="225"/>
      <c r="AN177" s="194" t="str">
        <f>IF(ROUND(CF!AN50,0)=ROUND(SUM(CF!AN49,CF!AN12),0),"OK","ERROR")</f>
        <v>OK</v>
      </c>
      <c r="AO177" s="194" t="str">
        <f>IF(ROUND(CF!AO50,0)=ROUND(SUM(CF!AO49,CF!AO12),0),"OK","ERROR")</f>
        <v>OK</v>
      </c>
      <c r="AP177" s="194" t="str">
        <f>IF(ROUND(CF!AP50,0)=ROUND(SUM(CF!AP49,CF!AP12),0),"OK","ERROR")</f>
        <v>OK</v>
      </c>
      <c r="AQ177" s="194" t="str">
        <f>IF(ROUND(CF!AQ50,0)=ROUND(SUM(CF!AQ49,CF!AQ12),0),"OK","ERROR")</f>
        <v>OK</v>
      </c>
      <c r="AR177" s="223" t="str">
        <f>IF(ROUND(CF!AR50,0)=ROUND(SUM(CF!AR49,CF!AR12),0),"OK","ERROR")</f>
        <v>OK</v>
      </c>
      <c r="AS177" s="225"/>
      <c r="AT177" s="223" t="str">
        <f>IF(ROUND(CF!AT50,0)=ROUND(SUM(CF!AT49,CF!AT12),0),"OK","ERROR")</f>
        <v>OK</v>
      </c>
      <c r="AU177" s="225"/>
      <c r="AV177" s="223" t="str">
        <f>IF(ROUND(CF!AV50,0)=ROUND(SUM(CF!AV49,CF!AV12),0),"OK","ERROR")</f>
        <v>OK</v>
      </c>
      <c r="AW177" s="232"/>
      <c r="AX177" s="223" t="str">
        <f>IF(ROUND(CF!AX50,0)=ROUND(SUM(CF!AX49,CF!AX12),0),"OK","ERROR")</f>
        <v>OK</v>
      </c>
    </row>
  </sheetData>
  <mergeCells count="35">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162:AR162"/>
    <mergeCell ref="D162:H162"/>
    <mergeCell ref="J162:N162"/>
    <mergeCell ref="P162:T162"/>
    <mergeCell ref="V162:Z162"/>
    <mergeCell ref="AB162:AF162"/>
    <mergeCell ref="AH162:AL162"/>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AQ176"/>
  <sheetViews>
    <sheetView showGridLines="0" topLeftCell="A130" zoomScale="48" zoomScaleNormal="100" workbookViewId="0">
      <selection activeCell="V135" sqref="V135"/>
    </sheetView>
  </sheetViews>
  <sheetFormatPr defaultColWidth="9" defaultRowHeight="15" customHeight="1" x14ac:dyDescent="0.25"/>
  <cols>
    <col min="1" max="1" width="2" customWidth="1"/>
    <col min="2" max="2" width="12.5" customWidth="1"/>
    <col min="3" max="3" width="9.5" bestFit="1" customWidth="1"/>
    <col min="4" max="4" width="18" customWidth="1"/>
    <col min="5" max="5" width="9" bestFit="1" customWidth="1"/>
    <col min="6" max="6" width="11.796875" customWidth="1"/>
    <col min="7" max="9" width="9" bestFit="1" customWidth="1"/>
    <col min="10" max="10" width="10.296875" customWidth="1"/>
    <col min="11" max="11" width="9" bestFit="1" customWidth="1"/>
    <col min="12" max="12" width="14" customWidth="1"/>
    <col min="13" max="14" width="9" bestFit="1" customWidth="1"/>
    <col min="15" max="15" width="8.796875"/>
    <col min="16" max="16" width="10" customWidth="1"/>
    <col min="17" max="17" width="9.5" bestFit="1" customWidth="1"/>
    <col min="18" max="18" width="12.5" customWidth="1"/>
    <col min="19" max="19" width="8.796875" bestFit="1" customWidth="1"/>
    <col min="20" max="20" width="8.796875"/>
    <col min="21" max="21" width="12.296875" customWidth="1"/>
    <col min="22" max="23" width="8.796875" customWidth="1"/>
    <col min="24" max="16384" width="9" style="4"/>
  </cols>
  <sheetData>
    <row r="1" spans="1:23" s="569" customFormat="1" ht="15" customHeight="1" x14ac:dyDescent="0.25"/>
    <row r="2" spans="1:23" s="569" customFormat="1" ht="15" customHeight="1" x14ac:dyDescent="0.25"/>
    <row r="3" spans="1:23" s="569" customFormat="1" ht="15" customHeight="1" x14ac:dyDescent="0.25"/>
    <row r="4" spans="1:23" s="569" customFormat="1" ht="15" customHeight="1" x14ac:dyDescent="0.25"/>
    <row r="5" spans="1:23" s="568" customFormat="1" ht="4.05" customHeight="1" x14ac:dyDescent="0.25">
      <c r="A5" s="39"/>
      <c r="B5" s="39"/>
      <c r="C5" s="39"/>
      <c r="D5" s="39"/>
      <c r="E5" s="39"/>
      <c r="F5" s="39"/>
      <c r="G5" s="39"/>
      <c r="H5" s="39"/>
      <c r="I5" s="39"/>
      <c r="J5" s="39"/>
      <c r="K5" s="39"/>
      <c r="L5" s="39"/>
      <c r="M5" s="39"/>
      <c r="N5" s="39"/>
      <c r="O5" s="39"/>
      <c r="P5" s="39"/>
      <c r="Q5" s="39"/>
      <c r="R5" s="39"/>
      <c r="S5" s="39"/>
      <c r="T5" s="39"/>
      <c r="U5" s="39"/>
      <c r="V5" s="39"/>
      <c r="W5" s="39"/>
    </row>
    <row r="7" spans="1:23" s="553" customFormat="1" ht="15" customHeight="1" x14ac:dyDescent="0.25">
      <c r="B7" s="2" t="s">
        <v>736</v>
      </c>
      <c r="C7" s="2"/>
      <c r="D7" s="2"/>
      <c r="E7" s="2"/>
      <c r="F7" s="2"/>
      <c r="G7" s="2"/>
      <c r="H7" s="2"/>
      <c r="I7" s="2"/>
      <c r="J7" s="2"/>
      <c r="K7" s="2"/>
      <c r="L7" s="2"/>
      <c r="M7" s="2"/>
      <c r="N7" s="2"/>
      <c r="O7" s="2"/>
      <c r="P7" s="2"/>
      <c r="Q7" s="2"/>
      <c r="R7" s="2"/>
      <c r="S7" s="14" t="e">
        <f ca="1">+_xll.BDP(D15,"SHORT_NAME")</f>
        <v>#NAME?</v>
      </c>
    </row>
    <row r="8" spans="1:23" s="553" customFormat="1" ht="15" customHeight="1" x14ac:dyDescent="0.25">
      <c r="B8" s="2"/>
      <c r="C8" s="2"/>
      <c r="D8" s="2"/>
      <c r="E8" s="2"/>
      <c r="F8" s="2"/>
      <c r="G8" s="2"/>
      <c r="H8" s="2"/>
      <c r="I8" s="2"/>
      <c r="J8" s="2"/>
      <c r="K8" s="2"/>
      <c r="L8" s="2"/>
      <c r="M8" s="2"/>
      <c r="N8" s="2"/>
      <c r="O8" s="2"/>
      <c r="P8" s="2"/>
      <c r="Q8" s="2"/>
      <c r="R8" s="2"/>
    </row>
    <row r="9" spans="1:23" s="553" customFormat="1" ht="15" customHeight="1" x14ac:dyDescent="0.25">
      <c r="B9" s="2"/>
      <c r="C9" s="2"/>
      <c r="D9" s="2"/>
      <c r="E9" s="2"/>
      <c r="F9" s="2"/>
      <c r="G9" s="2"/>
      <c r="H9" s="2"/>
      <c r="I9" s="2"/>
      <c r="J9" s="2"/>
      <c r="K9" s="2"/>
      <c r="L9" s="2"/>
      <c r="M9" s="2"/>
      <c r="N9" s="2"/>
      <c r="O9" s="2"/>
      <c r="P9" s="2"/>
      <c r="Q9" s="2"/>
      <c r="R9" s="2"/>
    </row>
    <row r="10" spans="1:23" ht="4.05" customHeight="1" x14ac:dyDescent="0.25">
      <c r="B10" s="39"/>
      <c r="C10" s="39"/>
      <c r="D10" s="39"/>
      <c r="E10" s="39"/>
      <c r="F10" s="39"/>
      <c r="G10" s="39"/>
      <c r="H10" s="39"/>
      <c r="I10" s="39"/>
      <c r="J10" s="39"/>
      <c r="K10" s="39"/>
      <c r="L10" s="39"/>
      <c r="M10" s="39"/>
      <c r="N10" s="39"/>
      <c r="O10" s="39"/>
      <c r="P10" s="39"/>
      <c r="Q10" s="39"/>
      <c r="R10" s="39"/>
    </row>
    <row r="11" spans="1:23" ht="4.05" customHeight="1" x14ac:dyDescent="0.25"/>
    <row r="12" spans="1:23" ht="15" customHeight="1" thickBot="1" x14ac:dyDescent="0.3">
      <c r="B12" s="391" t="s">
        <v>80</v>
      </c>
      <c r="C12" s="392"/>
      <c r="D12" s="392"/>
      <c r="F12" s="393" t="s">
        <v>737</v>
      </c>
      <c r="G12" s="392"/>
      <c r="H12" s="392"/>
      <c r="I12" s="392"/>
      <c r="J12" s="392"/>
      <c r="L12" s="393" t="s">
        <v>738</v>
      </c>
      <c r="M12" s="392"/>
      <c r="O12" s="393" t="s">
        <v>739</v>
      </c>
      <c r="P12" s="392"/>
      <c r="Q12" s="392"/>
      <c r="R12" s="392"/>
    </row>
    <row r="13" spans="1:23" ht="15" customHeight="1" x14ac:dyDescent="0.25">
      <c r="B13" s="1" t="s">
        <v>740</v>
      </c>
      <c r="D13" s="390" t="s">
        <v>741</v>
      </c>
      <c r="F13" s="6" t="s">
        <v>742</v>
      </c>
      <c r="J13" s="334">
        <v>16770.325182</v>
      </c>
      <c r="L13" s="1" t="s">
        <v>743</v>
      </c>
      <c r="M13" s="337">
        <f>3.16</f>
        <v>3.16</v>
      </c>
      <c r="O13" s="11" t="e">
        <f ca="1">+_xll.BDP(R13,"SHORT_NAME")</f>
        <v>#NAME?</v>
      </c>
      <c r="R13" s="348" t="s">
        <v>744</v>
      </c>
    </row>
    <row r="14" spans="1:23" ht="15" customHeight="1" x14ac:dyDescent="0.25">
      <c r="B14" s="1" t="s">
        <v>745</v>
      </c>
      <c r="D14" s="348" t="s">
        <v>746</v>
      </c>
      <c r="F14" s="6" t="s">
        <v>747</v>
      </c>
      <c r="J14" s="334">
        <v>0</v>
      </c>
      <c r="L14" s="1" t="s">
        <v>748</v>
      </c>
      <c r="M14" s="337">
        <v>14.15</v>
      </c>
      <c r="O14" s="11" t="e">
        <f ca="1">+_xll.BDP(R14,"SHORT_NAME")</f>
        <v>#NAME?</v>
      </c>
      <c r="R14" s="348" t="s">
        <v>749</v>
      </c>
    </row>
    <row r="15" spans="1:23" ht="15" customHeight="1" x14ac:dyDescent="0.25">
      <c r="B15" s="1" t="s">
        <v>750</v>
      </c>
      <c r="D15" s="347" t="s">
        <v>751</v>
      </c>
      <c r="F15" s="6" t="s">
        <v>752</v>
      </c>
      <c r="J15" s="335">
        <v>180.851</v>
      </c>
      <c r="L15" s="1" t="s">
        <v>753</v>
      </c>
      <c r="M15" s="337">
        <f>J13/(IS!AI52+IS!AH52+IS!AE52+IS!AD52)</f>
        <v>155.12666750533958</v>
      </c>
    </row>
    <row r="16" spans="1:23" ht="15" customHeight="1" thickBot="1" x14ac:dyDescent="0.3">
      <c r="B16" s="353" t="s">
        <v>754</v>
      </c>
      <c r="D16" s="347"/>
      <c r="F16" s="6" t="s">
        <v>755</v>
      </c>
      <c r="J16" s="335">
        <v>3155.8519999999999</v>
      </c>
      <c r="L16" s="1" t="s">
        <v>756</v>
      </c>
      <c r="M16" s="337">
        <f>W63</f>
        <v>2.9647999999999999</v>
      </c>
      <c r="O16" s="393" t="s">
        <v>757</v>
      </c>
      <c r="P16" s="392"/>
      <c r="Q16" s="392"/>
      <c r="R16" s="392"/>
    </row>
    <row r="17" spans="1:23" ht="15" customHeight="1" x14ac:dyDescent="0.25">
      <c r="B17" t="s">
        <v>758</v>
      </c>
      <c r="C17" s="11"/>
      <c r="D17" s="16">
        <v>45657</v>
      </c>
      <c r="F17" s="17" t="s">
        <v>759</v>
      </c>
      <c r="G17" s="7"/>
      <c r="H17" s="7"/>
      <c r="I17" s="7"/>
      <c r="J17" s="336">
        <v>1600.0650000000001</v>
      </c>
      <c r="O17" s="1" t="s">
        <v>740</v>
      </c>
      <c r="R17" s="390"/>
    </row>
    <row r="18" spans="1:23" ht="15" customHeight="1" x14ac:dyDescent="0.25">
      <c r="B18" t="s">
        <v>760</v>
      </c>
      <c r="C18" s="11"/>
      <c r="D18" s="16">
        <v>45838</v>
      </c>
      <c r="F18" s="5" t="s">
        <v>553</v>
      </c>
      <c r="G18" s="1"/>
      <c r="H18" s="1"/>
      <c r="I18" s="1"/>
      <c r="J18" s="8">
        <v>18506.963182</v>
      </c>
      <c r="L18" s="1" t="s">
        <v>20</v>
      </c>
      <c r="M18" s="41">
        <v>1.42</v>
      </c>
      <c r="O18" s="1" t="s">
        <v>745</v>
      </c>
      <c r="Q18" s="4"/>
      <c r="R18" s="348"/>
      <c r="S18" s="4"/>
    </row>
    <row r="19" spans="1:23" ht="15" customHeight="1" x14ac:dyDescent="0.25">
      <c r="C19" s="11"/>
      <c r="F19" s="5"/>
      <c r="G19" s="1"/>
      <c r="H19" s="1"/>
      <c r="I19" s="1"/>
      <c r="J19" s="8"/>
      <c r="O19" s="11"/>
    </row>
    <row r="20" spans="1:23" ht="15" customHeight="1" thickBot="1" x14ac:dyDescent="0.3">
      <c r="B20" s="393" t="s">
        <v>761</v>
      </c>
      <c r="C20" s="392"/>
      <c r="D20" s="392"/>
      <c r="E20" s="392"/>
      <c r="F20" s="392"/>
      <c r="G20" s="1"/>
      <c r="H20" s="393" t="s">
        <v>762</v>
      </c>
      <c r="I20" s="392"/>
      <c r="J20" s="392"/>
      <c r="K20" s="392"/>
      <c r="L20" s="392"/>
      <c r="N20" s="393" t="s">
        <v>763</v>
      </c>
      <c r="O20" s="392"/>
      <c r="P20" s="392"/>
      <c r="Q20" s="392"/>
      <c r="R20" s="392"/>
    </row>
    <row r="21" spans="1:23" ht="15" customHeight="1" x14ac:dyDescent="0.25">
      <c r="B21" s="11" t="e">
        <f ca="1">+_xll.BDP(E21,"SHORT_NAME")</f>
        <v>#NAME?</v>
      </c>
      <c r="C21" s="11"/>
      <c r="E21" s="356" t="s">
        <v>764</v>
      </c>
      <c r="F21" s="355"/>
      <c r="G21" s="1"/>
      <c r="H21" s="11" t="e">
        <f ca="1">+_xll.BDP(K21,"SHORT_NAME")</f>
        <v>#NAME?</v>
      </c>
      <c r="I21" s="11"/>
      <c r="K21" s="354" t="s">
        <v>765</v>
      </c>
      <c r="L21" s="355"/>
      <c r="N21" s="11" t="e">
        <f ca="1">+_xll.BDP(Q21,"SHORT_NAME")</f>
        <v>#NAME?</v>
      </c>
      <c r="O21" s="11"/>
      <c r="Q21" s="356" t="s">
        <v>766</v>
      </c>
      <c r="R21" s="355"/>
    </row>
    <row r="22" spans="1:23" ht="15" customHeight="1" x14ac:dyDescent="0.25">
      <c r="B22" s="11" t="e">
        <f ca="1">+_xll.BDP(E22,"SHORT_NAME")</f>
        <v>#NAME?</v>
      </c>
      <c r="C22" s="11"/>
      <c r="E22" s="354" t="s">
        <v>767</v>
      </c>
      <c r="F22" s="357"/>
      <c r="G22" s="1"/>
      <c r="H22" s="11" t="e">
        <f ca="1">+_xll.BDP(K22,"SHORT_NAME")</f>
        <v>#NAME?</v>
      </c>
      <c r="I22" s="11"/>
      <c r="K22" s="354" t="s">
        <v>768</v>
      </c>
      <c r="L22" s="357"/>
      <c r="N22" s="11" t="e">
        <f ca="1">+_xll.BDP(Q22,"SHORT_NAME")</f>
        <v>#NAME?</v>
      </c>
      <c r="O22" s="11"/>
      <c r="Q22" s="356" t="s">
        <v>769</v>
      </c>
      <c r="R22" s="357"/>
    </row>
    <row r="23" spans="1:23" ht="15" customHeight="1" x14ac:dyDescent="0.25">
      <c r="B23" s="11" t="e">
        <f ca="1">+_xll.BDP(E23,"SHORT_NAME")</f>
        <v>#NAME?</v>
      </c>
      <c r="C23" s="11"/>
      <c r="E23" s="356" t="s">
        <v>770</v>
      </c>
      <c r="F23" s="357"/>
      <c r="G23" s="1"/>
      <c r="H23" s="11" t="e">
        <f ca="1">+_xll.BDP(K23,"SHORT_NAME")</f>
        <v>#NAME?</v>
      </c>
      <c r="I23" s="11"/>
      <c r="K23" s="356" t="s">
        <v>771</v>
      </c>
      <c r="L23" s="357"/>
      <c r="N23" s="11" t="e">
        <f ca="1">+_xll.BDP(Q23,"SHORT_NAME")</f>
        <v>#NAME?</v>
      </c>
      <c r="O23" s="11"/>
      <c r="Q23" s="356" t="s">
        <v>772</v>
      </c>
      <c r="R23" s="357"/>
    </row>
    <row r="24" spans="1:23" ht="15" customHeight="1" x14ac:dyDescent="0.25">
      <c r="B24" s="11" t="e">
        <f ca="1">+_xll.BDP(E24,"SHORT_NAME")</f>
        <v>#NAME?</v>
      </c>
      <c r="C24" s="11"/>
      <c r="E24" s="354" t="s">
        <v>773</v>
      </c>
      <c r="F24" s="357"/>
      <c r="G24" s="1"/>
      <c r="H24" s="11" t="e">
        <f ca="1">+_xll.BDP(K24,"SHORT_NAME")</f>
        <v>#NAME?</v>
      </c>
      <c r="I24" s="11"/>
      <c r="K24" s="356" t="s">
        <v>774</v>
      </c>
      <c r="L24" s="357"/>
      <c r="N24" s="11" t="e">
        <f ca="1">+_xll.BDP(Q24,"SHORT_NAME")</f>
        <v>#NAME?</v>
      </c>
      <c r="O24" s="11"/>
      <c r="Q24" s="356" t="s">
        <v>775</v>
      </c>
      <c r="R24" s="357"/>
    </row>
    <row r="25" spans="1:23" ht="15" customHeight="1" x14ac:dyDescent="0.25">
      <c r="B25" s="11" t="e">
        <f ca="1">+_xll.BDP(E25,"SHORT_NAME")</f>
        <v>#NAME?</v>
      </c>
      <c r="C25" s="11"/>
      <c r="E25" s="356" t="s">
        <v>776</v>
      </c>
      <c r="F25" s="355"/>
      <c r="G25" s="1"/>
      <c r="H25" s="11" t="e">
        <f ca="1">+_xll.BDP(K25,"SHORT_NAME")</f>
        <v>#NAME?</v>
      </c>
      <c r="I25" s="11"/>
      <c r="K25" s="354" t="s">
        <v>777</v>
      </c>
      <c r="L25" s="355"/>
      <c r="N25" s="11" t="e">
        <f ca="1">+_xll.BDP(Q25,"SHORT_NAME")</f>
        <v>#NAME?</v>
      </c>
      <c r="O25" s="11"/>
      <c r="Q25" s="354" t="s">
        <v>778</v>
      </c>
      <c r="R25" s="355"/>
    </row>
    <row r="26" spans="1:23" ht="15" customHeight="1" x14ac:dyDescent="0.25">
      <c r="A26" s="4"/>
      <c r="B26" s="4"/>
      <c r="C26" s="4"/>
      <c r="D26" s="4"/>
      <c r="E26" s="4"/>
      <c r="F26" s="4"/>
      <c r="G26" s="4"/>
      <c r="H26" s="4"/>
      <c r="I26" s="4"/>
      <c r="J26" s="4"/>
      <c r="K26" s="4"/>
      <c r="L26" s="4"/>
      <c r="M26" s="4"/>
      <c r="N26" s="4"/>
      <c r="O26" s="4"/>
      <c r="P26" s="4"/>
      <c r="Q26" s="4"/>
      <c r="R26" s="4"/>
      <c r="S26" s="4"/>
      <c r="T26" s="4"/>
      <c r="U26" s="4"/>
      <c r="V26" s="4"/>
      <c r="W26" s="4"/>
    </row>
    <row r="27" spans="1:23" s="553" customFormat="1" ht="15" customHeight="1" x14ac:dyDescent="0.25">
      <c r="B27" s="2" t="s">
        <v>3</v>
      </c>
      <c r="C27" s="2"/>
      <c r="D27" s="2"/>
      <c r="E27" s="2"/>
      <c r="F27" s="2"/>
      <c r="G27" s="2"/>
      <c r="H27" s="2"/>
      <c r="I27" s="2"/>
      <c r="J27" s="2"/>
      <c r="K27" s="2"/>
      <c r="L27" s="2"/>
      <c r="M27" s="2"/>
      <c r="N27" s="2"/>
      <c r="O27" s="2"/>
      <c r="P27" s="2"/>
      <c r="Q27" s="2"/>
      <c r="R27" s="2"/>
      <c r="S27" s="2"/>
      <c r="T27" s="2"/>
      <c r="U27" s="2"/>
    </row>
    <row r="28" spans="1:23" ht="4.05" customHeight="1" x14ac:dyDescent="0.25">
      <c r="B28" s="39"/>
      <c r="C28" s="39"/>
      <c r="D28" s="39"/>
      <c r="E28" s="39"/>
      <c r="F28" s="39"/>
      <c r="G28" s="39"/>
      <c r="H28" s="39"/>
      <c r="I28" s="39"/>
      <c r="J28" s="39"/>
      <c r="K28" s="39"/>
      <c r="L28" s="39"/>
      <c r="M28" s="39"/>
      <c r="N28" s="39"/>
      <c r="O28" s="39"/>
      <c r="P28" s="39"/>
      <c r="Q28" s="39"/>
      <c r="R28" s="39"/>
      <c r="S28" s="39"/>
      <c r="T28" s="39"/>
      <c r="U28" s="39"/>
    </row>
    <row r="30" spans="1:23" ht="15" customHeight="1" x14ac:dyDescent="0.25">
      <c r="B30" s="2" t="e">
        <f ca="1">S7&amp;" vs "&amp;R13</f>
        <v>#NAME?</v>
      </c>
      <c r="C30" s="2"/>
      <c r="D30" s="2"/>
      <c r="E30" s="2"/>
      <c r="F30" s="2"/>
      <c r="G30" s="2"/>
      <c r="H30" s="2"/>
      <c r="I30" s="2"/>
      <c r="J30" s="2"/>
      <c r="L30" s="2" t="s">
        <v>779</v>
      </c>
      <c r="M30" s="2"/>
      <c r="N30" s="2"/>
      <c r="O30" s="2"/>
      <c r="P30" s="2"/>
      <c r="Q30" s="2"/>
      <c r="R30" s="2"/>
      <c r="S30" s="2"/>
      <c r="T30" s="2"/>
      <c r="U30" s="2"/>
    </row>
    <row r="36" spans="43:43" ht="15" customHeight="1" x14ac:dyDescent="0.25">
      <c r="AQ36" s="553"/>
    </row>
    <row r="56" spans="1:23" s="553" customFormat="1" ht="15" customHeight="1" x14ac:dyDescent="0.25">
      <c r="A56" s="13"/>
      <c r="B56" s="2" t="s">
        <v>736</v>
      </c>
      <c r="C56" s="2"/>
      <c r="D56" s="2"/>
      <c r="E56" s="2"/>
      <c r="F56" s="2"/>
      <c r="G56" s="2"/>
      <c r="H56" s="2"/>
      <c r="I56" s="2"/>
      <c r="J56" s="2"/>
      <c r="K56" s="2"/>
      <c r="L56" s="2"/>
      <c r="M56" s="2"/>
      <c r="N56" s="2"/>
      <c r="O56" s="2"/>
      <c r="P56" s="2"/>
      <c r="Q56" s="2"/>
      <c r="R56" s="2"/>
      <c r="S56" s="2"/>
      <c r="T56" s="2"/>
      <c r="U56" s="2"/>
      <c r="V56" s="2"/>
      <c r="W56" s="2"/>
    </row>
    <row r="57" spans="1:23" s="553" customFormat="1" ht="15" customHeight="1" x14ac:dyDescent="0.25">
      <c r="A57" s="13"/>
      <c r="B57" s="2"/>
      <c r="C57" s="2"/>
      <c r="D57" s="2"/>
      <c r="E57" s="2"/>
      <c r="F57" s="2"/>
      <c r="G57" s="2"/>
      <c r="H57" s="2"/>
      <c r="I57" s="2"/>
      <c r="J57" s="2"/>
      <c r="K57" s="2"/>
      <c r="L57" s="2"/>
      <c r="M57" s="2"/>
      <c r="N57" s="2"/>
      <c r="O57" s="2"/>
      <c r="P57" s="2"/>
      <c r="Q57" s="2"/>
      <c r="R57" s="2"/>
      <c r="S57" s="2"/>
      <c r="T57" s="2"/>
      <c r="U57" s="2"/>
      <c r="V57" s="2"/>
      <c r="W57" s="2"/>
    </row>
    <row r="58" spans="1:23" s="553" customFormat="1" ht="15" customHeight="1" x14ac:dyDescent="0.25">
      <c r="A58" s="13"/>
      <c r="B58" s="2"/>
      <c r="C58" s="2"/>
      <c r="D58" s="2"/>
      <c r="E58" s="2"/>
      <c r="F58" s="2"/>
      <c r="G58" s="2"/>
      <c r="H58" s="2"/>
      <c r="I58" s="2"/>
      <c r="J58" s="2"/>
      <c r="K58" s="2"/>
      <c r="L58" s="2"/>
      <c r="M58" s="2"/>
      <c r="N58" s="2"/>
      <c r="O58" s="2"/>
      <c r="P58" s="2"/>
      <c r="Q58" s="2"/>
      <c r="R58" s="2"/>
      <c r="S58" s="2"/>
      <c r="T58" s="2"/>
      <c r="U58" s="2"/>
      <c r="V58" s="2"/>
      <c r="W58" s="2"/>
    </row>
    <row r="59" spans="1:23" ht="4.05" customHeight="1" x14ac:dyDescent="0.25">
      <c r="B59" s="39"/>
      <c r="C59" s="39"/>
      <c r="D59" s="39"/>
      <c r="E59" s="39"/>
      <c r="F59" s="39"/>
      <c r="G59" s="39"/>
      <c r="H59" s="39"/>
      <c r="I59" s="39"/>
      <c r="J59" s="39"/>
      <c r="K59" s="39"/>
      <c r="L59" s="39"/>
      <c r="M59" s="39"/>
      <c r="N59" s="39"/>
      <c r="O59" s="39"/>
      <c r="P59" s="39"/>
      <c r="Q59" s="39"/>
      <c r="R59" s="39"/>
      <c r="S59" s="39"/>
      <c r="T59" s="39"/>
      <c r="U59" s="39"/>
      <c r="V59" s="39"/>
      <c r="W59" s="39"/>
    </row>
    <row r="60" spans="1:23" ht="4.05" customHeight="1" x14ac:dyDescent="0.25"/>
    <row r="61" spans="1:23" ht="15" customHeight="1" x14ac:dyDescent="0.25">
      <c r="A61" s="14" t="str">
        <f>D13</f>
        <v>USD</v>
      </c>
      <c r="B61" s="11"/>
      <c r="C61" s="11"/>
      <c r="D61" s="11"/>
      <c r="E61" s="11"/>
      <c r="F61" s="11"/>
      <c r="G61" s="11"/>
      <c r="H61" s="11"/>
      <c r="I61" s="11"/>
      <c r="J61" s="11"/>
      <c r="K61" s="11"/>
      <c r="L61" s="11"/>
      <c r="M61" s="11"/>
      <c r="N61" s="11"/>
      <c r="O61" s="11"/>
      <c r="P61" s="11"/>
      <c r="Q61" s="11"/>
      <c r="R61" s="11"/>
      <c r="S61" s="11"/>
      <c r="T61" s="11"/>
      <c r="U61" s="11"/>
      <c r="V61" s="11"/>
      <c r="W61" s="11"/>
    </row>
    <row r="62" spans="1:23" ht="15" customHeight="1" x14ac:dyDescent="0.25">
      <c r="A62" s="11" t="s">
        <v>38</v>
      </c>
      <c r="B62" s="351" t="str">
        <f>$D$15</f>
        <v>ACMR US Equity</v>
      </c>
      <c r="C62" s="352"/>
      <c r="D62" s="352"/>
      <c r="E62" s="349">
        <v>2015</v>
      </c>
      <c r="F62" s="349">
        <f t="shared" ref="F62:N62" si="0">+E62+1</f>
        <v>2016</v>
      </c>
      <c r="G62" s="349">
        <f t="shared" si="0"/>
        <v>2017</v>
      </c>
      <c r="H62" s="349">
        <f t="shared" si="0"/>
        <v>2018</v>
      </c>
      <c r="I62" s="349">
        <f t="shared" si="0"/>
        <v>2019</v>
      </c>
      <c r="J62" s="349">
        <f t="shared" si="0"/>
        <v>2020</v>
      </c>
      <c r="K62" s="349">
        <f t="shared" si="0"/>
        <v>2021</v>
      </c>
      <c r="L62" s="349">
        <f t="shared" si="0"/>
        <v>2022</v>
      </c>
      <c r="M62" s="349">
        <f t="shared" si="0"/>
        <v>2023</v>
      </c>
      <c r="N62" s="349">
        <f t="shared" si="0"/>
        <v>2024</v>
      </c>
      <c r="O62" s="11"/>
      <c r="P62" s="3"/>
      <c r="Q62" s="3"/>
      <c r="R62" s="395" t="s">
        <v>348</v>
      </c>
      <c r="S62" s="554" t="s">
        <v>780</v>
      </c>
      <c r="T62" s="3"/>
      <c r="U62" s="395" t="s">
        <v>781</v>
      </c>
      <c r="V62" s="3"/>
      <c r="W62" s="395" t="s">
        <v>782</v>
      </c>
    </row>
    <row r="63" spans="1:23" ht="15" customHeight="1" x14ac:dyDescent="0.25">
      <c r="A63" s="11"/>
      <c r="B63" s="11" t="s">
        <v>433</v>
      </c>
      <c r="C63" s="11"/>
      <c r="D63" s="11"/>
      <c r="E63" s="12">
        <v>31.206</v>
      </c>
      <c r="F63" s="12">
        <v>27.370999999999999</v>
      </c>
      <c r="G63" s="12">
        <v>36.506</v>
      </c>
      <c r="H63" s="12">
        <v>74.643000000000001</v>
      </c>
      <c r="I63" s="12">
        <v>107.524</v>
      </c>
      <c r="J63" s="12">
        <v>156.624</v>
      </c>
      <c r="K63" s="12">
        <v>259.75099999999998</v>
      </c>
      <c r="L63" s="12">
        <v>388.83199999999999</v>
      </c>
      <c r="M63" s="12">
        <v>557.72299999999996</v>
      </c>
      <c r="N63" s="12">
        <v>782.11800000000005</v>
      </c>
      <c r="O63" s="11"/>
      <c r="P63" s="11"/>
      <c r="Q63" s="16">
        <v>45945</v>
      </c>
      <c r="R63" s="290">
        <v>0</v>
      </c>
      <c r="S63" s="290">
        <v>59.159149999999997</v>
      </c>
      <c r="U63" s="394">
        <v>0</v>
      </c>
      <c r="W63" s="337">
        <v>2.9647999999999999</v>
      </c>
    </row>
    <row r="64" spans="1:23" ht="15" customHeight="1" x14ac:dyDescent="0.25">
      <c r="A64" s="11"/>
      <c r="B64" s="11" t="s">
        <v>783</v>
      </c>
      <c r="C64" s="11"/>
      <c r="D64" s="11"/>
      <c r="E64" s="12">
        <v>4.8630000000000004</v>
      </c>
      <c r="F64" s="12">
        <v>3.49</v>
      </c>
      <c r="G64" s="12">
        <v>0.7</v>
      </c>
      <c r="H64" s="12">
        <v>6.4710000000000001</v>
      </c>
      <c r="I64" s="12">
        <v>17.791</v>
      </c>
      <c r="J64" s="12">
        <v>21.492000000000001</v>
      </c>
      <c r="K64" s="12">
        <v>38.701999999999998</v>
      </c>
      <c r="L64" s="12">
        <v>59.023000000000003</v>
      </c>
      <c r="M64" s="12">
        <v>95.837000000000003</v>
      </c>
      <c r="N64" s="12">
        <v>150.053</v>
      </c>
      <c r="O64" s="11"/>
      <c r="P64" s="11"/>
      <c r="Q64" s="289">
        <v>45944</v>
      </c>
      <c r="R64" s="290">
        <v>0</v>
      </c>
      <c r="S64" s="290">
        <v>59.159149999999997</v>
      </c>
      <c r="U64" s="394">
        <v>0</v>
      </c>
      <c r="W64" s="337">
        <v>2.9512</v>
      </c>
    </row>
    <row r="65" spans="1:23" ht="15" customHeight="1" x14ac:dyDescent="0.25">
      <c r="A65" s="11"/>
      <c r="B65" s="11" t="s">
        <v>284</v>
      </c>
      <c r="C65" s="11"/>
      <c r="D65" s="11"/>
      <c r="E65" s="15" t="e">
        <v>#VALUE!</v>
      </c>
      <c r="F65" s="15">
        <v>0.1411534495946534</v>
      </c>
      <c r="G65" s="15">
        <v>-5.8499900486196042E-3</v>
      </c>
      <c r="H65" s="15">
        <v>0.10677451555984657</v>
      </c>
      <c r="I65" s="15">
        <v>0.15380646391615815</v>
      </c>
      <c r="J65" s="15">
        <v>0.10974404526140384</v>
      </c>
      <c r="K65" s="15">
        <v>7.0946742123472531E-2</v>
      </c>
      <c r="L65" s="15">
        <v>5.1299634451792746E-2</v>
      </c>
      <c r="M65" s="15">
        <v>8.4081583780401287E-2</v>
      </c>
      <c r="N65" s="15">
        <v>0.10308702958078499</v>
      </c>
      <c r="O65" s="11"/>
      <c r="P65" s="11"/>
      <c r="Q65" s="289">
        <v>45943</v>
      </c>
      <c r="R65" s="290">
        <v>0</v>
      </c>
      <c r="S65" s="290">
        <v>59.159149999999997</v>
      </c>
      <c r="U65" s="394">
        <v>0</v>
      </c>
      <c r="W65" s="337">
        <v>2.9910999999999999</v>
      </c>
    </row>
    <row r="66" spans="1:23" ht="15" customHeight="1" x14ac:dyDescent="0.25">
      <c r="A66" s="11"/>
      <c r="B66" s="11" t="s">
        <v>419</v>
      </c>
      <c r="C66" s="11"/>
      <c r="D66" s="11"/>
      <c r="E66" s="15">
        <v>1.7230557628099715E-2</v>
      </c>
      <c r="F66" s="15">
        <v>4.3918856221914764E-2</v>
      </c>
      <c r="G66" s="15">
        <v>-0.25706338758288899</v>
      </c>
      <c r="H66" s="15">
        <v>0.12040769130846821</v>
      </c>
      <c r="I66" s="15">
        <v>8.3634400725488722E-2</v>
      </c>
      <c r="J66" s="15">
        <v>0.10716190273190868</v>
      </c>
      <c r="K66" s="15">
        <v>0.13359313343861398</v>
      </c>
      <c r="L66" s="15">
        <v>0.1023632076770435</v>
      </c>
      <c r="M66" s="15">
        <v>0.1387434149331771</v>
      </c>
      <c r="N66" s="15">
        <v>0.12371639640972124</v>
      </c>
      <c r="O66" s="11"/>
      <c r="P66" s="11"/>
      <c r="Q66" s="289">
        <v>45942</v>
      </c>
      <c r="R66" s="290">
        <v>0</v>
      </c>
      <c r="S66" s="290">
        <v>59.159149999999997</v>
      </c>
      <c r="U66" s="394">
        <v>0</v>
      </c>
      <c r="W66" s="337">
        <v>2.8334999999999999</v>
      </c>
    </row>
    <row r="67" spans="1:23" ht="15" customHeight="1" x14ac:dyDescent="0.25">
      <c r="A67" s="11"/>
      <c r="B67" s="11" t="s">
        <v>784</v>
      </c>
      <c r="C67" s="11"/>
      <c r="D67" s="11"/>
      <c r="E67" s="12">
        <v>-1.371</v>
      </c>
      <c r="F67" s="12">
        <v>-0.81699999999999995</v>
      </c>
      <c r="G67" s="12">
        <v>-0.76600000000000001</v>
      </c>
      <c r="H67" s="12">
        <v>-2.0710000000000002</v>
      </c>
      <c r="I67" s="12">
        <v>-1.125</v>
      </c>
      <c r="J67" s="12">
        <v>-30.298999999999999</v>
      </c>
      <c r="K67" s="12">
        <v>-9.7119999999999997</v>
      </c>
      <c r="L67" s="12">
        <v>-92.52</v>
      </c>
      <c r="M67" s="12">
        <v>-64.337999999999994</v>
      </c>
      <c r="N67" s="12">
        <v>-85.947999999999993</v>
      </c>
      <c r="O67" s="11"/>
      <c r="P67" s="11"/>
      <c r="Q67" s="289">
        <v>45941</v>
      </c>
      <c r="R67" s="290">
        <v>0</v>
      </c>
      <c r="S67" s="290">
        <v>59.159149999999997</v>
      </c>
      <c r="U67" s="394">
        <v>0</v>
      </c>
      <c r="W67" s="337">
        <v>2.8334999999999999</v>
      </c>
    </row>
    <row r="68" spans="1:23" ht="15" customHeight="1" x14ac:dyDescent="0.25">
      <c r="A68" s="11"/>
      <c r="B68" s="11" t="s">
        <v>785</v>
      </c>
      <c r="C68" s="11"/>
      <c r="D68" s="11"/>
      <c r="E68" s="15">
        <v>2.2040029999999997</v>
      </c>
      <c r="F68" s="15">
        <v>0.23256499999999999</v>
      </c>
      <c r="G68" s="15">
        <v>0.128108</v>
      </c>
      <c r="H68" s="15">
        <v>0.18054800000000001</v>
      </c>
      <c r="I68" s="15">
        <v>0.112012</v>
      </c>
      <c r="J68" s="15">
        <v>0.240256</v>
      </c>
      <c r="K68" s="15">
        <v>4.8221999999999994E-2</v>
      </c>
      <c r="L68" s="15">
        <v>9.7888000000000003E-2</v>
      </c>
      <c r="M68" s="15">
        <v>0.10699600000000001</v>
      </c>
      <c r="N68" s="15">
        <v>0.172262</v>
      </c>
      <c r="O68" s="11"/>
      <c r="P68" s="11"/>
      <c r="Q68" s="289">
        <v>45940</v>
      </c>
      <c r="R68" s="290">
        <v>0</v>
      </c>
      <c r="S68" s="290">
        <v>59.159149999999997</v>
      </c>
      <c r="U68" s="394">
        <v>0</v>
      </c>
      <c r="W68" s="337">
        <v>2.8334999999999999</v>
      </c>
    </row>
    <row r="69" spans="1:23" ht="15" customHeight="1" x14ac:dyDescent="0.25">
      <c r="A69" s="11"/>
      <c r="B69" s="11" t="s">
        <v>786</v>
      </c>
      <c r="C69" s="11"/>
      <c r="D69" s="11"/>
      <c r="E69" s="15">
        <v>0.1558354162661027</v>
      </c>
      <c r="F69" s="15">
        <v>0.12750721566621609</v>
      </c>
      <c r="G69" s="15">
        <v>1.9174930148468744E-2</v>
      </c>
      <c r="H69" s="15">
        <v>8.669265704754632E-2</v>
      </c>
      <c r="I69" s="15">
        <v>0.16546073434768052</v>
      </c>
      <c r="J69" s="15">
        <v>0.13722034937174379</v>
      </c>
      <c r="K69" s="15">
        <v>0.14899653899311263</v>
      </c>
      <c r="L69" s="15">
        <v>0.15179563410418898</v>
      </c>
      <c r="M69" s="15">
        <v>0.17183619825612359</v>
      </c>
      <c r="N69" s="15">
        <v>0.19185468177436141</v>
      </c>
      <c r="O69" s="11"/>
      <c r="P69" s="11"/>
      <c r="Q69" s="289">
        <v>45939</v>
      </c>
      <c r="R69" s="290">
        <v>0</v>
      </c>
      <c r="S69" s="290">
        <v>59.159149999999997</v>
      </c>
      <c r="U69" s="394">
        <v>0</v>
      </c>
      <c r="W69" s="337">
        <v>3.1804999999999999</v>
      </c>
    </row>
    <row r="70" spans="1:23" ht="15" customHeight="1" x14ac:dyDescent="0.25">
      <c r="A70" s="11"/>
      <c r="B70" s="11" t="s">
        <v>787</v>
      </c>
      <c r="C70" s="11"/>
      <c r="D70" s="11"/>
      <c r="E70" s="350" t="e">
        <v>#VALUE!</v>
      </c>
      <c r="F70" s="350">
        <v>3.2139600558226791</v>
      </c>
      <c r="G70" s="350">
        <v>2.2756994310336395E-2</v>
      </c>
      <c r="H70" s="350">
        <v>0.88677487625192242</v>
      </c>
      <c r="I70" s="350">
        <v>1.8390334907880022</v>
      </c>
      <c r="J70" s="350">
        <v>1.0240957137160491</v>
      </c>
      <c r="K70" s="350">
        <v>0.53106578382692504</v>
      </c>
      <c r="L70" s="350">
        <v>0.50115305700113832</v>
      </c>
      <c r="M70" s="350">
        <v>0.6060221583914267</v>
      </c>
      <c r="N70" s="350">
        <v>0.83325276658870373</v>
      </c>
      <c r="O70" s="11"/>
      <c r="P70" s="11"/>
      <c r="Q70" s="289">
        <v>45938</v>
      </c>
      <c r="R70" s="290">
        <v>0</v>
      </c>
      <c r="S70" s="290">
        <v>59.159149999999997</v>
      </c>
      <c r="U70" s="394">
        <v>0</v>
      </c>
      <c r="W70" s="337">
        <v>3.2517</v>
      </c>
    </row>
    <row r="71" spans="1:23" ht="15" customHeight="1" x14ac:dyDescent="0.25">
      <c r="A71" s="11"/>
      <c r="B71" s="11" t="s">
        <v>788</v>
      </c>
      <c r="C71" s="11"/>
      <c r="D71" s="11"/>
      <c r="E71" s="15">
        <v>4.3933858873293596E-2</v>
      </c>
      <c r="F71" s="15">
        <v>2.9849110372291841E-2</v>
      </c>
      <c r="G71" s="15">
        <v>2.0982852133895797E-2</v>
      </c>
      <c r="H71" s="15">
        <v>2.7745401444207764E-2</v>
      </c>
      <c r="I71" s="15">
        <v>1.0462780402514787E-2</v>
      </c>
      <c r="J71" s="15">
        <v>0.1934505567473695</v>
      </c>
      <c r="K71" s="15">
        <v>3.7389653937809672E-2</v>
      </c>
      <c r="L71" s="15">
        <v>0.23794337914574931</v>
      </c>
      <c r="M71" s="15">
        <v>0.11535834096854532</v>
      </c>
      <c r="N71" s="15">
        <v>0.10989134631858619</v>
      </c>
      <c r="O71" s="11"/>
      <c r="P71" s="11"/>
      <c r="Q71" s="11"/>
      <c r="R71" s="290"/>
      <c r="S71" s="290"/>
      <c r="U71" s="394"/>
      <c r="W71" s="337"/>
    </row>
    <row r="72" spans="1:23" ht="15" customHeight="1" x14ac:dyDescent="0.25">
      <c r="A72" s="11"/>
      <c r="B72" s="11"/>
      <c r="C72" s="11"/>
      <c r="D72" s="11"/>
      <c r="E72" s="11"/>
      <c r="F72" s="11"/>
      <c r="G72" s="11"/>
      <c r="H72" s="11"/>
      <c r="I72" s="11"/>
      <c r="J72" s="11"/>
      <c r="K72" s="11"/>
      <c r="L72" s="11"/>
      <c r="M72" s="11"/>
      <c r="N72" s="11"/>
      <c r="O72" s="11"/>
      <c r="P72" s="11"/>
      <c r="Q72" s="11"/>
      <c r="R72" s="11"/>
      <c r="S72" s="11"/>
      <c r="T72" s="11"/>
      <c r="U72" s="11"/>
      <c r="V72" s="11"/>
      <c r="W72" s="11"/>
    </row>
    <row r="73" spans="1:23" ht="15" customHeight="1" x14ac:dyDescent="0.25">
      <c r="A73" s="11" t="s">
        <v>38</v>
      </c>
      <c r="B73" s="351" t="str">
        <f>E21</f>
        <v>002371 CH Equity</v>
      </c>
      <c r="C73" s="352"/>
      <c r="D73" s="352"/>
      <c r="E73" s="349">
        <v>2015</v>
      </c>
      <c r="F73" s="349">
        <f t="shared" ref="F73:N73" si="1">+E73+1</f>
        <v>2016</v>
      </c>
      <c r="G73" s="349">
        <f t="shared" si="1"/>
        <v>2017</v>
      </c>
      <c r="H73" s="349">
        <f t="shared" si="1"/>
        <v>2018</v>
      </c>
      <c r="I73" s="349">
        <f t="shared" si="1"/>
        <v>2019</v>
      </c>
      <c r="J73" s="349">
        <f t="shared" si="1"/>
        <v>2020</v>
      </c>
      <c r="K73" s="349">
        <f t="shared" si="1"/>
        <v>2021</v>
      </c>
      <c r="L73" s="349">
        <f t="shared" si="1"/>
        <v>2022</v>
      </c>
      <c r="M73" s="349">
        <f t="shared" si="1"/>
        <v>2023</v>
      </c>
      <c r="N73" s="349">
        <f t="shared" si="1"/>
        <v>2024</v>
      </c>
      <c r="O73" s="11"/>
      <c r="P73" s="11"/>
      <c r="Q73" s="11"/>
      <c r="R73" s="11"/>
      <c r="S73" s="11"/>
      <c r="T73" s="11"/>
      <c r="U73" s="11"/>
      <c r="V73" s="11"/>
      <c r="W73" s="11"/>
    </row>
    <row r="74" spans="1:23" ht="15" customHeight="1" x14ac:dyDescent="0.25">
      <c r="A74" s="11"/>
      <c r="B74" s="11" t="s">
        <v>433</v>
      </c>
      <c r="C74" s="11"/>
      <c r="D74" s="11"/>
      <c r="E74" s="12">
        <v>193.30510000000001</v>
      </c>
      <c r="F74" s="12">
        <v>244.31190000000001</v>
      </c>
      <c r="G74" s="12">
        <v>329.3023</v>
      </c>
      <c r="H74" s="12">
        <v>502.87240000000003</v>
      </c>
      <c r="I74" s="12">
        <v>587.60040000000004</v>
      </c>
      <c r="J74" s="12">
        <v>878.61530000000005</v>
      </c>
      <c r="K74" s="12">
        <v>1501.4611</v>
      </c>
      <c r="L74" s="12">
        <v>2184.2206999999999</v>
      </c>
      <c r="M74" s="12">
        <v>3117.99</v>
      </c>
      <c r="N74" s="12">
        <v>4144.3894</v>
      </c>
      <c r="O74" s="11"/>
      <c r="S74" s="11"/>
      <c r="T74" s="11"/>
      <c r="U74" s="11"/>
      <c r="V74" s="11"/>
      <c r="W74" s="11"/>
    </row>
    <row r="75" spans="1:23" ht="15" customHeight="1" x14ac:dyDescent="0.25">
      <c r="A75" s="11"/>
      <c r="B75" s="11" t="s">
        <v>783</v>
      </c>
      <c r="C75" s="11"/>
      <c r="D75" s="11"/>
      <c r="E75" s="12">
        <v>-32.604300000000002</v>
      </c>
      <c r="F75" s="12">
        <v>-62.2746</v>
      </c>
      <c r="G75" s="12">
        <v>33.091900000000003</v>
      </c>
      <c r="H75" s="12">
        <v>57.365699999999997</v>
      </c>
      <c r="I75" s="12">
        <v>75.221400000000003</v>
      </c>
      <c r="J75" s="12">
        <v>91.358099999999993</v>
      </c>
      <c r="K75" s="12">
        <v>191.7621</v>
      </c>
      <c r="L75" s="12">
        <v>416.09109999999998</v>
      </c>
      <c r="M75" s="12">
        <v>627.36410000000001</v>
      </c>
      <c r="N75" s="12">
        <v>912.86710000000005</v>
      </c>
      <c r="O75" s="11"/>
      <c r="S75" s="11"/>
      <c r="T75" s="11"/>
      <c r="U75" s="11"/>
      <c r="V75" s="11"/>
      <c r="W75" s="11"/>
    </row>
    <row r="76" spans="1:23" ht="15" customHeight="1" x14ac:dyDescent="0.25">
      <c r="A76" s="11"/>
      <c r="B76" s="11" t="s">
        <v>284</v>
      </c>
      <c r="C76" s="11"/>
      <c r="D76" s="11"/>
      <c r="E76" s="15">
        <v>-5.3056902250997282E-2</v>
      </c>
      <c r="F76" s="15">
        <v>-8.7043512762180655E-2</v>
      </c>
      <c r="G76" s="15">
        <v>4.7438233044598294E-2</v>
      </c>
      <c r="H76" s="15">
        <v>6.810290719182624E-2</v>
      </c>
      <c r="I76" s="15">
        <v>6.717293825216139E-2</v>
      </c>
      <c r="J76" s="15">
        <v>6.9501637834131366E-2</v>
      </c>
      <c r="K76" s="15">
        <v>8.3796879638739177E-2</v>
      </c>
      <c r="L76" s="15">
        <v>0.11867608586477826</v>
      </c>
      <c r="M76" s="15">
        <v>0.14282664718914828</v>
      </c>
      <c r="N76" s="15">
        <v>0.16228879898021614</v>
      </c>
      <c r="O76" s="11"/>
      <c r="S76" s="11"/>
      <c r="T76" s="11"/>
      <c r="U76" s="11"/>
      <c r="V76" s="11"/>
      <c r="W76" s="11"/>
    </row>
    <row r="77" spans="1:23" ht="15" customHeight="1" x14ac:dyDescent="0.25">
      <c r="A77" s="11"/>
      <c r="B77" s="11" t="s">
        <v>419</v>
      </c>
      <c r="C77" s="11"/>
      <c r="D77" s="11"/>
      <c r="E77" s="15">
        <v>0.12094564830916664</v>
      </c>
      <c r="F77" s="15">
        <v>0.14368478778829577</v>
      </c>
      <c r="G77" s="15">
        <v>0.11163084349806608</v>
      </c>
      <c r="H77" s="15">
        <v>0.1269045969450309</v>
      </c>
      <c r="I77" s="15">
        <v>9.5629635130402318E-2</v>
      </c>
      <c r="J77" s="15">
        <v>9.2015969871793862E-2</v>
      </c>
      <c r="K77" s="15">
        <v>0.12654684031638019</v>
      </c>
      <c r="L77" s="15">
        <v>0.1125617999506181</v>
      </c>
      <c r="M77" s="15">
        <v>0.12043335160015387</v>
      </c>
      <c r="N77" s="15">
        <v>0.11213757325384006</v>
      </c>
      <c r="O77" s="11"/>
      <c r="S77" s="11"/>
      <c r="T77" s="11"/>
      <c r="U77" s="11"/>
      <c r="V77" s="11"/>
      <c r="W77" s="11"/>
    </row>
    <row r="78" spans="1:23" ht="15" customHeight="1" x14ac:dyDescent="0.25">
      <c r="A78" s="11"/>
      <c r="B78" s="11" t="s">
        <v>784</v>
      </c>
      <c r="C78" s="11"/>
      <c r="D78" s="11"/>
      <c r="E78" s="12">
        <v>-16.186199999999999</v>
      </c>
      <c r="F78" s="12">
        <v>-26.8645</v>
      </c>
      <c r="G78" s="12">
        <v>-34.408099999999997</v>
      </c>
      <c r="H78" s="12">
        <v>-36.968600000000002</v>
      </c>
      <c r="I78" s="12">
        <v>-24.782</v>
      </c>
      <c r="J78" s="12">
        <v>-96.962599999999995</v>
      </c>
      <c r="K78" s="12">
        <v>-69.281199999999998</v>
      </c>
      <c r="L78" s="12">
        <v>-209.4675</v>
      </c>
      <c r="M78" s="12">
        <v>-279.60660000000001</v>
      </c>
      <c r="N78" s="12">
        <v>-284.20269999999999</v>
      </c>
      <c r="O78" s="11"/>
      <c r="S78" s="11"/>
      <c r="T78" s="11"/>
      <c r="U78" s="11"/>
      <c r="V78" s="11"/>
      <c r="W78" s="11"/>
    </row>
    <row r="79" spans="1:23" ht="15" customHeight="1" x14ac:dyDescent="0.25">
      <c r="A79" s="11"/>
      <c r="B79" s="11" t="s">
        <v>785</v>
      </c>
      <c r="C79" s="11"/>
      <c r="D79" s="11"/>
      <c r="E79" s="15">
        <v>0.18651700000000002</v>
      </c>
      <c r="F79" s="15">
        <v>0.15937200000000001</v>
      </c>
      <c r="G79" s="15">
        <v>0.282107</v>
      </c>
      <c r="H79" s="15">
        <v>0.33338900000000005</v>
      </c>
      <c r="I79" s="15">
        <v>0.402113</v>
      </c>
      <c r="J79" s="15">
        <v>0.256693</v>
      </c>
      <c r="K79" s="15">
        <v>6.1959999999999994E-2</v>
      </c>
      <c r="L79" s="15">
        <v>0.21947800000000001</v>
      </c>
      <c r="M79" s="15">
        <v>0.31343399999999999</v>
      </c>
      <c r="N79" s="15">
        <v>0.25633500000000004</v>
      </c>
      <c r="O79" s="11"/>
      <c r="S79" s="11"/>
      <c r="T79" s="11"/>
      <c r="U79" s="11"/>
      <c r="V79" s="11"/>
      <c r="W79" s="11"/>
    </row>
    <row r="80" spans="1:23" ht="15" customHeight="1" x14ac:dyDescent="0.25">
      <c r="A80" s="11"/>
      <c r="B80" s="11" t="s">
        <v>786</v>
      </c>
      <c r="C80" s="11"/>
      <c r="D80" s="11"/>
      <c r="E80" s="15">
        <v>-0.16866756231470353</v>
      </c>
      <c r="F80" s="15">
        <v>-0.25489793988749626</v>
      </c>
      <c r="G80" s="15">
        <v>0.10049094707203686</v>
      </c>
      <c r="H80" s="15">
        <v>0.11407605587421381</v>
      </c>
      <c r="I80" s="15">
        <v>0.12801454866266257</v>
      </c>
      <c r="J80" s="15">
        <v>0.10397963704934343</v>
      </c>
      <c r="K80" s="15">
        <v>0.12771699513227483</v>
      </c>
      <c r="L80" s="15">
        <v>0.19049865244844535</v>
      </c>
      <c r="M80" s="15">
        <v>0.20120786147486042</v>
      </c>
      <c r="N80" s="15">
        <v>0.22026576460213898</v>
      </c>
      <c r="O80" s="11"/>
      <c r="S80" s="11"/>
      <c r="T80" s="11"/>
      <c r="U80" s="11"/>
      <c r="V80" s="11"/>
      <c r="W80" s="11"/>
    </row>
    <row r="81" spans="1:23" ht="15" customHeight="1" x14ac:dyDescent="0.25">
      <c r="A81" s="11"/>
      <c r="B81" s="11" t="s">
        <v>787</v>
      </c>
      <c r="C81" s="11"/>
      <c r="D81" s="11"/>
      <c r="E81" s="350">
        <v>-0.43868384677529587</v>
      </c>
      <c r="F81" s="350">
        <v>-0.6057949077422865</v>
      </c>
      <c r="G81" s="350">
        <v>0.42495632531362287</v>
      </c>
      <c r="H81" s="350">
        <v>0.53664649533007236</v>
      </c>
      <c r="I81" s="350">
        <v>0.70242805131027786</v>
      </c>
      <c r="J81" s="350">
        <v>0.75532147225061275</v>
      </c>
      <c r="K81" s="350">
        <v>0.66218073425806845</v>
      </c>
      <c r="L81" s="350">
        <v>1.0543193687098336</v>
      </c>
      <c r="M81" s="350">
        <v>1.1859393207235611</v>
      </c>
      <c r="N81" s="350">
        <v>1.4472294545990516</v>
      </c>
      <c r="O81" s="11"/>
      <c r="S81" s="11"/>
      <c r="T81" s="11"/>
      <c r="U81" s="11"/>
      <c r="V81" s="11"/>
      <c r="W81" s="11"/>
    </row>
    <row r="82" spans="1:23" ht="15" customHeight="1" x14ac:dyDescent="0.25">
      <c r="A82" s="11"/>
      <c r="B82" s="11" t="s">
        <v>788</v>
      </c>
      <c r="C82" s="11"/>
      <c r="D82" s="11"/>
      <c r="E82" s="15">
        <v>8.3733952182327306E-2</v>
      </c>
      <c r="F82" s="15">
        <v>0.10995985050257477</v>
      </c>
      <c r="G82" s="15">
        <v>0.10448788241078182</v>
      </c>
      <c r="H82" s="15">
        <v>7.3514871764686227E-2</v>
      </c>
      <c r="I82" s="15">
        <v>4.2174920234907938E-2</v>
      </c>
      <c r="J82" s="15">
        <v>0.11035842421592247</v>
      </c>
      <c r="K82" s="15">
        <v>4.6142520775263506E-2</v>
      </c>
      <c r="L82" s="15">
        <v>9.5900336444938922E-2</v>
      </c>
      <c r="M82" s="15">
        <v>8.9675271569184006E-2</v>
      </c>
      <c r="N82" s="15">
        <v>6.8575288798875894E-2</v>
      </c>
      <c r="O82" s="11"/>
      <c r="S82" s="11"/>
      <c r="T82" s="11"/>
      <c r="U82" s="11"/>
      <c r="V82" s="11"/>
      <c r="W82" s="11"/>
    </row>
    <row r="83" spans="1:23" ht="15" customHeight="1" x14ac:dyDescent="0.25">
      <c r="A83" s="11"/>
      <c r="B83" s="11"/>
      <c r="C83" s="11"/>
      <c r="D83" s="11"/>
      <c r="E83" s="11"/>
      <c r="F83" s="11"/>
      <c r="G83" s="11"/>
      <c r="H83" s="11"/>
      <c r="I83" s="11"/>
      <c r="J83" s="11"/>
      <c r="K83" s="11"/>
      <c r="L83" s="11"/>
      <c r="M83" s="11"/>
      <c r="N83" s="11"/>
      <c r="O83" s="11"/>
      <c r="S83" s="11"/>
      <c r="T83" s="11"/>
      <c r="U83" s="11"/>
      <c r="V83" s="11"/>
      <c r="W83" s="11"/>
    </row>
    <row r="84" spans="1:23" ht="15" customHeight="1" x14ac:dyDescent="0.25">
      <c r="A84" s="11" t="s">
        <v>38</v>
      </c>
      <c r="B84" s="351" t="str">
        <f>+E22</f>
        <v>LRCX US Equity</v>
      </c>
      <c r="C84" s="352"/>
      <c r="D84" s="352"/>
      <c r="E84" s="349">
        <f>+E73</f>
        <v>2015</v>
      </c>
      <c r="F84" s="349">
        <f>+F73</f>
        <v>2016</v>
      </c>
      <c r="G84" s="349">
        <f>+G73</f>
        <v>2017</v>
      </c>
      <c r="H84" s="349">
        <f t="shared" ref="H84:N84" si="2">+G84+1</f>
        <v>2018</v>
      </c>
      <c r="I84" s="349">
        <f t="shared" si="2"/>
        <v>2019</v>
      </c>
      <c r="J84" s="349">
        <f t="shared" si="2"/>
        <v>2020</v>
      </c>
      <c r="K84" s="349">
        <f t="shared" si="2"/>
        <v>2021</v>
      </c>
      <c r="L84" s="349">
        <f t="shared" si="2"/>
        <v>2022</v>
      </c>
      <c r="M84" s="349">
        <f t="shared" si="2"/>
        <v>2023</v>
      </c>
      <c r="N84" s="349">
        <f t="shared" si="2"/>
        <v>2024</v>
      </c>
      <c r="O84" s="11"/>
      <c r="S84" s="11"/>
      <c r="T84" s="11"/>
      <c r="U84" s="11"/>
      <c r="V84" s="11"/>
      <c r="W84" s="11"/>
    </row>
    <row r="85" spans="1:23" ht="15" customHeight="1" x14ac:dyDescent="0.25">
      <c r="A85" s="11"/>
      <c r="B85" s="11" t="s">
        <v>433</v>
      </c>
      <c r="C85" s="11"/>
      <c r="D85" s="11"/>
      <c r="E85" s="12">
        <v>5259.3119999999999</v>
      </c>
      <c r="F85" s="12">
        <v>5885.893</v>
      </c>
      <c r="G85" s="12">
        <v>8013.62</v>
      </c>
      <c r="H85" s="12">
        <v>11076.998</v>
      </c>
      <c r="I85" s="12">
        <v>9653.5589999999993</v>
      </c>
      <c r="J85" s="12">
        <v>10044.736000000001</v>
      </c>
      <c r="K85" s="12">
        <v>14626.15</v>
      </c>
      <c r="L85" s="12">
        <v>17227.039000000001</v>
      </c>
      <c r="M85" s="12">
        <v>17428.516</v>
      </c>
      <c r="N85" s="12">
        <v>14905.386</v>
      </c>
      <c r="O85" s="11"/>
      <c r="S85" s="11"/>
      <c r="T85" s="11"/>
      <c r="U85" s="11"/>
      <c r="V85" s="11"/>
      <c r="W85" s="11"/>
    </row>
    <row r="86" spans="1:23" ht="15" customHeight="1" x14ac:dyDescent="0.25">
      <c r="A86" s="11"/>
      <c r="B86" s="11" t="s">
        <v>783</v>
      </c>
      <c r="C86" s="11"/>
      <c r="D86" s="11"/>
      <c r="E86" s="12">
        <v>884.04300000000001</v>
      </c>
      <c r="F86" s="12">
        <v>1128.2809999999999</v>
      </c>
      <c r="G86" s="12">
        <v>1934.761</v>
      </c>
      <c r="H86" s="12">
        <v>3218.241</v>
      </c>
      <c r="I86" s="12">
        <v>2483.25</v>
      </c>
      <c r="J86" s="12">
        <v>2673.4470000000001</v>
      </c>
      <c r="K86" s="12">
        <v>4482.8490000000002</v>
      </c>
      <c r="L86" s="12">
        <v>5346.6469999999999</v>
      </c>
      <c r="M86" s="12">
        <v>5319.7759999999998</v>
      </c>
      <c r="N86" s="12">
        <v>4432.43</v>
      </c>
    </row>
    <row r="87" spans="1:23" ht="15" customHeight="1" x14ac:dyDescent="0.25">
      <c r="A87" s="11"/>
      <c r="B87" s="11" t="s">
        <v>284</v>
      </c>
      <c r="C87" s="11"/>
      <c r="D87" s="11"/>
      <c r="E87" s="15">
        <v>9.6868168133940891E-2</v>
      </c>
      <c r="F87" s="15">
        <v>0.11195553073470883</v>
      </c>
      <c r="G87" s="15">
        <v>0.17561253728595536</v>
      </c>
      <c r="H87" s="15">
        <v>0.2559153912415858</v>
      </c>
      <c r="I87" s="15">
        <v>0.23924528103765744</v>
      </c>
      <c r="J87" s="15">
        <v>0.22638224931443759</v>
      </c>
      <c r="K87" s="15">
        <v>0.34950600188629877</v>
      </c>
      <c r="L87" s="15">
        <v>0.40583355375962932</v>
      </c>
      <c r="M87" s="15">
        <v>0.35281874164893201</v>
      </c>
      <c r="N87" s="15">
        <v>0.27090708290333249</v>
      </c>
    </row>
    <row r="88" spans="1:23" ht="15" customHeight="1" x14ac:dyDescent="0.25">
      <c r="A88" s="11"/>
      <c r="B88" s="11" t="s">
        <v>419</v>
      </c>
      <c r="C88" s="11"/>
      <c r="D88" s="11"/>
      <c r="E88" s="15">
        <v>0.10378265545986755</v>
      </c>
      <c r="F88" s="15">
        <v>9.2376478049216518E-2</v>
      </c>
      <c r="G88" s="15">
        <v>0.10040359072140106</v>
      </c>
      <c r="H88" s="15">
        <v>0.12397271788629549</v>
      </c>
      <c r="I88" s="15">
        <v>0.10769410908890464</v>
      </c>
      <c r="J88" s="15">
        <v>0.11066273069578246</v>
      </c>
      <c r="K88" s="15">
        <v>0.13747906135109508</v>
      </c>
      <c r="L88" s="15">
        <v>0.12724600340810707</v>
      </c>
      <c r="M88" s="15">
        <v>0.13479495133568928</v>
      </c>
      <c r="N88" s="15">
        <v>0.12916866774564206</v>
      </c>
    </row>
    <row r="89" spans="1:23" ht="15" customHeight="1" x14ac:dyDescent="0.25">
      <c r="A89" s="11"/>
      <c r="B89" s="11" t="s">
        <v>784</v>
      </c>
      <c r="C89" s="11"/>
      <c r="D89" s="11"/>
      <c r="E89" s="12">
        <v>-198.26499999999999</v>
      </c>
      <c r="F89" s="12">
        <v>-175.33</v>
      </c>
      <c r="G89" s="12">
        <v>-157.41900000000001</v>
      </c>
      <c r="H89" s="12">
        <v>-273.46899999999999</v>
      </c>
      <c r="I89" s="12">
        <v>-303.49099999999999</v>
      </c>
      <c r="J89" s="12">
        <v>-203.239</v>
      </c>
      <c r="K89" s="12">
        <v>-349.096</v>
      </c>
      <c r="L89" s="12">
        <v>-546.03399999999999</v>
      </c>
      <c r="M89" s="12">
        <v>-501.56799999999998</v>
      </c>
      <c r="N89" s="12">
        <v>-396.67</v>
      </c>
    </row>
    <row r="90" spans="1:23" ht="15" customHeight="1" x14ac:dyDescent="0.25">
      <c r="A90" s="11"/>
      <c r="B90" s="11" t="s">
        <v>785</v>
      </c>
      <c r="C90" s="11"/>
      <c r="D90" s="11"/>
      <c r="E90" s="15">
        <v>0.510046</v>
      </c>
      <c r="F90" s="15">
        <v>0.76909000000000005</v>
      </c>
      <c r="G90" s="15">
        <v>0.41999200000000003</v>
      </c>
      <c r="H90" s="15">
        <v>0.38370399999999999</v>
      </c>
      <c r="I90" s="15">
        <v>0.971217</v>
      </c>
      <c r="J90" s="15">
        <v>1.159033</v>
      </c>
      <c r="K90" s="15">
        <v>0.85701300000000002</v>
      </c>
      <c r="L90" s="15">
        <v>0.832152</v>
      </c>
      <c r="M90" s="15">
        <v>0.63934199999999997</v>
      </c>
      <c r="N90" s="15">
        <v>0.58356600000000003</v>
      </c>
    </row>
    <row r="91" spans="1:23" ht="15" customHeight="1" x14ac:dyDescent="0.25">
      <c r="A91" s="11"/>
      <c r="B91" s="11" t="s">
        <v>786</v>
      </c>
      <c r="C91" s="11"/>
      <c r="D91" s="11"/>
      <c r="E91" s="15">
        <v>0.16809099745365935</v>
      </c>
      <c r="F91" s="15">
        <v>0.19169240759218695</v>
      </c>
      <c r="G91" s="15">
        <v>0.24143408347288742</v>
      </c>
      <c r="H91" s="15">
        <v>0.29053368069579866</v>
      </c>
      <c r="I91" s="15">
        <v>0.25723673517715073</v>
      </c>
      <c r="J91" s="15">
        <v>0.26615403331655507</v>
      </c>
      <c r="K91" s="15">
        <v>0.30649548924358089</v>
      </c>
      <c r="L91" s="15">
        <v>0.31036366725587605</v>
      </c>
      <c r="M91" s="15">
        <v>0.30523401992458793</v>
      </c>
      <c r="N91" s="15">
        <v>0.2973710308475071</v>
      </c>
    </row>
    <row r="92" spans="1:23" ht="15" customHeight="1" x14ac:dyDescent="0.25">
      <c r="A92" s="11"/>
      <c r="B92" s="11" t="s">
        <v>787</v>
      </c>
      <c r="C92" s="11"/>
      <c r="D92" s="11"/>
      <c r="E92" s="350">
        <v>0.93337530924326295</v>
      </c>
      <c r="F92" s="350">
        <v>1.2119484645762415</v>
      </c>
      <c r="G92" s="350">
        <v>1.7490663035472842</v>
      </c>
      <c r="H92" s="350">
        <v>2.0642879788785842</v>
      </c>
      <c r="I92" s="350">
        <v>2.2215261638884392</v>
      </c>
      <c r="J92" s="350">
        <v>2.0456954919789032</v>
      </c>
      <c r="K92" s="350">
        <v>2.5422489683263669</v>
      </c>
      <c r="L92" s="350">
        <v>3.1893618887033188</v>
      </c>
      <c r="M92" s="350">
        <v>2.6174477467652544</v>
      </c>
      <c r="N92" s="350">
        <v>2.0973126659229822</v>
      </c>
    </row>
    <row r="93" spans="1:23" ht="15" customHeight="1" x14ac:dyDescent="0.25">
      <c r="A93" s="11"/>
      <c r="B93" s="11" t="s">
        <v>788</v>
      </c>
      <c r="C93" s="11"/>
      <c r="D93" s="11"/>
      <c r="E93" s="15">
        <v>3.7697896607008674E-2</v>
      </c>
      <c r="F93" s="15">
        <v>2.9788173179498847E-2</v>
      </c>
      <c r="G93" s="15">
        <v>1.964393120711988E-2</v>
      </c>
      <c r="H93" s="15">
        <v>2.4688006624177417E-2</v>
      </c>
      <c r="I93" s="15">
        <v>3.1438249872404574E-2</v>
      </c>
      <c r="J93" s="15">
        <v>2.0233383933634493E-2</v>
      </c>
      <c r="K93" s="15">
        <v>2.386793517090964E-2</v>
      </c>
      <c r="L93" s="15">
        <v>3.1696335046318753E-2</v>
      </c>
      <c r="M93" s="15">
        <v>2.8778583328609275E-2</v>
      </c>
      <c r="N93" s="15">
        <v>2.6612527847316401E-2</v>
      </c>
    </row>
    <row r="94" spans="1:23" ht="15" customHeight="1" x14ac:dyDescent="0.25">
      <c r="A94" s="11"/>
      <c r="B94" s="11"/>
      <c r="C94" s="11"/>
      <c r="D94" s="11"/>
      <c r="E94" s="11"/>
      <c r="F94" s="11"/>
      <c r="G94" s="11"/>
      <c r="H94" s="11"/>
      <c r="I94" s="11"/>
      <c r="J94" s="11"/>
      <c r="K94" s="11"/>
      <c r="L94" s="11"/>
      <c r="M94" s="11"/>
      <c r="N94" s="11"/>
    </row>
    <row r="95" spans="1:23" ht="15" customHeight="1" x14ac:dyDescent="0.25">
      <c r="A95" s="11" t="s">
        <v>38</v>
      </c>
      <c r="B95" s="351" t="str">
        <f>+E23</f>
        <v>8035 JT Equity</v>
      </c>
      <c r="C95" s="352"/>
      <c r="D95" s="352"/>
      <c r="E95" s="349">
        <f>+E84</f>
        <v>2015</v>
      </c>
      <c r="F95" s="349">
        <f>+F84</f>
        <v>2016</v>
      </c>
      <c r="G95" s="349">
        <f>+G84</f>
        <v>2017</v>
      </c>
      <c r="H95" s="349">
        <f t="shared" ref="H95:N95" si="3">+G95+1</f>
        <v>2018</v>
      </c>
      <c r="I95" s="349">
        <f t="shared" si="3"/>
        <v>2019</v>
      </c>
      <c r="J95" s="349">
        <f t="shared" si="3"/>
        <v>2020</v>
      </c>
      <c r="K95" s="349">
        <f t="shared" si="3"/>
        <v>2021</v>
      </c>
      <c r="L95" s="349">
        <f t="shared" si="3"/>
        <v>2022</v>
      </c>
      <c r="M95" s="349">
        <f t="shared" si="3"/>
        <v>2023</v>
      </c>
      <c r="N95" s="349">
        <f t="shared" si="3"/>
        <v>2024</v>
      </c>
    </row>
    <row r="96" spans="1:23" ht="15" customHeight="1" x14ac:dyDescent="0.25">
      <c r="A96" s="11"/>
      <c r="B96" s="11" t="s">
        <v>433</v>
      </c>
      <c r="C96" s="11"/>
      <c r="D96" s="11"/>
      <c r="E96" s="12">
        <v>5605.3091000000004</v>
      </c>
      <c r="F96" s="12">
        <v>5535.0796</v>
      </c>
      <c r="G96" s="12">
        <v>7397.7664999999997</v>
      </c>
      <c r="H96" s="12">
        <v>10205.760200000001</v>
      </c>
      <c r="I96" s="12">
        <v>11529.995199999999</v>
      </c>
      <c r="J96" s="12">
        <v>10369.6518</v>
      </c>
      <c r="K96" s="12">
        <v>13197.8907</v>
      </c>
      <c r="L96" s="12">
        <v>17845.127100000002</v>
      </c>
      <c r="M96" s="12">
        <v>16339.9311</v>
      </c>
      <c r="N96" s="12">
        <v>12677.8</v>
      </c>
    </row>
    <row r="97" spans="1:14" ht="15" customHeight="1" x14ac:dyDescent="0.25">
      <c r="A97" s="11"/>
      <c r="B97" s="11" t="s">
        <v>783</v>
      </c>
      <c r="C97" s="11"/>
      <c r="D97" s="11"/>
      <c r="E97" s="12">
        <v>805.54769999999996</v>
      </c>
      <c r="F97" s="12">
        <v>973.61670000000004</v>
      </c>
      <c r="G97" s="12">
        <v>1440.2683999999999</v>
      </c>
      <c r="H97" s="12">
        <v>2537.8110000000001</v>
      </c>
      <c r="I97" s="12">
        <v>2801.4160999999999</v>
      </c>
      <c r="J97" s="12">
        <v>2182.7959999999998</v>
      </c>
      <c r="K97" s="12">
        <v>3025.0585999999998</v>
      </c>
      <c r="L97" s="12">
        <v>5336.8801999999996</v>
      </c>
      <c r="M97" s="12">
        <v>4569.2335999999996</v>
      </c>
      <c r="N97" s="12">
        <v>3159.9703</v>
      </c>
    </row>
    <row r="98" spans="1:14" ht="15" customHeight="1" x14ac:dyDescent="0.25">
      <c r="A98" s="11"/>
      <c r="B98" s="11" t="s">
        <v>284</v>
      </c>
      <c r="C98" s="11"/>
      <c r="D98" s="11"/>
      <c r="E98" s="15">
        <v>0.11513382188016857</v>
      </c>
      <c r="F98" s="15">
        <v>0.13878798674049081</v>
      </c>
      <c r="G98" s="15">
        <v>0.19511400973416523</v>
      </c>
      <c r="H98" s="15">
        <v>0.28856514778478742</v>
      </c>
      <c r="I98" s="15">
        <v>0.29267138313424451</v>
      </c>
      <c r="J98" s="15">
        <v>0.21471827101605245</v>
      </c>
      <c r="K98" s="15">
        <v>0.26750928666766388</v>
      </c>
      <c r="L98" s="15">
        <v>0.36100109052753254</v>
      </c>
      <c r="M98" s="15">
        <v>0.30613596378916141</v>
      </c>
      <c r="N98" s="15">
        <v>0.20258809775004799</v>
      </c>
    </row>
    <row r="99" spans="1:14" ht="15" customHeight="1" x14ac:dyDescent="0.25">
      <c r="A99" s="11"/>
      <c r="B99" s="11" t="s">
        <v>419</v>
      </c>
      <c r="C99" s="11"/>
      <c r="D99" s="11"/>
      <c r="E99" s="15">
        <v>0.1132014193147886</v>
      </c>
      <c r="F99" s="15">
        <v>0.12202146133946687</v>
      </c>
      <c r="G99" s="15">
        <v>9.7491166277681882E-2</v>
      </c>
      <c r="H99" s="15">
        <v>0.11617753223372249</v>
      </c>
      <c r="I99" s="15">
        <v>0.10748601700478561</v>
      </c>
      <c r="J99" s="15">
        <v>0.12178395824520717</v>
      </c>
      <c r="K99" s="15">
        <v>0.13204151457329658</v>
      </c>
      <c r="L99" s="15">
        <v>0.14462414444428481</v>
      </c>
      <c r="M99" s="15">
        <v>0.14725071971930276</v>
      </c>
      <c r="N99" s="15">
        <v>0.16006704817187811</v>
      </c>
    </row>
    <row r="100" spans="1:14" ht="15" customHeight="1" x14ac:dyDescent="0.25">
      <c r="A100" s="11"/>
      <c r="B100" s="11" t="s">
        <v>784</v>
      </c>
      <c r="C100" s="11"/>
      <c r="D100" s="11"/>
      <c r="E100" s="12">
        <v>-112.63200000000001</v>
      </c>
      <c r="F100" s="12">
        <v>-100.04770000000001</v>
      </c>
      <c r="G100" s="12">
        <v>-172.7338</v>
      </c>
      <c r="H100" s="12">
        <v>-376.82850000000002</v>
      </c>
      <c r="I100" s="12">
        <v>-419.59320000000002</v>
      </c>
      <c r="J100" s="12">
        <v>-485.25389999999999</v>
      </c>
      <c r="K100" s="12">
        <v>-574.75969999999995</v>
      </c>
      <c r="L100" s="12">
        <v>-579.7826</v>
      </c>
      <c r="M100" s="12">
        <v>-564.47940000000006</v>
      </c>
      <c r="N100" s="12">
        <v>-865.58209999999997</v>
      </c>
    </row>
    <row r="101" spans="1:14" ht="15" customHeight="1" x14ac:dyDescent="0.25">
      <c r="A101" s="11"/>
      <c r="B101" s="11" t="s">
        <v>785</v>
      </c>
      <c r="C101" s="11"/>
      <c r="D101" s="11"/>
      <c r="E101" s="15">
        <v>7.9999999999999996E-6</v>
      </c>
      <c r="F101" s="15">
        <v>3.9999999999999998E-6</v>
      </c>
      <c r="G101" s="15">
        <v>1.1000000000000001E-5</v>
      </c>
      <c r="H101" s="15">
        <v>5.0000000000000004E-6</v>
      </c>
      <c r="I101" s="15">
        <v>5.0000000000000004E-6</v>
      </c>
      <c r="J101" s="15">
        <v>4.0639999999999999E-3</v>
      </c>
      <c r="K101" s="15">
        <v>2.8389999999999999E-3</v>
      </c>
      <c r="L101" s="15">
        <v>3.2369999999999999E-3</v>
      </c>
      <c r="M101" s="15">
        <v>8.2660000000000008E-3</v>
      </c>
      <c r="N101" s="15">
        <v>7.5700000000000003E-3</v>
      </c>
    </row>
    <row r="102" spans="1:14" ht="15" customHeight="1" x14ac:dyDescent="0.25">
      <c r="A102" s="11"/>
      <c r="B102" s="11" t="s">
        <v>786</v>
      </c>
      <c r="C102" s="11"/>
      <c r="D102" s="11"/>
      <c r="E102" s="15">
        <v>0.14371155731625931</v>
      </c>
      <c r="F102" s="15">
        <v>0.17589931317338237</v>
      </c>
      <c r="G102" s="15">
        <v>0.19468962692996594</v>
      </c>
      <c r="H102" s="15">
        <v>0.24866457277724396</v>
      </c>
      <c r="I102" s="15">
        <v>0.2429676727011994</v>
      </c>
      <c r="J102" s="15">
        <v>0.21049848559042261</v>
      </c>
      <c r="K102" s="15">
        <v>0.22920773241439255</v>
      </c>
      <c r="L102" s="15">
        <v>0.2990665278029877</v>
      </c>
      <c r="M102" s="15">
        <v>0.27963603836738332</v>
      </c>
      <c r="N102" s="15">
        <v>0.24925225985581095</v>
      </c>
    </row>
    <row r="103" spans="1:14" ht="15" customHeight="1" x14ac:dyDescent="0.25">
      <c r="A103" s="11"/>
      <c r="B103" s="11" t="s">
        <v>787</v>
      </c>
      <c r="C103" s="11"/>
      <c r="D103" s="11"/>
      <c r="E103" s="350">
        <v>1.017070480008792</v>
      </c>
      <c r="F103" s="350">
        <v>1.1374063645605672</v>
      </c>
      <c r="G103" s="350">
        <v>2.0013506575398474</v>
      </c>
      <c r="H103" s="350">
        <v>2.4838292072193502</v>
      </c>
      <c r="I103" s="350">
        <v>2.7228786710108897</v>
      </c>
      <c r="J103" s="350">
        <v>1.7631079996901211</v>
      </c>
      <c r="K103" s="350">
        <v>2.0259483355075334</v>
      </c>
      <c r="L103" s="350">
        <v>2.4961329376548536</v>
      </c>
      <c r="M103" s="350">
        <v>2.0790116637306375</v>
      </c>
      <c r="N103" s="350">
        <v>1.2656452409399797</v>
      </c>
    </row>
    <row r="104" spans="1:14" ht="15" customHeight="1" x14ac:dyDescent="0.25">
      <c r="A104" s="11"/>
      <c r="B104" s="11" t="s">
        <v>788</v>
      </c>
      <c r="C104" s="11"/>
      <c r="D104" s="11"/>
      <c r="E104" s="15">
        <v>2.0093807137237088E-2</v>
      </c>
      <c r="F104" s="15">
        <v>1.8075205277987332E-2</v>
      </c>
      <c r="G104" s="15">
        <v>2.3349452838231647E-2</v>
      </c>
      <c r="H104" s="15">
        <v>3.6923119161667156E-2</v>
      </c>
      <c r="I104" s="15">
        <v>3.639144619938784E-2</v>
      </c>
      <c r="J104" s="15">
        <v>4.6795582856504404E-2</v>
      </c>
      <c r="K104" s="15">
        <v>4.3549360505008572E-2</v>
      </c>
      <c r="L104" s="15">
        <v>3.2489687338791776E-2</v>
      </c>
      <c r="M104" s="15">
        <v>3.4546008581394817E-2</v>
      </c>
      <c r="N104" s="15">
        <v>6.8275418447995714E-2</v>
      </c>
    </row>
    <row r="105" spans="1:14" ht="15" customHeight="1" x14ac:dyDescent="0.25">
      <c r="A105" s="11"/>
      <c r="B105" s="11"/>
      <c r="C105" s="11"/>
      <c r="D105" s="11"/>
      <c r="E105" s="11"/>
      <c r="F105" s="11"/>
      <c r="G105" s="11"/>
      <c r="H105" s="11"/>
      <c r="I105" s="11"/>
      <c r="J105" s="11"/>
      <c r="K105" s="11"/>
      <c r="L105" s="11"/>
      <c r="M105" s="11"/>
      <c r="N105" s="11"/>
    </row>
    <row r="106" spans="1:14" ht="15" customHeight="1" x14ac:dyDescent="0.25">
      <c r="A106" s="11" t="s">
        <v>38</v>
      </c>
      <c r="B106" s="351" t="str">
        <f>+E24</f>
        <v>7735 JT Equity</v>
      </c>
      <c r="C106" s="352"/>
      <c r="D106" s="352"/>
      <c r="E106" s="349">
        <f>+E95</f>
        <v>2015</v>
      </c>
      <c r="F106" s="349">
        <f>+F95</f>
        <v>2016</v>
      </c>
      <c r="G106" s="349">
        <f>+G95</f>
        <v>2017</v>
      </c>
      <c r="H106" s="349">
        <f t="shared" ref="H106:N106" si="4">+G106+1</f>
        <v>2018</v>
      </c>
      <c r="I106" s="349">
        <f t="shared" si="4"/>
        <v>2019</v>
      </c>
      <c r="J106" s="349">
        <f t="shared" si="4"/>
        <v>2020</v>
      </c>
      <c r="K106" s="349">
        <f t="shared" si="4"/>
        <v>2021</v>
      </c>
      <c r="L106" s="349">
        <f t="shared" si="4"/>
        <v>2022</v>
      </c>
      <c r="M106" s="349">
        <f t="shared" si="4"/>
        <v>2023</v>
      </c>
      <c r="N106" s="349">
        <f t="shared" si="4"/>
        <v>2024</v>
      </c>
    </row>
    <row r="107" spans="1:14" ht="15" customHeight="1" x14ac:dyDescent="0.25">
      <c r="A107" s="11"/>
      <c r="B107" s="11" t="s">
        <v>433</v>
      </c>
      <c r="C107" s="11"/>
      <c r="D107" s="11"/>
      <c r="E107" s="12">
        <v>2172.6008000000002</v>
      </c>
      <c r="F107" s="12">
        <v>2164.8108000000002</v>
      </c>
      <c r="G107" s="12">
        <v>2777.2925</v>
      </c>
      <c r="H107" s="12">
        <v>3063.0783000000001</v>
      </c>
      <c r="I107" s="12">
        <v>3285.4677000000001</v>
      </c>
      <c r="J107" s="12">
        <v>2973.4953</v>
      </c>
      <c r="K107" s="12">
        <v>3021.6343999999999</v>
      </c>
      <c r="L107" s="12">
        <v>3667.9133999999999</v>
      </c>
      <c r="M107" s="12">
        <v>3408.7417999999998</v>
      </c>
      <c r="N107" s="12">
        <v>3496.9295999999999</v>
      </c>
    </row>
    <row r="108" spans="1:14" ht="15" customHeight="1" x14ac:dyDescent="0.25">
      <c r="A108" s="11"/>
      <c r="B108" s="11" t="s">
        <v>783</v>
      </c>
      <c r="C108" s="11"/>
      <c r="D108" s="11"/>
      <c r="E108" s="12">
        <v>156.9443</v>
      </c>
      <c r="F108" s="12">
        <v>196.38570000000001</v>
      </c>
      <c r="G108" s="12">
        <v>312.02719999999999</v>
      </c>
      <c r="H108" s="12">
        <v>385.62860000000001</v>
      </c>
      <c r="I108" s="12">
        <v>267.4042</v>
      </c>
      <c r="J108" s="12">
        <v>115.5458</v>
      </c>
      <c r="K108" s="12">
        <v>231.0359</v>
      </c>
      <c r="L108" s="12">
        <v>545.67409999999995</v>
      </c>
      <c r="M108" s="12">
        <v>565.50760000000002</v>
      </c>
      <c r="N108" s="12">
        <v>652.15769999999998</v>
      </c>
    </row>
    <row r="109" spans="1:14" ht="15" customHeight="1" x14ac:dyDescent="0.25">
      <c r="A109" s="11"/>
      <c r="B109" s="11" t="s">
        <v>284</v>
      </c>
      <c r="C109" s="11"/>
      <c r="D109" s="11"/>
      <c r="E109" s="15">
        <v>9.2140176914556143E-2</v>
      </c>
      <c r="F109" s="15">
        <v>0.1091137766450896</v>
      </c>
      <c r="G109" s="15">
        <v>0.15076596865972541</v>
      </c>
      <c r="H109" s="15">
        <v>0.1544603050173812</v>
      </c>
      <c r="I109" s="15">
        <v>8.7502884524226693E-2</v>
      </c>
      <c r="J109" s="15">
        <v>3.0757731883542833E-2</v>
      </c>
      <c r="K109" s="15">
        <v>7.1667980441463192E-2</v>
      </c>
      <c r="L109" s="15">
        <v>0.17112611526503965</v>
      </c>
      <c r="M109" s="15">
        <v>0.1720320346100358</v>
      </c>
      <c r="N109" s="15">
        <v>0.19088510675828224</v>
      </c>
    </row>
    <row r="110" spans="1:14" ht="15" customHeight="1" x14ac:dyDescent="0.25">
      <c r="A110" s="11"/>
      <c r="B110" s="11" t="s">
        <v>419</v>
      </c>
      <c r="C110" s="11"/>
      <c r="D110" s="11"/>
      <c r="E110" s="15">
        <v>9.1156344851093446E-2</v>
      </c>
      <c r="F110" s="15">
        <v>9.4384290125095818E-2</v>
      </c>
      <c r="G110" s="15">
        <v>9.1581328053901886E-2</v>
      </c>
      <c r="H110" s="15">
        <v>0.11075290190772166</v>
      </c>
      <c r="I110" s="15">
        <v>8.0688722673004407E-2</v>
      </c>
      <c r="J110" s="15">
        <v>9.7868995550682722E-2</v>
      </c>
      <c r="K110" s="15">
        <v>0.14097155307361983</v>
      </c>
      <c r="L110" s="15">
        <v>0.14957588366127758</v>
      </c>
      <c r="M110" s="15">
        <v>0.14377893992997476</v>
      </c>
      <c r="N110" s="15">
        <v>0.13728536345764814</v>
      </c>
    </row>
    <row r="111" spans="1:14" ht="15" customHeight="1" x14ac:dyDescent="0.25">
      <c r="A111" s="11"/>
      <c r="B111" s="11" t="s">
        <v>784</v>
      </c>
      <c r="C111" s="11"/>
      <c r="D111" s="11"/>
      <c r="E111" s="12">
        <v>-42.557000000000002</v>
      </c>
      <c r="F111" s="12">
        <v>-45.501300000000001</v>
      </c>
      <c r="G111" s="12">
        <v>-50.840499999999999</v>
      </c>
      <c r="H111" s="12">
        <v>-106.7936</v>
      </c>
      <c r="I111" s="12">
        <v>-179.16849999999999</v>
      </c>
      <c r="J111" s="12">
        <v>-95.584500000000006</v>
      </c>
      <c r="K111" s="12">
        <v>-63.352800000000002</v>
      </c>
      <c r="L111" s="12">
        <v>-90.400999999999996</v>
      </c>
      <c r="M111" s="12">
        <v>-153.8185</v>
      </c>
      <c r="N111" s="12">
        <v>-279.3646</v>
      </c>
    </row>
    <row r="112" spans="1:14" ht="15" customHeight="1" x14ac:dyDescent="0.25">
      <c r="A112" s="11"/>
      <c r="B112" s="11" t="s">
        <v>785</v>
      </c>
      <c r="C112" s="11"/>
      <c r="D112" s="11"/>
      <c r="E112" s="15">
        <v>0.35579700000000003</v>
      </c>
      <c r="F112" s="15">
        <v>0.32950099999999999</v>
      </c>
      <c r="G112" s="15">
        <v>0.12303800000000001</v>
      </c>
      <c r="H112" s="15">
        <v>7.6978000000000005E-2</v>
      </c>
      <c r="I112" s="15">
        <v>0.30881500000000001</v>
      </c>
      <c r="J112" s="15">
        <v>0.38646599999999998</v>
      </c>
      <c r="K112" s="15">
        <v>0.209928</v>
      </c>
      <c r="L112" s="15">
        <v>0.17852399999999999</v>
      </c>
      <c r="M112" s="15">
        <v>9.6194000000000002E-2</v>
      </c>
      <c r="N112" s="15">
        <v>1.9314000000000001E-2</v>
      </c>
    </row>
    <row r="113" spans="1:23" ht="15" customHeight="1" x14ac:dyDescent="0.25">
      <c r="A113" s="11"/>
      <c r="B113" s="11" t="s">
        <v>786</v>
      </c>
      <c r="C113" s="11"/>
      <c r="D113" s="11"/>
      <c r="E113" s="15">
        <v>7.223798315824978E-2</v>
      </c>
      <c r="F113" s="15">
        <v>9.0717258062459769E-2</v>
      </c>
      <c r="G113" s="15">
        <v>0.11234941944357679</v>
      </c>
      <c r="H113" s="15">
        <v>0.12589576962495538</v>
      </c>
      <c r="I113" s="15">
        <v>8.1389995098719123E-2</v>
      </c>
      <c r="J113" s="15">
        <v>3.8858578320268407E-2</v>
      </c>
      <c r="K113" s="15">
        <v>7.6460573787484026E-2</v>
      </c>
      <c r="L113" s="15">
        <v>0.14876962471360419</v>
      </c>
      <c r="M113" s="15">
        <v>0.16589921829808291</v>
      </c>
      <c r="N113" s="15">
        <v>0.18649437495109997</v>
      </c>
    </row>
    <row r="114" spans="1:23" ht="15" customHeight="1" x14ac:dyDescent="0.25">
      <c r="A114" s="11"/>
      <c r="B114" s="11" t="s">
        <v>787</v>
      </c>
      <c r="C114" s="11"/>
      <c r="D114" s="11"/>
      <c r="E114" s="350">
        <v>1.0107927985163272</v>
      </c>
      <c r="F114" s="350">
        <v>1.1560586671836117</v>
      </c>
      <c r="G114" s="350">
        <v>1.6462522641186128</v>
      </c>
      <c r="H114" s="350">
        <v>1.3946388975530064</v>
      </c>
      <c r="I114" s="350">
        <v>1.0844499903516513</v>
      </c>
      <c r="J114" s="350">
        <v>0.31427452290153057</v>
      </c>
      <c r="K114" s="350">
        <v>0.50838611676524481</v>
      </c>
      <c r="L114" s="350">
        <v>1.1440755760638774</v>
      </c>
      <c r="M114" s="350">
        <v>1.1965037069672462</v>
      </c>
      <c r="N114" s="350">
        <v>1.3904257668164994</v>
      </c>
    </row>
    <row r="115" spans="1:23" ht="15" customHeight="1" x14ac:dyDescent="0.25">
      <c r="A115" s="11"/>
      <c r="B115" s="11" t="s">
        <v>788</v>
      </c>
      <c r="C115" s="11"/>
      <c r="D115" s="11"/>
      <c r="E115" s="15">
        <v>1.9588043970157794E-2</v>
      </c>
      <c r="F115" s="15">
        <v>2.1018603565725002E-2</v>
      </c>
      <c r="G115" s="15">
        <v>1.8305778019419992E-2</v>
      </c>
      <c r="H115" s="15">
        <v>3.4864795979913404E-2</v>
      </c>
      <c r="I115" s="15">
        <v>5.4533636109099469E-2</v>
      </c>
      <c r="J115" s="15">
        <v>3.2145502298254851E-2</v>
      </c>
      <c r="K115" s="15">
        <v>2.0966401494502445E-2</v>
      </c>
      <c r="L115" s="15">
        <v>2.4646437944799895E-2</v>
      </c>
      <c r="M115" s="15">
        <v>4.512471434474738E-2</v>
      </c>
      <c r="N115" s="15">
        <v>7.9888539935147676E-2</v>
      </c>
    </row>
    <row r="116" spans="1:23" ht="15" customHeight="1" x14ac:dyDescent="0.25">
      <c r="A116" s="11"/>
      <c r="B116" s="11"/>
      <c r="C116" s="11"/>
      <c r="D116" s="11"/>
      <c r="E116" s="11"/>
      <c r="F116" s="11"/>
      <c r="G116" s="11"/>
      <c r="H116" s="11"/>
      <c r="I116" s="11"/>
      <c r="J116" s="11"/>
      <c r="K116" s="11"/>
      <c r="L116" s="11"/>
      <c r="M116" s="11"/>
      <c r="N116" s="11"/>
    </row>
    <row r="117" spans="1:23" ht="15" customHeight="1" x14ac:dyDescent="0.25">
      <c r="A117" s="11" t="s">
        <v>38</v>
      </c>
      <c r="B117" s="351" t="str">
        <f>+E25</f>
        <v>005930 KS Equity</v>
      </c>
      <c r="C117" s="352"/>
      <c r="D117" s="352"/>
      <c r="E117" s="349">
        <f>+E106</f>
        <v>2015</v>
      </c>
      <c r="F117" s="349">
        <f>+F106</f>
        <v>2016</v>
      </c>
      <c r="G117" s="349">
        <f>+G106</f>
        <v>2017</v>
      </c>
      <c r="H117" s="349">
        <f t="shared" ref="H117:N117" si="5">+G117+1</f>
        <v>2018</v>
      </c>
      <c r="I117" s="349">
        <f t="shared" si="5"/>
        <v>2019</v>
      </c>
      <c r="J117" s="349">
        <f t="shared" si="5"/>
        <v>2020</v>
      </c>
      <c r="K117" s="349">
        <f t="shared" si="5"/>
        <v>2021</v>
      </c>
      <c r="L117" s="349">
        <f t="shared" si="5"/>
        <v>2022</v>
      </c>
      <c r="M117" s="349">
        <f t="shared" si="5"/>
        <v>2023</v>
      </c>
      <c r="N117" s="349">
        <f t="shared" si="5"/>
        <v>2024</v>
      </c>
    </row>
    <row r="118" spans="1:23" ht="15" customHeight="1" x14ac:dyDescent="0.25">
      <c r="A118" s="11"/>
      <c r="B118" s="11" t="s">
        <v>433</v>
      </c>
      <c r="C118" s="11"/>
      <c r="D118" s="11"/>
      <c r="E118" s="12">
        <v>177404.21160000001</v>
      </c>
      <c r="F118" s="12">
        <v>174075.552</v>
      </c>
      <c r="G118" s="12">
        <v>211987.32199999999</v>
      </c>
      <c r="H118" s="12">
        <v>221630.95170000001</v>
      </c>
      <c r="I118" s="12">
        <v>197776.51120000001</v>
      </c>
      <c r="J118" s="12">
        <v>201062.245</v>
      </c>
      <c r="K118" s="12">
        <v>244312.11439999999</v>
      </c>
      <c r="L118" s="12">
        <v>234593.13</v>
      </c>
      <c r="M118" s="12">
        <v>198277.07560000001</v>
      </c>
      <c r="N118" s="12">
        <v>220655.9497</v>
      </c>
      <c r="O118" s="11"/>
      <c r="P118" s="11"/>
      <c r="Q118" s="11"/>
      <c r="R118" s="11"/>
      <c r="S118" s="11"/>
      <c r="T118" s="11"/>
      <c r="U118" s="11"/>
      <c r="V118" s="11"/>
      <c r="W118" s="11"/>
    </row>
    <row r="119" spans="1:23" ht="15" customHeight="1" x14ac:dyDescent="0.25">
      <c r="A119" s="11"/>
      <c r="B119" s="11" t="s">
        <v>783</v>
      </c>
      <c r="C119" s="11"/>
      <c r="D119" s="11"/>
      <c r="E119" s="12">
        <v>23352.9755</v>
      </c>
      <c r="F119" s="12">
        <v>25215.08</v>
      </c>
      <c r="G119" s="12">
        <v>47467.599300000002</v>
      </c>
      <c r="H119" s="12">
        <v>53538.305500000002</v>
      </c>
      <c r="I119" s="12">
        <v>23836.5357</v>
      </c>
      <c r="J119" s="12">
        <v>30560.793699999998</v>
      </c>
      <c r="K119" s="12">
        <v>45116.452100000002</v>
      </c>
      <c r="L119" s="12">
        <v>33669.105000000003</v>
      </c>
      <c r="M119" s="12">
        <v>5028.5914000000002</v>
      </c>
      <c r="N119" s="12">
        <v>24000.918399999999</v>
      </c>
      <c r="O119" s="11"/>
      <c r="P119" s="11"/>
      <c r="Q119" s="11"/>
      <c r="R119" s="11"/>
      <c r="S119" s="11"/>
      <c r="T119" s="11"/>
      <c r="U119" s="11"/>
      <c r="V119" s="11"/>
      <c r="W119" s="11"/>
    </row>
    <row r="120" spans="1:23" ht="15" customHeight="1" x14ac:dyDescent="0.25">
      <c r="A120" s="11"/>
      <c r="B120" s="11" t="s">
        <v>284</v>
      </c>
      <c r="C120" s="11"/>
      <c r="D120" s="11"/>
      <c r="E120" s="15">
        <v>0.10305186919834963</v>
      </c>
      <c r="F120" s="15">
        <v>0.10594337746153552</v>
      </c>
      <c r="G120" s="15">
        <v>0.17446625764983362</v>
      </c>
      <c r="H120" s="15">
        <v>0.16125952910389307</v>
      </c>
      <c r="I120" s="15">
        <v>6.8780167184438745E-2</v>
      </c>
      <c r="J120" s="15">
        <v>8.5586100628447029E-2</v>
      </c>
      <c r="K120" s="15">
        <v>0.11610757767367355</v>
      </c>
      <c r="L120" s="15">
        <v>0.1482320046094012</v>
      </c>
      <c r="M120" s="15">
        <v>3.1813752008549814E-2</v>
      </c>
      <c r="N120" s="15">
        <v>7.6187388402455924E-2</v>
      </c>
      <c r="O120" s="11"/>
      <c r="P120" s="11"/>
      <c r="Q120" s="11"/>
      <c r="R120" s="11"/>
      <c r="S120" s="11"/>
      <c r="T120" s="11"/>
      <c r="U120" s="11"/>
      <c r="V120" s="11"/>
      <c r="W120" s="11"/>
    </row>
    <row r="121" spans="1:23" ht="15" customHeight="1" x14ac:dyDescent="0.25">
      <c r="A121" s="11"/>
      <c r="B121" s="11" t="s">
        <v>419</v>
      </c>
      <c r="C121" s="11"/>
      <c r="D121" s="11"/>
      <c r="E121" s="15">
        <v>0.12053532927043094</v>
      </c>
      <c r="F121" s="15">
        <v>0.10600966836344564</v>
      </c>
      <c r="G121" s="15">
        <v>0.1593769632933901</v>
      </c>
      <c r="H121" s="15">
        <v>0.14381180791747308</v>
      </c>
      <c r="I121" s="15">
        <v>0.14924229313860626</v>
      </c>
      <c r="J121" s="15">
        <v>0.14675603067830162</v>
      </c>
      <c r="K121" s="15">
        <v>0.12043064716636298</v>
      </c>
      <c r="L121" s="15">
        <v>0.17835688643585357</v>
      </c>
      <c r="M121" s="15">
        <v>0.17169243953028096</v>
      </c>
      <c r="N121" s="15">
        <v>0.22312240167340516</v>
      </c>
      <c r="O121" s="11"/>
      <c r="P121" s="11"/>
      <c r="Q121" s="11"/>
      <c r="R121" s="11"/>
      <c r="S121" s="11"/>
      <c r="T121" s="11"/>
      <c r="U121" s="11"/>
      <c r="V121" s="11"/>
      <c r="W121" s="11"/>
    </row>
    <row r="122" spans="1:23" ht="15" customHeight="1" x14ac:dyDescent="0.25">
      <c r="A122" s="11"/>
      <c r="B122" s="11" t="s">
        <v>784</v>
      </c>
      <c r="C122" s="11"/>
      <c r="D122" s="11"/>
      <c r="E122" s="12">
        <v>-24209.3999</v>
      </c>
      <c r="F122" s="12">
        <v>-21722.620699999999</v>
      </c>
      <c r="G122" s="12">
        <v>-38734.997100000001</v>
      </c>
      <c r="H122" s="12">
        <v>-27799.7834</v>
      </c>
      <c r="I122" s="12">
        <v>-24565.456999999999</v>
      </c>
      <c r="J122" s="12">
        <v>-34192.999100000001</v>
      </c>
      <c r="K122" s="12">
        <v>-43539.429700000001</v>
      </c>
      <c r="L122" s="12">
        <v>-41237.171199999997</v>
      </c>
      <c r="M122" s="12">
        <v>-46353.388700000003</v>
      </c>
      <c r="N122" s="12">
        <v>-39413.623200000002</v>
      </c>
      <c r="O122" s="11"/>
      <c r="P122" s="11"/>
      <c r="Q122" s="11"/>
      <c r="R122" s="11"/>
      <c r="S122" s="11"/>
      <c r="T122" s="11"/>
      <c r="U122" s="11"/>
      <c r="V122" s="11"/>
      <c r="W122" s="11"/>
    </row>
    <row r="123" spans="1:23" ht="15" customHeight="1" x14ac:dyDescent="0.25">
      <c r="A123" s="11"/>
      <c r="B123" s="11" t="s">
        <v>785</v>
      </c>
      <c r="C123" s="11"/>
      <c r="D123" s="11"/>
      <c r="E123" s="15">
        <v>7.1898000000000003E-4</v>
      </c>
      <c r="F123" s="15">
        <v>7.9199000000000001E-4</v>
      </c>
      <c r="G123" s="15">
        <v>8.7715000000000004E-4</v>
      </c>
      <c r="H123" s="15">
        <v>5.9200000000000008E-4</v>
      </c>
      <c r="I123" s="15">
        <v>7.0039999999999989E-4</v>
      </c>
      <c r="J123" s="15">
        <v>7.3264999999999995E-4</v>
      </c>
      <c r="K123" s="15">
        <v>6.0321999999999991E-4</v>
      </c>
      <c r="L123" s="15">
        <v>2.9127999999999999E-4</v>
      </c>
      <c r="M123" s="15">
        <v>3.4881999999999996E-4</v>
      </c>
      <c r="N123" s="15">
        <v>4.8061999999999996E-4</v>
      </c>
      <c r="O123" s="11"/>
      <c r="P123" s="11"/>
      <c r="Q123" s="11"/>
      <c r="R123" s="11"/>
      <c r="S123" s="11"/>
      <c r="T123" s="11"/>
      <c r="U123" s="11"/>
      <c r="V123" s="11"/>
      <c r="W123" s="11"/>
    </row>
    <row r="124" spans="1:23" ht="15" customHeight="1" x14ac:dyDescent="0.25">
      <c r="A124" s="11"/>
      <c r="B124" s="11" t="s">
        <v>786</v>
      </c>
      <c r="C124" s="11"/>
      <c r="D124" s="11"/>
      <c r="E124" s="15">
        <v>0.13163709750394673</v>
      </c>
      <c r="F124" s="15">
        <v>0.14485135741519867</v>
      </c>
      <c r="G124" s="15">
        <v>0.22391716095172901</v>
      </c>
      <c r="H124" s="15">
        <v>0.24156511123261129</v>
      </c>
      <c r="I124" s="15">
        <v>0.12052258155113012</v>
      </c>
      <c r="J124" s="15">
        <v>0.15199667993361957</v>
      </c>
      <c r="K124" s="15">
        <v>0.18466727370765207</v>
      </c>
      <c r="L124" s="15">
        <v>0.14352127447210411</v>
      </c>
      <c r="M124" s="15">
        <v>2.5361436186120551E-2</v>
      </c>
      <c r="N124" s="15">
        <v>0.10877077383424844</v>
      </c>
      <c r="O124" s="11"/>
      <c r="P124" s="11"/>
      <c r="Q124" s="11"/>
      <c r="R124" s="11"/>
      <c r="S124" s="11"/>
      <c r="T124" s="11"/>
      <c r="U124" s="11"/>
      <c r="V124" s="11"/>
      <c r="W124" s="11"/>
    </row>
    <row r="125" spans="1:23" ht="15" customHeight="1" x14ac:dyDescent="0.25">
      <c r="A125" s="11"/>
      <c r="B125" s="11" t="s">
        <v>787</v>
      </c>
      <c r="C125" s="11"/>
      <c r="D125" s="11"/>
      <c r="E125" s="350">
        <v>0.8549515716437317</v>
      </c>
      <c r="F125" s="350">
        <v>0.9993746711697763</v>
      </c>
      <c r="G125" s="350">
        <v>1.094676759078828</v>
      </c>
      <c r="H125" s="350">
        <v>1.1213232865859835</v>
      </c>
      <c r="I125" s="350">
        <v>0.46086243877638844</v>
      </c>
      <c r="J125" s="350">
        <v>0.58318625975962179</v>
      </c>
      <c r="K125" s="350">
        <v>0.96410324452780249</v>
      </c>
      <c r="L125" s="350">
        <v>0.83109773651892693</v>
      </c>
      <c r="M125" s="350">
        <v>0.18529500830430512</v>
      </c>
      <c r="N125" s="350">
        <v>0.34146005883342462</v>
      </c>
      <c r="O125" s="11"/>
      <c r="P125" s="11"/>
      <c r="Q125" s="11"/>
      <c r="R125" s="11"/>
      <c r="S125" s="11"/>
      <c r="T125" s="11"/>
      <c r="U125" s="11"/>
      <c r="V125" s="11"/>
      <c r="W125" s="11"/>
    </row>
    <row r="126" spans="1:23" ht="15" customHeight="1" x14ac:dyDescent="0.25">
      <c r="A126" s="11"/>
      <c r="B126" s="11" t="s">
        <v>788</v>
      </c>
      <c r="C126" s="11"/>
      <c r="D126" s="11"/>
      <c r="E126" s="15">
        <v>0.1364646288927224</v>
      </c>
      <c r="F126" s="15">
        <v>0.12478846368960531</v>
      </c>
      <c r="G126" s="15">
        <v>0.18272317766248306</v>
      </c>
      <c r="H126" s="15">
        <v>0.12543276643791987</v>
      </c>
      <c r="I126" s="15">
        <v>0.12420816228858626</v>
      </c>
      <c r="J126" s="15">
        <v>0.17006175923281869</v>
      </c>
      <c r="K126" s="15">
        <v>0.17821232404675222</v>
      </c>
      <c r="L126" s="15">
        <v>0.1757816658995939</v>
      </c>
      <c r="M126" s="15">
        <v>0.23378087738953923</v>
      </c>
      <c r="N126" s="15">
        <v>0.17862026042617968</v>
      </c>
      <c r="O126" s="11"/>
      <c r="P126" s="11"/>
      <c r="Q126" s="11"/>
      <c r="R126" s="11"/>
      <c r="S126" s="11"/>
      <c r="T126" s="11"/>
      <c r="U126" s="11"/>
      <c r="V126" s="11"/>
      <c r="W126" s="11"/>
    </row>
    <row r="127" spans="1:23" ht="15" customHeight="1"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spans="1:23" ht="15" customHeight="1" x14ac:dyDescent="0.25">
      <c r="A128" s="11"/>
      <c r="B128" s="367" t="s">
        <v>789</v>
      </c>
      <c r="C128" s="367"/>
      <c r="D128" s="367"/>
      <c r="E128" s="33"/>
      <c r="F128" s="323"/>
      <c r="G128" s="323"/>
      <c r="H128" s="323"/>
      <c r="I128" s="323"/>
      <c r="J128" s="323"/>
      <c r="K128" s="33"/>
      <c r="L128" s="323"/>
      <c r="M128" s="323"/>
      <c r="N128" s="323"/>
      <c r="O128" s="323"/>
      <c r="P128" s="323"/>
      <c r="Q128" s="33"/>
      <c r="R128" s="323"/>
      <c r="S128" s="323"/>
      <c r="T128" s="323"/>
      <c r="U128" s="323"/>
      <c r="V128" s="33"/>
      <c r="W128" s="323"/>
    </row>
    <row r="129" spans="1:23" ht="15" customHeight="1" x14ac:dyDescent="0.25">
      <c r="A129" s="11"/>
      <c r="B129" s="368"/>
      <c r="C129" s="368"/>
      <c r="D129" s="368"/>
      <c r="E129" s="33"/>
      <c r="F129" s="369"/>
      <c r="G129" s="369"/>
      <c r="H129" s="369"/>
      <c r="I129" s="369"/>
      <c r="J129" s="369"/>
      <c r="K129" s="370"/>
      <c r="L129" s="369"/>
      <c r="M129" s="369"/>
      <c r="N129" s="369"/>
      <c r="O129" s="369"/>
      <c r="P129" s="369"/>
      <c r="Q129" s="370"/>
      <c r="R129" s="369"/>
      <c r="S129" s="369"/>
      <c r="T129" s="369"/>
      <c r="U129" s="369"/>
      <c r="V129" s="370"/>
      <c r="W129" s="519"/>
    </row>
    <row r="130" spans="1:23" ht="15" customHeight="1" x14ac:dyDescent="0.25">
      <c r="A130" s="11"/>
      <c r="B130" s="368"/>
      <c r="C130" s="368"/>
      <c r="D130" s="368"/>
      <c r="E130" s="33"/>
      <c r="F130" s="371"/>
      <c r="G130" s="371"/>
      <c r="H130" s="371"/>
      <c r="I130" s="371"/>
      <c r="J130" s="371"/>
      <c r="K130" s="369"/>
      <c r="L130" s="371"/>
      <c r="M130" s="371"/>
      <c r="N130" s="371"/>
      <c r="O130" s="371"/>
      <c r="P130" s="371"/>
      <c r="Q130" s="369"/>
      <c r="R130" s="371"/>
      <c r="S130" s="371"/>
      <c r="T130" s="371"/>
      <c r="U130" s="371"/>
      <c r="V130" s="369"/>
      <c r="W130" s="371"/>
    </row>
    <row r="131" spans="1:23" ht="4.05" customHeight="1" x14ac:dyDescent="0.25">
      <c r="A131" s="11"/>
      <c r="B131" s="372"/>
      <c r="C131" s="372"/>
      <c r="D131" s="372"/>
      <c r="E131" s="373"/>
      <c r="F131" s="374"/>
      <c r="G131" s="374"/>
      <c r="H131" s="374"/>
      <c r="I131" s="374"/>
      <c r="J131" s="374"/>
      <c r="K131" s="375"/>
      <c r="L131" s="374"/>
      <c r="M131" s="374"/>
      <c r="N131" s="374"/>
      <c r="O131" s="374"/>
      <c r="P131" s="374"/>
      <c r="Q131" s="375"/>
      <c r="R131" s="374"/>
      <c r="S131" s="374"/>
      <c r="T131" s="374"/>
      <c r="U131" s="374"/>
      <c r="V131" s="375"/>
      <c r="W131" s="374"/>
    </row>
    <row r="132" spans="1:23" ht="4.05" customHeight="1" x14ac:dyDescent="0.25">
      <c r="A132" s="11"/>
      <c r="B132" s="363"/>
      <c r="C132" s="363"/>
      <c r="D132" s="363"/>
      <c r="E132" s="364"/>
      <c r="F132" s="363"/>
      <c r="G132" s="363"/>
      <c r="H132" s="363"/>
      <c r="I132" s="363"/>
      <c r="J132" s="363"/>
      <c r="K132" s="363"/>
      <c r="L132" s="363"/>
      <c r="M132" s="363"/>
      <c r="N132" s="363"/>
      <c r="O132" s="363"/>
      <c r="P132" s="363"/>
      <c r="Q132" s="363"/>
      <c r="R132" s="363"/>
      <c r="S132" s="363"/>
      <c r="T132" s="363"/>
      <c r="U132" s="363"/>
      <c r="V132" s="363"/>
      <c r="W132" s="363"/>
    </row>
    <row r="133" spans="1:23" ht="15" customHeight="1" x14ac:dyDescent="0.25">
      <c r="A133" s="11"/>
      <c r="B133" s="367" t="s">
        <v>88</v>
      </c>
      <c r="C133" s="524" t="s">
        <v>790</v>
      </c>
      <c r="D133" s="368"/>
      <c r="E133" s="33"/>
      <c r="F133" s="371"/>
      <c r="G133" s="371">
        <v>2017</v>
      </c>
      <c r="H133" s="371">
        <v>2018</v>
      </c>
      <c r="I133" s="371">
        <v>2019</v>
      </c>
      <c r="J133" s="371">
        <v>2020</v>
      </c>
      <c r="K133" s="371">
        <v>2021</v>
      </c>
      <c r="L133" s="371">
        <v>2022</v>
      </c>
      <c r="M133" s="371">
        <v>2023</v>
      </c>
      <c r="N133" s="371">
        <v>2024</v>
      </c>
      <c r="O133" s="363"/>
      <c r="P133" s="371">
        <v>2017</v>
      </c>
      <c r="Q133" s="371">
        <v>2018</v>
      </c>
      <c r="R133" s="371">
        <v>2019</v>
      </c>
      <c r="S133" s="371">
        <v>2020</v>
      </c>
      <c r="T133" s="371">
        <v>2021</v>
      </c>
      <c r="U133" s="371">
        <v>2022</v>
      </c>
      <c r="V133" s="371">
        <v>2023</v>
      </c>
      <c r="W133" s="371">
        <v>2024</v>
      </c>
    </row>
    <row r="135" spans="1:23" ht="15" customHeight="1" x14ac:dyDescent="0.25">
      <c r="B135" s="363" t="s">
        <v>254</v>
      </c>
      <c r="C135" s="523" t="s">
        <v>751</v>
      </c>
      <c r="D135" s="363"/>
      <c r="E135" s="364"/>
      <c r="F135" s="363"/>
      <c r="G135" s="363" t="e">
        <v>#N/A</v>
      </c>
      <c r="H135" s="363" t="e">
        <v>#N/A</v>
      </c>
      <c r="I135" s="363" t="e">
        <v>#N/A</v>
      </c>
      <c r="J135" s="363" t="e">
        <v>#N/A</v>
      </c>
      <c r="K135" s="363" t="e">
        <v>#N/A</v>
      </c>
      <c r="L135" s="363" t="e">
        <v>#N/A</v>
      </c>
      <c r="M135" s="363" t="e">
        <v>#N/A</v>
      </c>
      <c r="N135" s="363" t="e">
        <v>#N/A</v>
      </c>
      <c r="O135" s="363"/>
      <c r="P135" s="363" t="e">
        <v>#N/A</v>
      </c>
      <c r="Q135" s="363" t="e">
        <v>#N/A</v>
      </c>
      <c r="R135" s="363" t="e">
        <v>#N/A</v>
      </c>
      <c r="S135" s="363" t="e">
        <v>#N/A</v>
      </c>
      <c r="T135" s="363" t="e">
        <v>#N/A</v>
      </c>
      <c r="U135" s="363" t="e">
        <v>#N/A</v>
      </c>
      <c r="V135" s="363" t="e">
        <v>#N/A</v>
      </c>
      <c r="W135" s="363" t="e">
        <v>#N/A</v>
      </c>
    </row>
    <row r="136" spans="1:23" ht="15" customHeight="1" x14ac:dyDescent="0.25">
      <c r="B136" s="363" t="s">
        <v>255</v>
      </c>
      <c r="C136" s="523" t="s">
        <v>764</v>
      </c>
      <c r="D136" s="363"/>
      <c r="E136" s="364"/>
      <c r="F136" s="363"/>
      <c r="G136" s="363" t="e">
        <v>#N/A</v>
      </c>
      <c r="H136" s="363" t="e">
        <v>#N/A</v>
      </c>
      <c r="I136" s="363" t="e">
        <v>#N/A</v>
      </c>
      <c r="J136" s="363" t="e">
        <v>#N/A</v>
      </c>
      <c r="K136" s="363" t="e">
        <v>#N/A</v>
      </c>
      <c r="L136" s="363">
        <v>4.1050000000000004</v>
      </c>
      <c r="M136" s="363">
        <v>4.3920000000000003</v>
      </c>
      <c r="N136" s="363">
        <v>11.311999999999999</v>
      </c>
      <c r="O136" s="363"/>
      <c r="P136" s="363" t="e">
        <v>#N/A</v>
      </c>
      <c r="Q136" s="363" t="e">
        <v>#N/A</v>
      </c>
      <c r="R136" s="363" t="e">
        <v>#N/A</v>
      </c>
      <c r="S136" s="363" t="e">
        <v>#N/A</v>
      </c>
      <c r="T136" s="363" t="e">
        <v>#N/A</v>
      </c>
      <c r="U136" s="363">
        <v>1.8793888364852511E-3</v>
      </c>
      <c r="V136" s="363">
        <v>1.4085997710063217E-3</v>
      </c>
      <c r="W136" s="363">
        <v>2.7294732488216478E-3</v>
      </c>
    </row>
    <row r="137" spans="1:23" ht="15" customHeight="1" x14ac:dyDescent="0.25">
      <c r="B137" s="363" t="s">
        <v>256</v>
      </c>
      <c r="C137" s="523" t="s">
        <v>767</v>
      </c>
      <c r="D137" s="363"/>
      <c r="E137" s="364"/>
      <c r="F137" s="363"/>
      <c r="G137" s="363">
        <v>25.716000000000001</v>
      </c>
      <c r="H137" s="363">
        <v>26.603000000000002</v>
      </c>
      <c r="I137" s="363">
        <v>89.254000000000005</v>
      </c>
      <c r="J137" s="363">
        <v>90.271000000000001</v>
      </c>
      <c r="K137" s="363">
        <v>250.00800000000001</v>
      </c>
      <c r="L137" s="363">
        <v>302.72000000000003</v>
      </c>
      <c r="M137" s="363">
        <v>457.17399999999998</v>
      </c>
      <c r="N137" s="363">
        <v>189.53700000000001</v>
      </c>
      <c r="O137" s="363"/>
      <c r="P137" s="363">
        <v>3.2090366151626857E-3</v>
      </c>
      <c r="Q137" s="363">
        <v>2.4016434777725882E-3</v>
      </c>
      <c r="R137" s="363">
        <v>9.2457092767548234E-3</v>
      </c>
      <c r="S137" s="363">
        <v>8.9868962210654414E-3</v>
      </c>
      <c r="T137" s="363">
        <v>1.7093220020306096E-2</v>
      </c>
      <c r="U137" s="363">
        <v>1.7572375612547229E-2</v>
      </c>
      <c r="V137" s="363">
        <v>2.6231378506351315E-2</v>
      </c>
      <c r="W137" s="363">
        <v>1.2716007488836585E-2</v>
      </c>
    </row>
    <row r="138" spans="1:23" ht="15" customHeight="1" x14ac:dyDescent="0.25">
      <c r="B138" s="363" t="s">
        <v>257</v>
      </c>
      <c r="C138" s="523" t="s">
        <v>770</v>
      </c>
      <c r="D138" s="363"/>
      <c r="E138" s="364"/>
      <c r="F138" s="363"/>
      <c r="G138" s="363" t="e">
        <v>#N/A</v>
      </c>
      <c r="H138" s="363" t="e">
        <v>#N/A</v>
      </c>
      <c r="I138" s="363">
        <v>23.515999999999998</v>
      </c>
      <c r="J138" s="363">
        <v>28.2</v>
      </c>
      <c r="K138" s="363">
        <v>29.122</v>
      </c>
      <c r="L138" s="363">
        <v>15.872</v>
      </c>
      <c r="M138" s="363">
        <v>22.306000000000001</v>
      </c>
      <c r="N138" s="363">
        <v>20.565999999999999</v>
      </c>
      <c r="O138" s="363"/>
      <c r="P138" s="363" t="e">
        <v>#N/A</v>
      </c>
      <c r="Q138" s="363" t="e">
        <v>#N/A</v>
      </c>
      <c r="R138" s="363">
        <v>2.0395498516773015E-3</v>
      </c>
      <c r="S138" s="363">
        <v>2.7194741485919516E-3</v>
      </c>
      <c r="T138" s="363">
        <v>2.2065647202245734E-3</v>
      </c>
      <c r="U138" s="363">
        <v>8.8943048211744024E-4</v>
      </c>
      <c r="V138" s="363">
        <v>1.3651220353065015E-3</v>
      </c>
      <c r="W138" s="363">
        <v>1.6222057454763445E-3</v>
      </c>
    </row>
    <row r="139" spans="1:23" ht="15" customHeight="1" x14ac:dyDescent="0.25">
      <c r="B139" s="363" t="s">
        <v>260</v>
      </c>
      <c r="C139" s="523" t="s">
        <v>773</v>
      </c>
      <c r="D139" s="363"/>
      <c r="E139" s="364"/>
      <c r="F139" s="363"/>
      <c r="G139" s="363">
        <v>12.263</v>
      </c>
      <c r="H139" s="363">
        <v>12.234</v>
      </c>
      <c r="I139" s="363">
        <v>11.617000000000001</v>
      </c>
      <c r="J139" s="363">
        <v>12.596</v>
      </c>
      <c r="K139" s="363">
        <v>10.614000000000001</v>
      </c>
      <c r="L139" s="363">
        <v>11.023</v>
      </c>
      <c r="M139" s="363">
        <v>9.8119999999999994</v>
      </c>
      <c r="N139" s="363">
        <v>9.9930000000000003</v>
      </c>
      <c r="O139" s="363"/>
      <c r="P139" s="363">
        <v>4.4154513793559736E-3</v>
      </c>
      <c r="Q139" s="363">
        <v>3.994021308564002E-3</v>
      </c>
      <c r="R139" s="363">
        <v>3.5358740553133425E-3</v>
      </c>
      <c r="S139" s="363">
        <v>4.2360921169103576E-3</v>
      </c>
      <c r="T139" s="363">
        <v>3.5126685081424813E-3</v>
      </c>
      <c r="U139" s="363">
        <v>3.0052508873301097E-3</v>
      </c>
      <c r="V139" s="363">
        <v>2.8784814385178718E-3</v>
      </c>
      <c r="W139" s="363">
        <v>2.8576497507985291E-3</v>
      </c>
    </row>
    <row r="140" spans="1:23" ht="15" customHeight="1" x14ac:dyDescent="0.25">
      <c r="B140" s="363" t="s">
        <v>261</v>
      </c>
      <c r="C140" s="523" t="s">
        <v>776</v>
      </c>
      <c r="D140" s="363"/>
      <c r="E140" s="364"/>
      <c r="F140" s="363"/>
      <c r="G140" s="363">
        <v>3668</v>
      </c>
      <c r="H140" s="363">
        <v>4855</v>
      </c>
      <c r="I140" s="363">
        <v>5067</v>
      </c>
      <c r="J140" s="363">
        <v>5726</v>
      </c>
      <c r="K140" s="363">
        <v>7604</v>
      </c>
      <c r="L140" s="363">
        <v>7604</v>
      </c>
      <c r="M140" s="363">
        <v>3733</v>
      </c>
      <c r="N140" s="363">
        <v>4725</v>
      </c>
      <c r="O140" s="363"/>
      <c r="P140" s="363">
        <v>1.7302921539807933E-2</v>
      </c>
      <c r="Q140" s="363">
        <v>2.1905785102487561E-2</v>
      </c>
      <c r="R140" s="363">
        <v>2.5619826991871823E-2</v>
      </c>
      <c r="S140" s="363">
        <v>2.8478742988272115E-2</v>
      </c>
      <c r="T140" s="363">
        <v>3.1124121776255235E-2</v>
      </c>
      <c r="U140" s="363">
        <v>3.2413566416032727E-2</v>
      </c>
      <c r="V140" s="363">
        <v>1.8827189117570382E-2</v>
      </c>
      <c r="W140" s="363">
        <v>2.1413426678156777E-2</v>
      </c>
    </row>
    <row r="141" spans="1:23" ht="15" customHeight="1" x14ac:dyDescent="0.25">
      <c r="B141" s="363"/>
      <c r="C141" s="363"/>
      <c r="D141" s="363"/>
      <c r="E141" s="364"/>
      <c r="F141" s="363"/>
      <c r="G141" s="363"/>
      <c r="H141" s="363"/>
      <c r="I141" s="363"/>
      <c r="J141" s="363"/>
      <c r="K141" s="363"/>
      <c r="L141" s="363"/>
      <c r="M141" s="363"/>
      <c r="N141" s="363"/>
      <c r="O141" s="363"/>
      <c r="P141" s="363"/>
      <c r="Q141" s="363"/>
      <c r="R141" s="363"/>
      <c r="S141" s="363"/>
      <c r="T141" s="363"/>
      <c r="U141" s="363"/>
      <c r="V141" s="363"/>
      <c r="W141" s="363"/>
    </row>
    <row r="142" spans="1:23" ht="15" customHeight="1" x14ac:dyDescent="0.25">
      <c r="B142" s="367" t="s">
        <v>101</v>
      </c>
      <c r="C142" s="524" t="s">
        <v>791</v>
      </c>
      <c r="D142" s="368"/>
      <c r="E142" s="33"/>
      <c r="F142" s="371"/>
      <c r="G142" s="371">
        <v>2017</v>
      </c>
      <c r="H142" s="371">
        <v>2018</v>
      </c>
      <c r="I142" s="371">
        <v>2019</v>
      </c>
      <c r="J142" s="371">
        <v>2020</v>
      </c>
      <c r="K142" s="371">
        <v>2021</v>
      </c>
      <c r="L142" s="371">
        <v>2022</v>
      </c>
      <c r="M142" s="371">
        <v>2023</v>
      </c>
      <c r="N142" s="371">
        <v>2024</v>
      </c>
      <c r="O142" s="363"/>
      <c r="P142" s="371">
        <v>2017</v>
      </c>
      <c r="Q142" s="371">
        <v>2018</v>
      </c>
      <c r="R142" s="371">
        <v>2019</v>
      </c>
      <c r="S142" s="371">
        <v>2020</v>
      </c>
      <c r="T142" s="371">
        <v>2021</v>
      </c>
      <c r="U142" s="371">
        <v>2022</v>
      </c>
      <c r="V142" s="371">
        <v>2023</v>
      </c>
      <c r="W142" s="371">
        <v>2024</v>
      </c>
    </row>
    <row r="143" spans="1:23" ht="4.05" customHeight="1" x14ac:dyDescent="0.25">
      <c r="B143" s="372"/>
      <c r="C143" s="372"/>
      <c r="D143" s="372"/>
      <c r="E143" s="373"/>
      <c r="F143" s="374"/>
      <c r="G143" s="374"/>
      <c r="H143" s="374"/>
      <c r="I143" s="374"/>
      <c r="J143" s="374"/>
      <c r="K143" s="374"/>
      <c r="L143" s="374"/>
      <c r="M143" s="374"/>
      <c r="N143" s="374"/>
      <c r="O143" s="363"/>
      <c r="P143" s="374"/>
      <c r="Q143" s="374"/>
      <c r="R143" s="374"/>
      <c r="S143" s="374"/>
      <c r="T143" s="374"/>
      <c r="U143" s="374"/>
      <c r="V143" s="374"/>
      <c r="W143" s="374"/>
    </row>
    <row r="144" spans="1:23" ht="15" customHeight="1" x14ac:dyDescent="0.25">
      <c r="B144" s="363" t="s">
        <v>254</v>
      </c>
      <c r="C144" s="523" t="s">
        <v>751</v>
      </c>
      <c r="D144" s="363"/>
      <c r="E144" s="364"/>
      <c r="F144" s="363"/>
      <c r="G144" s="363" t="e">
        <v>#N/A</v>
      </c>
      <c r="H144" s="363" t="e">
        <v>#N/A</v>
      </c>
      <c r="I144" s="363" t="e">
        <v>#N/A</v>
      </c>
      <c r="J144" s="363" t="e">
        <v>#N/A</v>
      </c>
      <c r="K144" s="363" t="e">
        <v>#N/A</v>
      </c>
      <c r="L144" s="363" t="e">
        <v>#N/A</v>
      </c>
      <c r="M144" s="363" t="e">
        <v>#N/A</v>
      </c>
      <c r="N144" s="363" t="e">
        <v>#N/A</v>
      </c>
      <c r="O144" s="363"/>
      <c r="P144" s="363" t="e">
        <v>#N/A</v>
      </c>
      <c r="Q144" s="363" t="e">
        <v>#N/A</v>
      </c>
      <c r="R144" s="363" t="e">
        <v>#N/A</v>
      </c>
      <c r="S144" s="363" t="e">
        <v>#N/A</v>
      </c>
      <c r="T144" s="363" t="e">
        <v>#N/A</v>
      </c>
      <c r="U144" s="363" t="e">
        <v>#N/A</v>
      </c>
      <c r="V144" s="363" t="e">
        <v>#N/A</v>
      </c>
      <c r="W144" s="363" t="e">
        <v>#N/A</v>
      </c>
    </row>
    <row r="145" spans="2:23" ht="15" customHeight="1" x14ac:dyDescent="0.25">
      <c r="B145" s="363" t="s">
        <v>255</v>
      </c>
      <c r="C145" s="523" t="s">
        <v>764</v>
      </c>
      <c r="D145" s="363"/>
      <c r="E145" s="364"/>
      <c r="F145" s="363"/>
      <c r="G145" s="363" t="e">
        <v>#N/A</v>
      </c>
      <c r="H145" s="363" t="e">
        <v>#N/A</v>
      </c>
      <c r="I145" s="363" t="e">
        <v>#N/A</v>
      </c>
      <c r="J145" s="363" t="e">
        <v>#N/A</v>
      </c>
      <c r="K145" s="363" t="e">
        <v>#N/A</v>
      </c>
      <c r="L145" s="363" t="e">
        <v>#N/A</v>
      </c>
      <c r="M145" s="363" t="e">
        <v>#N/A</v>
      </c>
      <c r="N145" s="363" t="e">
        <v>#N/A</v>
      </c>
      <c r="O145" s="363"/>
      <c r="P145" s="363" t="e">
        <v>#N/A</v>
      </c>
      <c r="Q145" s="363" t="e">
        <v>#N/A</v>
      </c>
      <c r="R145" s="363" t="e">
        <v>#N/A</v>
      </c>
      <c r="S145" s="363" t="e">
        <v>#N/A</v>
      </c>
      <c r="T145" s="363" t="e">
        <v>#N/A</v>
      </c>
      <c r="U145" s="363" t="e">
        <v>#N/A</v>
      </c>
      <c r="V145" s="363" t="e">
        <v>#N/A</v>
      </c>
      <c r="W145" s="363" t="e">
        <v>#N/A</v>
      </c>
    </row>
    <row r="146" spans="2:23" ht="15" customHeight="1" x14ac:dyDescent="0.25">
      <c r="B146" s="363" t="s">
        <v>256</v>
      </c>
      <c r="C146" s="523" t="s">
        <v>767</v>
      </c>
      <c r="D146" s="363"/>
      <c r="E146" s="364"/>
      <c r="F146" s="363"/>
      <c r="G146" s="363">
        <v>212.2</v>
      </c>
      <c r="H146" s="363">
        <v>229</v>
      </c>
      <c r="I146" s="363">
        <v>254</v>
      </c>
      <c r="J146" s="363">
        <v>330</v>
      </c>
      <c r="K146" s="363">
        <v>352</v>
      </c>
      <c r="L146" s="363">
        <v>415.6</v>
      </c>
      <c r="M146" s="363">
        <v>483.3</v>
      </c>
      <c r="N146" s="363">
        <v>463.7</v>
      </c>
      <c r="O146" s="363"/>
      <c r="P146" s="363">
        <v>2.6479917939707647E-2</v>
      </c>
      <c r="Q146" s="363">
        <v>2.0673471278048441E-2</v>
      </c>
      <c r="R146" s="363">
        <v>2.631153960938137E-2</v>
      </c>
      <c r="S146" s="363">
        <v>3.2853028690848614E-2</v>
      </c>
      <c r="T146" s="363">
        <v>2.4066483661113827E-2</v>
      </c>
      <c r="U146" s="363">
        <v>2.4124865567437329E-2</v>
      </c>
      <c r="V146" s="363">
        <v>2.7730416060667472E-2</v>
      </c>
      <c r="W146" s="363">
        <v>3.1109559993951177E-2</v>
      </c>
    </row>
    <row r="147" spans="2:23" ht="15" customHeight="1" x14ac:dyDescent="0.25">
      <c r="B147" s="363" t="s">
        <v>257</v>
      </c>
      <c r="C147" s="523" t="s">
        <v>770</v>
      </c>
      <c r="D147" s="363"/>
      <c r="E147" s="364"/>
      <c r="F147" s="363"/>
      <c r="G147" s="363">
        <v>728.53599999999994</v>
      </c>
      <c r="H147" s="363">
        <v>816.56299999999999</v>
      </c>
      <c r="I147" s="363">
        <v>875.59900000000005</v>
      </c>
      <c r="J147" s="363">
        <v>918.79899999999998</v>
      </c>
      <c r="K147" s="363">
        <v>417.779</v>
      </c>
      <c r="L147" s="363">
        <v>439.46499999999997</v>
      </c>
      <c r="M147" s="363">
        <v>464.23399999999998</v>
      </c>
      <c r="N147" s="363">
        <v>496.10700000000003</v>
      </c>
      <c r="O147" s="363"/>
      <c r="P147" s="363">
        <v>9.84805346316351E-2</v>
      </c>
      <c r="Q147" s="363">
        <v>8.0010012384966675E-2</v>
      </c>
      <c r="R147" s="363">
        <v>7.5940968301530618E-2</v>
      </c>
      <c r="S147" s="363">
        <v>8.8604614477026125E-2</v>
      </c>
      <c r="T147" s="363">
        <v>3.1654982564751806E-2</v>
      </c>
      <c r="U147" s="363">
        <v>2.4626610812987705E-2</v>
      </c>
      <c r="V147" s="363">
        <v>2.8411013312045114E-2</v>
      </c>
      <c r="W147" s="363">
        <v>3.9131947183265237E-2</v>
      </c>
    </row>
    <row r="148" spans="2:23" ht="15" customHeight="1" x14ac:dyDescent="0.25">
      <c r="B148" s="363" t="s">
        <v>260</v>
      </c>
      <c r="C148" s="523" t="s">
        <v>773</v>
      </c>
      <c r="D148" s="363"/>
      <c r="E148" s="364"/>
      <c r="F148" s="363"/>
      <c r="G148" s="363">
        <v>140.49100000000001</v>
      </c>
      <c r="H148" s="363">
        <v>142.68600000000001</v>
      </c>
      <c r="I148" s="363">
        <v>145.40299999999999</v>
      </c>
      <c r="J148" s="363">
        <v>159.68299999999999</v>
      </c>
      <c r="K148" s="363">
        <v>148.48599999999999</v>
      </c>
      <c r="L148" s="363">
        <v>151.59200000000001</v>
      </c>
      <c r="M148" s="363">
        <v>156.273</v>
      </c>
      <c r="N148" s="363">
        <v>163.386</v>
      </c>
      <c r="O148" s="363"/>
      <c r="P148" s="363">
        <v>5.0585597303848984E-2</v>
      </c>
      <c r="Q148" s="363">
        <v>4.6582550632153281E-2</v>
      </c>
      <c r="R148" s="363">
        <v>4.4256408303755351E-2</v>
      </c>
      <c r="S148" s="363">
        <v>5.3702119522435428E-2</v>
      </c>
      <c r="T148" s="363">
        <v>4.9140954974566081E-2</v>
      </c>
      <c r="U148" s="363">
        <v>4.1329220041018425E-2</v>
      </c>
      <c r="V148" s="363">
        <v>4.5844774749439807E-2</v>
      </c>
      <c r="W148" s="363">
        <v>4.6722702109873761E-2</v>
      </c>
    </row>
    <row r="149" spans="2:23" ht="15" customHeight="1" x14ac:dyDescent="0.25">
      <c r="B149" s="363" t="s">
        <v>261</v>
      </c>
      <c r="C149" s="523" t="s">
        <v>776</v>
      </c>
      <c r="D149" s="363"/>
      <c r="E149" s="364"/>
      <c r="F149" s="363"/>
      <c r="G149" s="363">
        <v>23420</v>
      </c>
      <c r="H149" s="363">
        <v>26028</v>
      </c>
      <c r="I149" s="363">
        <v>27451.699000000001</v>
      </c>
      <c r="J149" s="363">
        <v>29025</v>
      </c>
      <c r="K149" s="363">
        <v>32322</v>
      </c>
      <c r="L149" s="363">
        <v>35177</v>
      </c>
      <c r="M149" s="363">
        <v>36407</v>
      </c>
      <c r="N149" s="363">
        <v>38772</v>
      </c>
      <c r="O149" s="363"/>
      <c r="P149" s="363">
        <v>0.11047830492429166</v>
      </c>
      <c r="Q149" s="363">
        <v>0.1174384705762196</v>
      </c>
      <c r="R149" s="363">
        <v>0.13880161417267431</v>
      </c>
      <c r="S149" s="363">
        <v>0.14435828069063886</v>
      </c>
      <c r="T149" s="363">
        <v>0.13229798317360886</v>
      </c>
      <c r="U149" s="363">
        <v>0.14994897761925083</v>
      </c>
      <c r="V149" s="363">
        <v>0.1836167892320881</v>
      </c>
      <c r="W149" s="363">
        <v>0.17571246119904646</v>
      </c>
    </row>
    <row r="151" spans="2:23" ht="15" customHeight="1" x14ac:dyDescent="0.25">
      <c r="B151" s="367" t="s">
        <v>96</v>
      </c>
      <c r="C151" s="524" t="s">
        <v>792</v>
      </c>
      <c r="D151" s="368"/>
      <c r="E151" s="33"/>
      <c r="F151" s="371"/>
      <c r="G151" s="371">
        <v>2017</v>
      </c>
      <c r="H151" s="371">
        <v>2018</v>
      </c>
      <c r="I151" s="371">
        <v>2019</v>
      </c>
      <c r="J151" s="371">
        <v>2020</v>
      </c>
      <c r="K151" s="371">
        <v>2021</v>
      </c>
      <c r="L151" s="371">
        <v>2022</v>
      </c>
      <c r="M151" s="371">
        <v>2023</v>
      </c>
      <c r="N151" s="371">
        <v>2024</v>
      </c>
      <c r="O151" s="363"/>
      <c r="P151" s="371">
        <v>2017</v>
      </c>
      <c r="Q151" s="371">
        <v>2018</v>
      </c>
      <c r="R151" s="371">
        <v>2019</v>
      </c>
      <c r="S151" s="371">
        <v>2020</v>
      </c>
      <c r="T151" s="371">
        <v>2021</v>
      </c>
      <c r="U151" s="371">
        <v>2022</v>
      </c>
      <c r="V151" s="371">
        <v>2023</v>
      </c>
      <c r="W151" s="371">
        <v>2024</v>
      </c>
    </row>
    <row r="152" spans="2:23" ht="4.05" customHeight="1" x14ac:dyDescent="0.25">
      <c r="B152" s="372"/>
      <c r="C152" s="372"/>
      <c r="D152" s="372"/>
      <c r="E152" s="373"/>
      <c r="F152" s="374"/>
      <c r="G152" s="374"/>
      <c r="H152" s="374"/>
      <c r="I152" s="374"/>
      <c r="J152" s="374"/>
      <c r="K152" s="374"/>
      <c r="L152" s="374"/>
      <c r="M152" s="374"/>
      <c r="N152" s="374"/>
      <c r="O152" s="363"/>
      <c r="P152" s="374"/>
      <c r="Q152" s="374"/>
      <c r="R152" s="374"/>
      <c r="S152" s="374"/>
      <c r="T152" s="374"/>
      <c r="U152" s="374"/>
      <c r="V152" s="374"/>
      <c r="W152" s="374"/>
    </row>
    <row r="153" spans="2:23" ht="15" customHeight="1" x14ac:dyDescent="0.25">
      <c r="B153" s="363" t="s">
        <v>254</v>
      </c>
      <c r="C153" s="523" t="s">
        <v>751</v>
      </c>
      <c r="D153" s="363"/>
      <c r="E153" s="364"/>
      <c r="F153" s="363"/>
      <c r="G153" s="363" t="e">
        <v>#N/A</v>
      </c>
      <c r="H153" s="363" t="e">
        <v>#N/A</v>
      </c>
      <c r="I153" s="363" t="e">
        <v>#N/A</v>
      </c>
      <c r="J153" s="363" t="e">
        <v>#N/A</v>
      </c>
      <c r="K153" s="363" t="e">
        <v>#N/A</v>
      </c>
      <c r="L153" s="363" t="e">
        <v>#N/A</v>
      </c>
      <c r="M153" s="363" t="e">
        <v>#N/A</v>
      </c>
      <c r="N153" s="363" t="e">
        <v>#N/A</v>
      </c>
      <c r="O153" s="363"/>
      <c r="P153" s="363" t="e">
        <v>#N/A</v>
      </c>
      <c r="Q153" s="363" t="e">
        <v>#N/A</v>
      </c>
      <c r="R153" s="363" t="e">
        <v>#N/A</v>
      </c>
      <c r="S153" s="363" t="e">
        <v>#N/A</v>
      </c>
      <c r="T153" s="363" t="e">
        <v>#N/A</v>
      </c>
      <c r="U153" s="363" t="e">
        <v>#N/A</v>
      </c>
      <c r="V153" s="363" t="e">
        <v>#N/A</v>
      </c>
      <c r="W153" s="363" t="e">
        <v>#N/A</v>
      </c>
    </row>
    <row r="154" spans="2:23" ht="15" customHeight="1" x14ac:dyDescent="0.25">
      <c r="B154" s="363" t="s">
        <v>255</v>
      </c>
      <c r="C154" s="523" t="s">
        <v>764</v>
      </c>
      <c r="D154" s="363"/>
      <c r="E154" s="364"/>
      <c r="F154" s="363"/>
      <c r="G154" s="363" t="e">
        <v>#N/A</v>
      </c>
      <c r="H154" s="363" t="e">
        <v>#N/A</v>
      </c>
      <c r="I154" s="363" t="e">
        <v>#N/A</v>
      </c>
      <c r="J154" s="363" t="e">
        <v>#N/A</v>
      </c>
      <c r="K154" s="363" t="e">
        <v>#N/A</v>
      </c>
      <c r="L154" s="363" t="e">
        <v>#N/A</v>
      </c>
      <c r="M154" s="363" t="e">
        <v>#N/A</v>
      </c>
      <c r="N154" s="363" t="e">
        <v>#N/A</v>
      </c>
      <c r="O154" s="363"/>
      <c r="P154" s="363" t="e">
        <v>#N/A</v>
      </c>
      <c r="Q154" s="363" t="e">
        <v>#N/A</v>
      </c>
      <c r="R154" s="363" t="e">
        <v>#N/A</v>
      </c>
      <c r="S154" s="363" t="e">
        <v>#N/A</v>
      </c>
      <c r="T154" s="363" t="e">
        <v>#N/A</v>
      </c>
      <c r="U154" s="363" t="e">
        <v>#N/A</v>
      </c>
      <c r="V154" s="363" t="e">
        <v>#N/A</v>
      </c>
      <c r="W154" s="363" t="e">
        <v>#N/A</v>
      </c>
    </row>
    <row r="155" spans="2:23" ht="15" customHeight="1" x14ac:dyDescent="0.25">
      <c r="B155" s="363" t="s">
        <v>256</v>
      </c>
      <c r="C155" s="523" t="s">
        <v>767</v>
      </c>
      <c r="D155" s="363"/>
      <c r="E155" s="364"/>
      <c r="F155" s="363"/>
      <c r="G155" s="363" t="e">
        <v>#N/A</v>
      </c>
      <c r="H155" s="363" t="e">
        <v>#N/A</v>
      </c>
      <c r="I155" s="363" t="e">
        <v>#N/A</v>
      </c>
      <c r="J155" s="363" t="e">
        <v>#N/A</v>
      </c>
      <c r="K155" s="363" t="e">
        <v>#N/A</v>
      </c>
      <c r="L155" s="363" t="e">
        <v>#N/A</v>
      </c>
      <c r="M155" s="363" t="e">
        <v>#N/A</v>
      </c>
      <c r="N155" s="363" t="e">
        <v>#N/A</v>
      </c>
      <c r="O155" s="363"/>
      <c r="P155" s="363" t="e">
        <v>#N/A</v>
      </c>
      <c r="Q155" s="363" t="e">
        <v>#N/A</v>
      </c>
      <c r="R155" s="363" t="e">
        <v>#N/A</v>
      </c>
      <c r="S155" s="363" t="e">
        <v>#N/A</v>
      </c>
      <c r="T155" s="363" t="e">
        <v>#N/A</v>
      </c>
      <c r="U155" s="363" t="e">
        <v>#N/A</v>
      </c>
      <c r="V155" s="363" t="e">
        <v>#N/A</v>
      </c>
      <c r="W155" s="363" t="e">
        <v>#N/A</v>
      </c>
    </row>
    <row r="156" spans="2:23" ht="15" customHeight="1" x14ac:dyDescent="0.25">
      <c r="B156" s="363" t="s">
        <v>257</v>
      </c>
      <c r="C156" s="523" t="s">
        <v>770</v>
      </c>
      <c r="D156" s="363"/>
      <c r="E156" s="364"/>
      <c r="F156" s="363"/>
      <c r="G156" s="363" t="e">
        <v>#N/A</v>
      </c>
      <c r="H156" s="363" t="e">
        <v>#N/A</v>
      </c>
      <c r="I156" s="363" t="e">
        <v>#N/A</v>
      </c>
      <c r="J156" s="363" t="e">
        <v>#N/A</v>
      </c>
      <c r="K156" s="363" t="e">
        <v>#N/A</v>
      </c>
      <c r="L156" s="363" t="e">
        <v>#N/A</v>
      </c>
      <c r="M156" s="363" t="e">
        <v>#N/A</v>
      </c>
      <c r="N156" s="363" t="e">
        <v>#N/A</v>
      </c>
      <c r="O156" s="363"/>
      <c r="P156" s="363" t="e">
        <v>#N/A</v>
      </c>
      <c r="Q156" s="363" t="e">
        <v>#N/A</v>
      </c>
      <c r="R156" s="363" t="e">
        <v>#N/A</v>
      </c>
      <c r="S156" s="363" t="e">
        <v>#N/A</v>
      </c>
      <c r="T156" s="363" t="e">
        <v>#N/A</v>
      </c>
      <c r="U156" s="363" t="e">
        <v>#N/A</v>
      </c>
      <c r="V156" s="363" t="e">
        <v>#N/A</v>
      </c>
      <c r="W156" s="363" t="e">
        <v>#N/A</v>
      </c>
    </row>
    <row r="157" spans="2:23" ht="15" customHeight="1" x14ac:dyDescent="0.25">
      <c r="B157" s="363" t="s">
        <v>260</v>
      </c>
      <c r="C157" s="523" t="s">
        <v>773</v>
      </c>
      <c r="D157" s="363"/>
      <c r="E157" s="364"/>
      <c r="F157" s="363"/>
      <c r="G157" s="363" t="e">
        <v>#N/A</v>
      </c>
      <c r="H157" s="363">
        <v>43</v>
      </c>
      <c r="I157" s="363">
        <v>54</v>
      </c>
      <c r="J157" s="363">
        <v>46</v>
      </c>
      <c r="K157" s="363">
        <v>39</v>
      </c>
      <c r="L157" s="363">
        <v>37</v>
      </c>
      <c r="M157" s="363">
        <v>44</v>
      </c>
      <c r="N157" s="363">
        <v>62</v>
      </c>
      <c r="O157" s="363"/>
      <c r="P157" s="363" t="e">
        <v>#N/A</v>
      </c>
      <c r="Q157" s="363">
        <v>1.4038165462502215E-2</v>
      </c>
      <c r="R157" s="363">
        <v>1.6436016095973185E-2</v>
      </c>
      <c r="S157" s="363">
        <v>1.5470009318662787E-2</v>
      </c>
      <c r="T157" s="363">
        <v>1.290692216106621E-2</v>
      </c>
      <c r="U157" s="363">
        <v>1.0087479164584421E-2</v>
      </c>
      <c r="V157" s="363">
        <v>1.2907988513533059E-2</v>
      </c>
      <c r="W157" s="363">
        <v>1.7729839342490623E-2</v>
      </c>
    </row>
    <row r="158" spans="2:23" ht="15" customHeight="1" x14ac:dyDescent="0.25">
      <c r="B158" s="363" t="s">
        <v>261</v>
      </c>
      <c r="C158" s="523" t="s">
        <v>776</v>
      </c>
      <c r="D158" s="363"/>
      <c r="E158" s="364"/>
      <c r="F158" s="363"/>
      <c r="G158" s="363">
        <v>24700</v>
      </c>
      <c r="H158" s="363">
        <v>26531</v>
      </c>
      <c r="I158" s="363">
        <v>26020</v>
      </c>
      <c r="J158" s="363">
        <v>33093</v>
      </c>
      <c r="K158" s="363">
        <v>32706</v>
      </c>
      <c r="L158" s="363">
        <v>36691</v>
      </c>
      <c r="M158" s="363">
        <v>34356</v>
      </c>
      <c r="N158" s="363">
        <v>36431</v>
      </c>
      <c r="O158" s="363"/>
      <c r="P158" s="363">
        <v>0.11651640186293782</v>
      </c>
      <c r="Q158" s="363">
        <v>0.11970800917695107</v>
      </c>
      <c r="R158" s="363">
        <v>0.13156264028587031</v>
      </c>
      <c r="S158" s="363">
        <v>0.16459082111611756</v>
      </c>
      <c r="T158" s="363">
        <v>0.13386974313705993</v>
      </c>
      <c r="U158" s="363">
        <v>0.15640270454637781</v>
      </c>
      <c r="V158" s="363">
        <v>0.17327267862931905</v>
      </c>
      <c r="W158" s="363">
        <v>0.1651031846162814</v>
      </c>
    </row>
    <row r="159" spans="2:23" ht="15" customHeight="1" x14ac:dyDescent="0.25">
      <c r="B159" s="363"/>
      <c r="C159" s="363"/>
      <c r="D159" s="363"/>
      <c r="E159" s="364"/>
      <c r="F159" s="363"/>
      <c r="G159" s="363"/>
      <c r="H159" s="363"/>
      <c r="I159" s="363"/>
      <c r="J159" s="363"/>
      <c r="K159" s="363"/>
      <c r="L159" s="363"/>
      <c r="M159" s="363"/>
      <c r="N159" s="363"/>
      <c r="O159" s="363"/>
      <c r="P159" s="363"/>
      <c r="Q159" s="363"/>
      <c r="R159" s="363"/>
      <c r="S159" s="363"/>
      <c r="T159" s="363"/>
      <c r="U159" s="363"/>
      <c r="V159" s="363"/>
      <c r="W159" s="363"/>
    </row>
    <row r="160" spans="2:23" ht="15" customHeight="1" x14ac:dyDescent="0.25">
      <c r="B160" s="367" t="s">
        <v>793</v>
      </c>
      <c r="C160" s="524" t="s">
        <v>794</v>
      </c>
      <c r="D160" s="368"/>
      <c r="E160" s="33"/>
      <c r="F160" s="371"/>
      <c r="G160" s="371">
        <v>2017</v>
      </c>
      <c r="H160" s="371">
        <v>2018</v>
      </c>
      <c r="I160" s="371">
        <v>2019</v>
      </c>
      <c r="J160" s="371">
        <v>2020</v>
      </c>
      <c r="K160" s="371">
        <v>2021</v>
      </c>
      <c r="L160" s="371">
        <v>2022</v>
      </c>
      <c r="M160" s="371">
        <v>2023</v>
      </c>
      <c r="N160" s="371">
        <v>2024</v>
      </c>
      <c r="O160" s="363"/>
      <c r="P160" s="371">
        <v>2017</v>
      </c>
      <c r="Q160" s="371">
        <v>2018</v>
      </c>
      <c r="R160" s="371">
        <v>2019</v>
      </c>
      <c r="S160" s="371">
        <v>2020</v>
      </c>
      <c r="T160" s="371">
        <v>2021</v>
      </c>
      <c r="U160" s="371">
        <v>2022</v>
      </c>
      <c r="V160" s="371">
        <v>2023</v>
      </c>
      <c r="W160" s="371">
        <v>2024</v>
      </c>
    </row>
    <row r="161" spans="2:23" ht="4.05" customHeight="1" x14ac:dyDescent="0.25">
      <c r="B161" s="372"/>
      <c r="C161" s="372"/>
      <c r="D161" s="372"/>
      <c r="E161" s="373"/>
      <c r="F161" s="374"/>
      <c r="G161" s="374"/>
      <c r="H161" s="374"/>
      <c r="I161" s="374"/>
      <c r="J161" s="374"/>
      <c r="K161" s="374"/>
      <c r="L161" s="374"/>
      <c r="M161" s="374"/>
      <c r="N161" s="374"/>
      <c r="O161" s="363"/>
      <c r="P161" s="374"/>
      <c r="Q161" s="374"/>
      <c r="R161" s="374"/>
      <c r="S161" s="374"/>
      <c r="T161" s="374"/>
      <c r="U161" s="374"/>
      <c r="V161" s="374"/>
      <c r="W161" s="374"/>
    </row>
    <row r="162" spans="2:23" ht="15" customHeight="1" x14ac:dyDescent="0.25">
      <c r="B162" s="363" t="s">
        <v>254</v>
      </c>
      <c r="C162" s="523" t="s">
        <v>751</v>
      </c>
      <c r="D162" s="363"/>
      <c r="E162" s="364"/>
      <c r="F162" s="363"/>
      <c r="G162" s="363" t="e">
        <v>#N/A</v>
      </c>
      <c r="H162" s="363" t="e">
        <v>#N/A</v>
      </c>
      <c r="I162" s="363" t="e">
        <v>#N/A</v>
      </c>
      <c r="J162" s="363" t="e">
        <v>#N/A</v>
      </c>
      <c r="K162" s="363" t="e">
        <v>#N/A</v>
      </c>
      <c r="L162" s="363" t="e">
        <v>#N/A</v>
      </c>
      <c r="M162" s="363" t="e">
        <v>#N/A</v>
      </c>
      <c r="N162" s="363" t="e">
        <v>#N/A</v>
      </c>
      <c r="O162" s="363"/>
      <c r="P162" s="363" t="e">
        <v>#N/A</v>
      </c>
      <c r="Q162" s="363" t="e">
        <v>#N/A</v>
      </c>
      <c r="R162" s="363" t="e">
        <v>#N/A</v>
      </c>
      <c r="S162" s="363" t="e">
        <v>#N/A</v>
      </c>
      <c r="T162" s="363" t="e">
        <v>#N/A</v>
      </c>
      <c r="U162" s="363" t="e">
        <v>#N/A</v>
      </c>
      <c r="V162" s="363" t="e">
        <v>#N/A</v>
      </c>
      <c r="W162" s="363" t="e">
        <v>#N/A</v>
      </c>
    </row>
    <row r="163" spans="2:23" ht="15" customHeight="1" x14ac:dyDescent="0.25">
      <c r="B163" s="363" t="s">
        <v>255</v>
      </c>
      <c r="C163" s="523" t="s">
        <v>764</v>
      </c>
      <c r="D163" s="363"/>
      <c r="E163" s="364"/>
      <c r="F163" s="363"/>
      <c r="G163" s="363" t="e">
        <v>#N/A</v>
      </c>
      <c r="H163" s="363" t="e">
        <v>#N/A</v>
      </c>
      <c r="I163" s="363" t="e">
        <v>#N/A</v>
      </c>
      <c r="J163" s="363" t="e">
        <v>#N/A</v>
      </c>
      <c r="K163" s="363" t="e">
        <v>#N/A</v>
      </c>
      <c r="L163" s="363" t="e">
        <v>#N/A</v>
      </c>
      <c r="M163" s="363" t="e">
        <v>#N/A</v>
      </c>
      <c r="N163" s="363" t="e">
        <v>#N/A</v>
      </c>
      <c r="O163" s="363"/>
      <c r="P163" s="363" t="e">
        <v>#N/A</v>
      </c>
      <c r="Q163" s="363" t="e">
        <v>#N/A</v>
      </c>
      <c r="R163" s="363" t="e">
        <v>#N/A</v>
      </c>
      <c r="S163" s="363" t="e">
        <v>#N/A</v>
      </c>
      <c r="T163" s="363" t="e">
        <v>#N/A</v>
      </c>
      <c r="U163" s="363" t="e">
        <v>#N/A</v>
      </c>
      <c r="V163" s="363" t="e">
        <v>#N/A</v>
      </c>
      <c r="W163" s="363" t="e">
        <v>#N/A</v>
      </c>
    </row>
    <row r="164" spans="2:23" ht="15" customHeight="1" x14ac:dyDescent="0.25">
      <c r="B164" s="363" t="s">
        <v>256</v>
      </c>
      <c r="C164" s="523" t="s">
        <v>767</v>
      </c>
      <c r="D164" s="363"/>
      <c r="E164" s="364"/>
      <c r="F164" s="363"/>
      <c r="G164" s="363">
        <v>5.7190000000000003</v>
      </c>
      <c r="H164" s="363">
        <v>6.7069999999999999</v>
      </c>
      <c r="I164" s="363">
        <v>8.7270000000000003</v>
      </c>
      <c r="J164" s="363">
        <v>8.641</v>
      </c>
      <c r="K164" s="363">
        <v>8.3870000000000005</v>
      </c>
      <c r="L164" s="363">
        <v>10.715999999999999</v>
      </c>
      <c r="M164" s="363">
        <v>11.183</v>
      </c>
      <c r="N164" s="363">
        <v>9.843</v>
      </c>
      <c r="O164" s="363"/>
      <c r="P164" s="363">
        <v>7.1365999386045265E-4</v>
      </c>
      <c r="Q164" s="363">
        <v>6.0548896009550608E-4</v>
      </c>
      <c r="R164" s="363">
        <v>9.0401892193335131E-4</v>
      </c>
      <c r="S164" s="363">
        <v>8.6025157853825119E-4</v>
      </c>
      <c r="T164" s="363">
        <v>5.734249956413684E-4</v>
      </c>
      <c r="U164" s="363">
        <v>6.2204537877925503E-4</v>
      </c>
      <c r="V164" s="363">
        <v>6.416495816396531E-4</v>
      </c>
      <c r="W164" s="363">
        <v>6.6036532029428827E-4</v>
      </c>
    </row>
    <row r="165" spans="2:23" ht="15" customHeight="1" x14ac:dyDescent="0.25">
      <c r="B165" s="363" t="s">
        <v>257</v>
      </c>
      <c r="C165" s="523" t="s">
        <v>770</v>
      </c>
      <c r="D165" s="363"/>
      <c r="E165" s="364"/>
      <c r="F165" s="363"/>
      <c r="G165" s="363">
        <v>12.318</v>
      </c>
      <c r="H165" s="363">
        <v>14.435</v>
      </c>
      <c r="I165" s="363">
        <v>14.96</v>
      </c>
      <c r="J165" s="363">
        <v>13.989000000000001</v>
      </c>
      <c r="K165" s="363">
        <v>14.997</v>
      </c>
      <c r="L165" s="363">
        <v>14.459</v>
      </c>
      <c r="M165" s="363">
        <v>18.248999999999999</v>
      </c>
      <c r="N165" s="363">
        <v>19.713999999999999</v>
      </c>
      <c r="O165" s="363"/>
      <c r="P165" s="363">
        <v>1.6650971614202746E-3</v>
      </c>
      <c r="Q165" s="363">
        <v>1.4143973322046112E-3</v>
      </c>
      <c r="R165" s="363">
        <v>1.2974853623529698E-3</v>
      </c>
      <c r="S165" s="363">
        <v>1.3490327611579013E-3</v>
      </c>
      <c r="T165" s="363">
        <v>1.1363179420784263E-3</v>
      </c>
      <c r="U165" s="363">
        <v>8.1024920242792769E-4</v>
      </c>
      <c r="V165" s="363">
        <v>1.1168345746574168E-3</v>
      </c>
      <c r="W165" s="363">
        <v>1.5550016564388142E-3</v>
      </c>
    </row>
    <row r="166" spans="2:23" ht="15" customHeight="1" x14ac:dyDescent="0.25">
      <c r="B166" s="363" t="s">
        <v>260</v>
      </c>
      <c r="C166" s="523" t="s">
        <v>773</v>
      </c>
      <c r="D166" s="363"/>
      <c r="E166" s="364"/>
      <c r="F166" s="363"/>
      <c r="G166" s="363">
        <v>2.0609999999999999</v>
      </c>
      <c r="H166" s="363">
        <v>2.6960000000000002</v>
      </c>
      <c r="I166" s="363">
        <v>2.7650000000000001</v>
      </c>
      <c r="J166" s="363">
        <v>1.476</v>
      </c>
      <c r="K166" s="363">
        <v>1.55</v>
      </c>
      <c r="L166" s="363">
        <v>1.97</v>
      </c>
      <c r="M166" s="363">
        <v>1.6419999999999999</v>
      </c>
      <c r="N166" s="363">
        <v>1.7649999999999999</v>
      </c>
      <c r="O166" s="363"/>
      <c r="P166" s="363">
        <v>7.4208964306064263E-4</v>
      </c>
      <c r="Q166" s="363">
        <v>8.8016032760246453E-4</v>
      </c>
      <c r="R166" s="363">
        <v>8.415848982475159E-4</v>
      </c>
      <c r="S166" s="363">
        <v>4.9638551639883202E-4</v>
      </c>
      <c r="T166" s="363">
        <v>5.1296741922186222E-4</v>
      </c>
      <c r="U166" s="363">
        <v>5.3709010687111639E-4</v>
      </c>
      <c r="V166" s="363">
        <v>4.8170266225502911E-4</v>
      </c>
      <c r="W166" s="363">
        <v>5.0472849095961213E-4</v>
      </c>
    </row>
    <row r="167" spans="2:23" ht="15" customHeight="1" x14ac:dyDescent="0.25">
      <c r="B167" s="363" t="s">
        <v>261</v>
      </c>
      <c r="C167" s="523" t="s">
        <v>776</v>
      </c>
      <c r="D167" s="363"/>
      <c r="E167" s="364"/>
      <c r="F167" s="363"/>
      <c r="G167" s="363">
        <v>1146.81</v>
      </c>
      <c r="H167" s="363">
        <v>1210.52</v>
      </c>
      <c r="I167" s="363">
        <v>1099.2</v>
      </c>
      <c r="J167" s="363">
        <v>1181.74</v>
      </c>
      <c r="K167" s="363">
        <v>1324.97</v>
      </c>
      <c r="L167" s="363">
        <v>1413.36</v>
      </c>
      <c r="M167" s="363">
        <v>1314.92</v>
      </c>
      <c r="N167" s="363">
        <v>1348.98</v>
      </c>
      <c r="O167" s="363"/>
      <c r="P167" s="363">
        <v>5.4098046486006366E-3</v>
      </c>
      <c r="Q167" s="363">
        <v>5.4618724989213673E-3</v>
      </c>
      <c r="R167" s="363">
        <v>5.557788401315474E-3</v>
      </c>
      <c r="S167" s="363">
        <v>5.8774833634231034E-3</v>
      </c>
      <c r="T167" s="363">
        <v>5.4232677051400443E-3</v>
      </c>
      <c r="U167" s="363">
        <v>6.0247288571493966E-3</v>
      </c>
      <c r="V167" s="363">
        <v>6.6317298458279262E-3</v>
      </c>
      <c r="W167" s="363">
        <v>6.1134993270476039E-3</v>
      </c>
    </row>
    <row r="168" spans="2:23" ht="15" customHeight="1" x14ac:dyDescent="0.25">
      <c r="B168" s="363"/>
      <c r="C168" s="363"/>
      <c r="D168" s="363"/>
      <c r="E168" s="364"/>
      <c r="F168" s="363"/>
      <c r="G168" s="363"/>
      <c r="H168" s="363"/>
      <c r="I168" s="363"/>
      <c r="J168" s="363"/>
      <c r="K168" s="363"/>
      <c r="L168" s="363"/>
      <c r="M168" s="363"/>
      <c r="N168" s="363"/>
      <c r="O168" s="363"/>
      <c r="P168" s="363"/>
      <c r="Q168" s="363"/>
      <c r="R168" s="363"/>
      <c r="S168" s="363"/>
      <c r="T168" s="363"/>
      <c r="U168" s="363"/>
      <c r="V168" s="363"/>
      <c r="W168" s="363"/>
    </row>
    <row r="169" spans="2:23" ht="15" customHeight="1" x14ac:dyDescent="0.25">
      <c r="B169" s="367" t="s">
        <v>351</v>
      </c>
      <c r="C169" s="524" t="s">
        <v>795</v>
      </c>
      <c r="D169" s="368"/>
      <c r="E169" s="33"/>
      <c r="F169" s="371"/>
      <c r="G169" s="371">
        <v>2017</v>
      </c>
      <c r="H169" s="371">
        <v>2018</v>
      </c>
      <c r="I169" s="371">
        <v>2019</v>
      </c>
      <c r="J169" s="371">
        <v>2020</v>
      </c>
      <c r="K169" s="371">
        <v>2021</v>
      </c>
      <c r="L169" s="371">
        <v>2022</v>
      </c>
      <c r="M169" s="371">
        <v>2023</v>
      </c>
      <c r="N169" s="371">
        <v>2024</v>
      </c>
      <c r="O169" s="363"/>
      <c r="P169" s="363"/>
      <c r="Q169" s="363"/>
      <c r="R169" s="363"/>
      <c r="S169" s="363"/>
      <c r="T169" s="363"/>
      <c r="U169" s="363"/>
      <c r="V169" s="363"/>
      <c r="W169" s="363"/>
    </row>
    <row r="170" spans="2:23" ht="4.05" customHeight="1" x14ac:dyDescent="0.25">
      <c r="B170" s="372"/>
      <c r="C170" s="372"/>
      <c r="D170" s="372"/>
      <c r="E170" s="373"/>
      <c r="F170" s="374"/>
      <c r="G170" s="374"/>
      <c r="H170" s="374"/>
      <c r="I170" s="374"/>
      <c r="J170" s="374"/>
      <c r="K170" s="374"/>
      <c r="L170" s="374"/>
      <c r="M170" s="374"/>
      <c r="N170" s="374"/>
      <c r="O170" s="363"/>
      <c r="P170" s="363"/>
      <c r="Q170" s="363"/>
      <c r="R170" s="363"/>
      <c r="S170" s="363"/>
      <c r="T170" s="363"/>
      <c r="U170" s="363"/>
      <c r="V170" s="363"/>
      <c r="W170" s="363"/>
    </row>
    <row r="171" spans="2:23" ht="15" customHeight="1" x14ac:dyDescent="0.25">
      <c r="B171" s="363" t="s">
        <v>254</v>
      </c>
      <c r="C171" s="523" t="s">
        <v>751</v>
      </c>
      <c r="D171" s="363"/>
      <c r="E171" s="364"/>
      <c r="F171" s="363"/>
      <c r="G171" s="363">
        <v>36.506</v>
      </c>
      <c r="H171" s="363">
        <v>74.643000000000001</v>
      </c>
      <c r="I171" s="363">
        <v>107.524</v>
      </c>
      <c r="J171" s="363">
        <v>156.624</v>
      </c>
      <c r="K171" s="363">
        <v>259.75099999999998</v>
      </c>
      <c r="L171" s="363">
        <v>388.83199999999999</v>
      </c>
      <c r="M171" s="363">
        <v>557.72299999999996</v>
      </c>
      <c r="N171" s="363">
        <v>782.11800000000005</v>
      </c>
      <c r="O171" s="363"/>
      <c r="P171" s="363"/>
      <c r="Q171" s="363"/>
      <c r="R171" s="363"/>
      <c r="S171" s="363"/>
      <c r="T171" s="363"/>
      <c r="U171" s="363"/>
      <c r="V171" s="363"/>
      <c r="W171" s="363"/>
    </row>
    <row r="172" spans="2:23" ht="15" customHeight="1" x14ac:dyDescent="0.25">
      <c r="B172" s="363" t="s">
        <v>255</v>
      </c>
      <c r="C172" s="523" t="s">
        <v>764</v>
      </c>
      <c r="D172" s="363"/>
      <c r="E172" s="364"/>
      <c r="F172" s="363"/>
      <c r="G172" s="363">
        <v>329.3023</v>
      </c>
      <c r="H172" s="363">
        <v>502.87240000000003</v>
      </c>
      <c r="I172" s="363">
        <v>587.60040000000004</v>
      </c>
      <c r="J172" s="363">
        <v>878.61530000000005</v>
      </c>
      <c r="K172" s="363">
        <v>1501.4611</v>
      </c>
      <c r="L172" s="363">
        <v>2184.2206999999999</v>
      </c>
      <c r="M172" s="363">
        <v>3117.99</v>
      </c>
      <c r="N172" s="363">
        <v>4144.3894</v>
      </c>
      <c r="O172" s="363"/>
      <c r="P172" s="363"/>
      <c r="Q172" s="363"/>
      <c r="R172" s="363"/>
      <c r="S172" s="363"/>
      <c r="T172" s="363"/>
      <c r="U172" s="363"/>
      <c r="V172" s="363"/>
      <c r="W172" s="363"/>
    </row>
    <row r="173" spans="2:23" ht="15" customHeight="1" x14ac:dyDescent="0.25">
      <c r="B173" s="363" t="s">
        <v>256</v>
      </c>
      <c r="C173" s="523" t="s">
        <v>767</v>
      </c>
      <c r="D173" s="363"/>
      <c r="E173" s="364"/>
      <c r="F173" s="363"/>
      <c r="G173" s="363">
        <v>8013.62</v>
      </c>
      <c r="H173" s="363">
        <v>11076.998</v>
      </c>
      <c r="I173" s="363">
        <v>9653.5589999999993</v>
      </c>
      <c r="J173" s="363">
        <v>10044.736000000001</v>
      </c>
      <c r="K173" s="363">
        <v>14626.15</v>
      </c>
      <c r="L173" s="363">
        <v>17227.039000000001</v>
      </c>
      <c r="M173" s="363">
        <v>17428.516</v>
      </c>
      <c r="N173" s="363">
        <v>14905.386</v>
      </c>
      <c r="O173" s="363"/>
      <c r="P173" s="363"/>
      <c r="Q173" s="363"/>
      <c r="R173" s="363"/>
      <c r="S173" s="363"/>
      <c r="T173" s="363"/>
      <c r="U173" s="363"/>
      <c r="V173" s="363"/>
      <c r="W173" s="363"/>
    </row>
    <row r="174" spans="2:23" ht="15" customHeight="1" x14ac:dyDescent="0.25">
      <c r="B174" s="363" t="s">
        <v>257</v>
      </c>
      <c r="C174" s="523" t="s">
        <v>770</v>
      </c>
      <c r="D174" s="363"/>
      <c r="E174" s="364"/>
      <c r="F174" s="363"/>
      <c r="G174" s="363">
        <v>7397.7664999999997</v>
      </c>
      <c r="H174" s="363">
        <v>10205.760200000001</v>
      </c>
      <c r="I174" s="363">
        <v>11529.995199999999</v>
      </c>
      <c r="J174" s="363">
        <v>10369.6518</v>
      </c>
      <c r="K174" s="363">
        <v>13197.8907</v>
      </c>
      <c r="L174" s="363">
        <v>17845.127100000002</v>
      </c>
      <c r="M174" s="363">
        <v>16339.9311</v>
      </c>
      <c r="N174" s="363">
        <v>12677.8</v>
      </c>
      <c r="O174" s="363"/>
      <c r="P174" s="363"/>
      <c r="Q174" s="363"/>
      <c r="R174" s="363"/>
      <c r="S174" s="363"/>
      <c r="T174" s="363"/>
      <c r="U174" s="363"/>
      <c r="V174" s="363"/>
      <c r="W174" s="363"/>
    </row>
    <row r="175" spans="2:23" ht="15" customHeight="1" x14ac:dyDescent="0.25">
      <c r="B175" s="363" t="s">
        <v>260</v>
      </c>
      <c r="C175" s="523" t="s">
        <v>773</v>
      </c>
      <c r="D175" s="363"/>
      <c r="E175" s="364"/>
      <c r="F175" s="363"/>
      <c r="G175" s="363">
        <v>2777.2925</v>
      </c>
      <c r="H175" s="363">
        <v>3063.0783000000001</v>
      </c>
      <c r="I175" s="363">
        <v>3285.4677000000001</v>
      </c>
      <c r="J175" s="363">
        <v>2973.4953</v>
      </c>
      <c r="K175" s="363">
        <v>3021.6343999999999</v>
      </c>
      <c r="L175" s="363">
        <v>3667.9133999999999</v>
      </c>
      <c r="M175" s="363">
        <v>3408.7417999999998</v>
      </c>
      <c r="N175" s="363">
        <v>3496.9295999999999</v>
      </c>
      <c r="O175" s="363"/>
      <c r="P175" s="363"/>
      <c r="Q175" s="363"/>
      <c r="R175" s="363"/>
      <c r="S175" s="363"/>
      <c r="T175" s="363"/>
      <c r="U175" s="363"/>
      <c r="V175" s="363"/>
      <c r="W175" s="363"/>
    </row>
    <row r="176" spans="2:23" ht="15" customHeight="1" x14ac:dyDescent="0.25">
      <c r="B176" s="363" t="s">
        <v>261</v>
      </c>
      <c r="C176" s="523" t="s">
        <v>776</v>
      </c>
      <c r="D176" s="363"/>
      <c r="E176" s="364"/>
      <c r="F176" s="363"/>
      <c r="G176" s="363">
        <v>211987.32199999999</v>
      </c>
      <c r="H176" s="363">
        <v>221630.95170000001</v>
      </c>
      <c r="I176" s="363">
        <v>197776.51120000001</v>
      </c>
      <c r="J176" s="363">
        <v>201062.245</v>
      </c>
      <c r="K176" s="363">
        <v>244312.11439999999</v>
      </c>
      <c r="L176" s="363">
        <v>234593.13</v>
      </c>
      <c r="M176" s="363">
        <v>198277.07560000001</v>
      </c>
      <c r="N176" s="363">
        <v>220655.9497</v>
      </c>
      <c r="O176" s="363"/>
      <c r="P176" s="363"/>
      <c r="Q176" s="363"/>
      <c r="R176" s="363"/>
      <c r="S176" s="363"/>
      <c r="T176" s="363"/>
      <c r="U176" s="363"/>
      <c r="V176" s="363"/>
      <c r="W176" s="363"/>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zoomScale="50" zoomScaleNormal="50" workbookViewId="0">
      <selection activeCell="R3" sqref="R3:W3"/>
    </sheetView>
  </sheetViews>
  <sheetFormatPr defaultColWidth="9" defaultRowHeight="13.8" x14ac:dyDescent="0.25"/>
  <cols>
    <col min="1" max="1" width="9" style="4"/>
    <col min="2" max="2" width="10.5" style="4" bestFit="1" customWidth="1"/>
    <col min="3" max="8" width="9" style="4" bestFit="1" customWidth="1"/>
    <col min="9" max="9" width="10.5" style="4" bestFit="1" customWidth="1"/>
    <col min="10" max="15" width="9" style="4" bestFit="1" customWidth="1"/>
    <col min="16" max="16" width="9" style="4"/>
    <col min="17" max="17" width="11.5" style="4" bestFit="1" customWidth="1"/>
    <col min="18" max="23" width="9" style="4" bestFit="1" customWidth="1"/>
    <col min="24" max="24" width="9" style="4"/>
    <col min="25" max="30" width="9" style="4" bestFit="1" customWidth="1"/>
    <col min="31" max="31" width="9" style="4"/>
    <col min="32" max="37" width="9" style="4" bestFit="1" customWidth="1"/>
    <col min="38" max="38" width="9" style="4"/>
    <col min="39" max="39" width="9" style="4" bestFit="1" customWidth="1"/>
    <col min="40" max="40" width="11" style="4" bestFit="1" customWidth="1"/>
    <col min="41" max="41" width="12" style="4" bestFit="1" customWidth="1"/>
    <col min="42" max="42" width="13.296875" style="4" bestFit="1" customWidth="1"/>
    <col min="43" max="43" width="12.5" style="4" bestFit="1" customWidth="1"/>
    <col min="44" max="44" width="9" style="4" bestFit="1" customWidth="1"/>
    <col min="45" max="16384" width="9" style="4"/>
  </cols>
  <sheetData>
    <row r="3" spans="2:44" ht="15" customHeight="1" x14ac:dyDescent="0.25">
      <c r="B3" s="548"/>
      <c r="C3" s="806" t="s">
        <v>748</v>
      </c>
      <c r="D3" s="806"/>
      <c r="E3" s="806"/>
      <c r="F3" s="806"/>
      <c r="G3" s="806"/>
      <c r="H3" s="806"/>
      <c r="I3" s="548"/>
      <c r="J3" s="806" t="s">
        <v>753</v>
      </c>
      <c r="K3" s="806"/>
      <c r="L3" s="806"/>
      <c r="M3" s="806"/>
      <c r="N3" s="806"/>
      <c r="O3" s="806"/>
      <c r="P3" s="548"/>
      <c r="R3" s="807" t="s">
        <v>796</v>
      </c>
      <c r="S3" s="807"/>
      <c r="T3" s="807"/>
      <c r="U3" s="807"/>
      <c r="V3" s="807"/>
      <c r="W3" s="807"/>
      <c r="Y3" s="806" t="s">
        <v>797</v>
      </c>
      <c r="Z3" s="806"/>
      <c r="AA3" s="806"/>
      <c r="AB3" s="806"/>
      <c r="AC3" s="806"/>
      <c r="AD3" s="806"/>
      <c r="AF3" s="806" t="s">
        <v>798</v>
      </c>
      <c r="AG3" s="806"/>
      <c r="AH3" s="806"/>
      <c r="AI3" s="806"/>
      <c r="AJ3" s="806"/>
      <c r="AK3" s="806"/>
      <c r="AN3" s="549" t="s">
        <v>348</v>
      </c>
      <c r="AO3" s="549" t="s">
        <v>799</v>
      </c>
      <c r="AP3" s="549" t="s">
        <v>780</v>
      </c>
      <c r="AQ3" s="549" t="s">
        <v>781</v>
      </c>
      <c r="AR3" s="549" t="s">
        <v>782</v>
      </c>
    </row>
    <row r="4" spans="2:44" x14ac:dyDescent="0.25">
      <c r="B4" s="548"/>
      <c r="C4" s="4" t="s">
        <v>751</v>
      </c>
      <c r="D4" s="4" t="s">
        <v>800</v>
      </c>
      <c r="E4" s="4" t="s">
        <v>801</v>
      </c>
      <c r="F4" s="4" t="s">
        <v>802</v>
      </c>
      <c r="G4" s="4" t="s">
        <v>803</v>
      </c>
      <c r="H4" s="4" t="s">
        <v>776</v>
      </c>
      <c r="I4" s="548"/>
      <c r="J4" s="4" t="s">
        <v>751</v>
      </c>
      <c r="K4" s="4" t="s">
        <v>800</v>
      </c>
      <c r="L4" s="4" t="s">
        <v>801</v>
      </c>
      <c r="M4" s="4" t="s">
        <v>802</v>
      </c>
      <c r="N4" s="4" t="s">
        <v>803</v>
      </c>
      <c r="O4" s="4" t="s">
        <v>776</v>
      </c>
      <c r="P4" s="548"/>
      <c r="R4" s="4" t="s">
        <v>751</v>
      </c>
      <c r="S4" s="4" t="s">
        <v>744</v>
      </c>
      <c r="T4" s="4" t="s">
        <v>749</v>
      </c>
      <c r="U4" s="4" t="s">
        <v>751</v>
      </c>
      <c r="V4" s="4" t="s">
        <v>744</v>
      </c>
      <c r="W4" s="4" t="s">
        <v>749</v>
      </c>
      <c r="Y4" s="4" t="s">
        <v>751</v>
      </c>
      <c r="Z4" s="4" t="s">
        <v>800</v>
      </c>
      <c r="AA4" s="4" t="s">
        <v>801</v>
      </c>
      <c r="AB4" s="4" t="s">
        <v>802</v>
      </c>
      <c r="AC4" s="4" t="s">
        <v>803</v>
      </c>
      <c r="AD4" s="4" t="s">
        <v>776</v>
      </c>
      <c r="AF4" s="4" t="s">
        <v>751</v>
      </c>
      <c r="AG4" s="4" t="s">
        <v>800</v>
      </c>
      <c r="AH4" s="4" t="s">
        <v>801</v>
      </c>
      <c r="AI4" s="4" t="s">
        <v>802</v>
      </c>
      <c r="AJ4" s="4" t="s">
        <v>803</v>
      </c>
      <c r="AK4" s="4" t="s">
        <v>776</v>
      </c>
      <c r="AM4" s="550">
        <v>45945</v>
      </c>
      <c r="AN4" s="551">
        <v>126.62</v>
      </c>
      <c r="AO4" s="551">
        <v>91440</v>
      </c>
      <c r="AP4" s="551">
        <v>132.4461</v>
      </c>
      <c r="AQ4" s="551">
        <v>16770.325182</v>
      </c>
      <c r="AR4" s="551">
        <v>1.0463</v>
      </c>
    </row>
    <row r="5" spans="2:44" x14ac:dyDescent="0.25">
      <c r="B5" s="552">
        <v>45945</v>
      </c>
      <c r="C5" s="548">
        <v>0</v>
      </c>
      <c r="D5" s="548">
        <v>0</v>
      </c>
      <c r="E5" s="548">
        <v>28.426600000000001</v>
      </c>
      <c r="F5" s="548">
        <v>15.1273</v>
      </c>
      <c r="G5" s="548">
        <v>8.0244999999999997</v>
      </c>
      <c r="H5" s="548">
        <v>6.7560000000000002</v>
      </c>
      <c r="I5" s="552">
        <v>45945</v>
      </c>
      <c r="J5" s="548">
        <v>24.0124</v>
      </c>
      <c r="K5" s="548">
        <v>49.095700000000001</v>
      </c>
      <c r="L5" s="548">
        <v>34.884900000000002</v>
      </c>
      <c r="M5" s="548">
        <v>24.919799999999999</v>
      </c>
      <c r="N5" s="548">
        <v>13.7979</v>
      </c>
      <c r="O5" s="548">
        <v>21.293199999999999</v>
      </c>
      <c r="P5" s="548"/>
      <c r="Q5" s="552">
        <v>45945</v>
      </c>
      <c r="R5" s="4">
        <v>126.575</v>
      </c>
      <c r="S5" s="4">
        <v>23848.98</v>
      </c>
      <c r="T5" s="4">
        <v>5832.2020000000002</v>
      </c>
      <c r="U5" s="4">
        <v>1.8710273466371026</v>
      </c>
      <c r="V5" s="4">
        <v>2.119135142627893</v>
      </c>
      <c r="W5" s="4">
        <v>2.4572511255691047</v>
      </c>
      <c r="Y5" s="548">
        <v>126.575</v>
      </c>
      <c r="Z5" s="4">
        <v>412.38</v>
      </c>
      <c r="AA5" s="4">
        <v>143.02500000000001</v>
      </c>
      <c r="AB5" s="4">
        <v>29070</v>
      </c>
      <c r="AC5" s="4">
        <v>13970</v>
      </c>
      <c r="AD5" s="4">
        <v>95500</v>
      </c>
      <c r="AF5" s="4">
        <v>1.8710273466371026</v>
      </c>
      <c r="AG5" s="4">
        <v>2.1276990944973297</v>
      </c>
      <c r="AH5" s="4">
        <v>3.6161256067961167</v>
      </c>
      <c r="AI5" s="4">
        <v>2.2436268494292526</v>
      </c>
      <c r="AJ5" s="4">
        <v>3.4794520547945207</v>
      </c>
      <c r="AK5" s="4">
        <v>1.6023489932885906</v>
      </c>
      <c r="AM5" s="550">
        <v>45944</v>
      </c>
      <c r="AN5" s="551">
        <v>126.62</v>
      </c>
      <c r="AO5" s="551">
        <v>976334</v>
      </c>
      <c r="AP5" s="551">
        <v>132.4461</v>
      </c>
      <c r="AQ5" s="551">
        <v>16770.325182</v>
      </c>
      <c r="AR5" s="551">
        <v>1.0466</v>
      </c>
    </row>
    <row r="6" spans="2:44" x14ac:dyDescent="0.25">
      <c r="B6" s="552">
        <v>45938</v>
      </c>
      <c r="C6" s="548">
        <v>16.710699999999999</v>
      </c>
      <c r="D6" s="548">
        <v>0</v>
      </c>
      <c r="E6" s="548">
        <v>28.3293</v>
      </c>
      <c r="F6" s="548">
        <v>15.1273</v>
      </c>
      <c r="G6" s="548">
        <v>8.4802</v>
      </c>
      <c r="H6" s="548">
        <v>5.98</v>
      </c>
      <c r="I6" s="552">
        <v>45938</v>
      </c>
      <c r="J6" s="548">
        <v>26.4086</v>
      </c>
      <c r="K6" s="548">
        <v>54.532899999999998</v>
      </c>
      <c r="L6" s="548">
        <v>34.766599999999997</v>
      </c>
      <c r="M6" s="548">
        <v>25.078399999999998</v>
      </c>
      <c r="N6" s="548">
        <v>14.484299999999999</v>
      </c>
      <c r="O6" s="548">
        <v>19.1751</v>
      </c>
      <c r="P6" s="548"/>
      <c r="Q6" s="552">
        <v>45938</v>
      </c>
      <c r="R6" s="4">
        <v>123.13</v>
      </c>
      <c r="S6" s="4">
        <v>23425.61</v>
      </c>
      <c r="T6" s="4">
        <v>5756.3010000000004</v>
      </c>
      <c r="U6" s="4">
        <v>1.8201034737620101</v>
      </c>
      <c r="V6" s="4">
        <v>2.0815159972667763</v>
      </c>
      <c r="W6" s="4">
        <v>2.4252721547306768</v>
      </c>
      <c r="Y6" s="548">
        <v>123.13</v>
      </c>
      <c r="Z6" s="4">
        <v>460.68</v>
      </c>
      <c r="AA6" s="4">
        <v>142.54</v>
      </c>
      <c r="AB6" s="4">
        <v>29255</v>
      </c>
      <c r="AC6" s="4">
        <v>14665</v>
      </c>
      <c r="AD6" s="4">
        <v>86000</v>
      </c>
      <c r="AF6" s="4">
        <v>1.8201034737620101</v>
      </c>
      <c r="AG6" s="4">
        <v>2.3769058122436344</v>
      </c>
      <c r="AH6" s="4">
        <v>3.6038632686084142</v>
      </c>
      <c r="AI6" s="4">
        <v>2.2579051764724043</v>
      </c>
      <c r="AJ6" s="4">
        <v>3.6525529265255292</v>
      </c>
      <c r="AK6" s="4">
        <v>1.4429530201342282</v>
      </c>
      <c r="AM6" s="550">
        <v>45943</v>
      </c>
      <c r="AN6" s="551">
        <v>126.62</v>
      </c>
      <c r="AO6" s="551">
        <v>976334</v>
      </c>
      <c r="AP6" s="551">
        <v>132.4461</v>
      </c>
      <c r="AQ6" s="551">
        <v>16770.325182</v>
      </c>
      <c r="AR6" s="551">
        <v>1.0466</v>
      </c>
    </row>
    <row r="7" spans="2:44" x14ac:dyDescent="0.25">
      <c r="B7" s="552">
        <v>45931</v>
      </c>
      <c r="C7" s="548">
        <v>17.423500000000001</v>
      </c>
      <c r="D7" s="548">
        <v>0</v>
      </c>
      <c r="E7" s="548">
        <v>28.3795</v>
      </c>
      <c r="F7" s="548">
        <v>15.1273</v>
      </c>
      <c r="G7" s="548">
        <v>7.6738</v>
      </c>
      <c r="H7" s="548">
        <v>5.98</v>
      </c>
      <c r="I7" s="552">
        <v>45931</v>
      </c>
      <c r="J7" s="548">
        <v>27.534300000000002</v>
      </c>
      <c r="K7" s="548">
        <v>54.845999999999997</v>
      </c>
      <c r="L7" s="548">
        <v>34.827599999999997</v>
      </c>
      <c r="M7" s="548">
        <v>22.1252</v>
      </c>
      <c r="N7" s="548">
        <v>13.269500000000001</v>
      </c>
      <c r="O7" s="548">
        <v>19.1751</v>
      </c>
      <c r="P7" s="548"/>
      <c r="Q7" s="552">
        <v>45931</v>
      </c>
      <c r="R7" s="4">
        <v>123.13</v>
      </c>
      <c r="S7" s="4">
        <v>23425.61</v>
      </c>
      <c r="T7" s="4">
        <v>5756.3010000000004</v>
      </c>
      <c r="U7" s="4">
        <v>1.8201034737620101</v>
      </c>
      <c r="V7" s="4">
        <v>2.0815159972667763</v>
      </c>
      <c r="W7" s="4">
        <v>2.4252721547306768</v>
      </c>
      <c r="Y7" s="548">
        <v>123.13</v>
      </c>
      <c r="Z7" s="4">
        <v>460.68</v>
      </c>
      <c r="AA7" s="4">
        <v>142.79</v>
      </c>
      <c r="AB7" s="4">
        <v>25810</v>
      </c>
      <c r="AC7" s="4">
        <v>13435</v>
      </c>
      <c r="AD7" s="4">
        <v>86000</v>
      </c>
      <c r="AF7" s="4">
        <v>1.8201034737620101</v>
      </c>
      <c r="AG7" s="4">
        <v>2.3769058122436344</v>
      </c>
      <c r="AH7" s="4">
        <v>3.6101840614886731</v>
      </c>
      <c r="AI7" s="4">
        <v>1.9920195728850709</v>
      </c>
      <c r="AJ7" s="4">
        <v>3.3462017434620175</v>
      </c>
      <c r="AK7" s="4">
        <v>1.4429530201342282</v>
      </c>
      <c r="AM7" s="550">
        <v>45942</v>
      </c>
      <c r="AN7" s="551">
        <v>126.62</v>
      </c>
      <c r="AO7" s="551">
        <v>976334</v>
      </c>
      <c r="AP7" s="551">
        <v>132.4461</v>
      </c>
      <c r="AQ7" s="551">
        <v>16770.325182</v>
      </c>
      <c r="AR7" s="551">
        <v>1.0466</v>
      </c>
    </row>
    <row r="8" spans="2:44" x14ac:dyDescent="0.25">
      <c r="B8" s="552">
        <v>45924</v>
      </c>
      <c r="C8" s="548">
        <v>15.396599999999999</v>
      </c>
      <c r="D8" s="548">
        <v>0</v>
      </c>
      <c r="E8" s="548">
        <v>25.4772</v>
      </c>
      <c r="F8" s="548">
        <v>15.1273</v>
      </c>
      <c r="G8" s="548">
        <v>8.1065000000000005</v>
      </c>
      <c r="H8" s="548">
        <v>5.931</v>
      </c>
      <c r="I8" s="552">
        <v>45924</v>
      </c>
      <c r="J8" s="548">
        <v>24.333100000000002</v>
      </c>
      <c r="K8" s="548">
        <v>54.845999999999997</v>
      </c>
      <c r="L8" s="548">
        <v>31.298200000000001</v>
      </c>
      <c r="M8" s="548">
        <v>23.363900000000001</v>
      </c>
      <c r="N8" s="548">
        <v>13.9214</v>
      </c>
      <c r="O8" s="548">
        <v>19.0413</v>
      </c>
      <c r="P8" s="548"/>
      <c r="Q8" s="552">
        <v>45924</v>
      </c>
      <c r="R8" s="4">
        <v>120.28</v>
      </c>
      <c r="S8" s="4">
        <v>23713.759999999998</v>
      </c>
      <c r="T8" s="4">
        <v>5776.3130000000001</v>
      </c>
      <c r="U8" s="4">
        <v>1.7779748706577974</v>
      </c>
      <c r="V8" s="4">
        <v>2.1071199766129882</v>
      </c>
      <c r="W8" s="4">
        <v>2.4337037058883508</v>
      </c>
      <c r="Y8" s="548">
        <v>120.28</v>
      </c>
      <c r="Z8" s="4">
        <v>460.68</v>
      </c>
      <c r="AA8" s="4">
        <v>128.32</v>
      </c>
      <c r="AB8" s="4">
        <v>27255</v>
      </c>
      <c r="AC8" s="4">
        <v>14095</v>
      </c>
      <c r="AD8" s="4">
        <v>85400</v>
      </c>
      <c r="AF8" s="4">
        <v>1.7779748706577974</v>
      </c>
      <c r="AG8" s="4">
        <v>2.3769058122436344</v>
      </c>
      <c r="AH8" s="4">
        <v>3.2443365695792878</v>
      </c>
      <c r="AI8" s="4">
        <v>2.1035448841140103</v>
      </c>
      <c r="AJ8" s="4">
        <v>3.5105853051058529</v>
      </c>
      <c r="AK8" s="4">
        <v>1.4328859060402686</v>
      </c>
      <c r="AM8" s="550">
        <v>45941</v>
      </c>
      <c r="AN8" s="551">
        <v>125.94</v>
      </c>
      <c r="AO8" s="551">
        <v>1009152</v>
      </c>
      <c r="AP8" s="551">
        <v>132.4461</v>
      </c>
      <c r="AQ8" s="551">
        <v>16680.261834000001</v>
      </c>
      <c r="AR8" s="551">
        <v>1.0409999999999999</v>
      </c>
    </row>
    <row r="9" spans="2:44" x14ac:dyDescent="0.25">
      <c r="B9" s="552">
        <v>45917</v>
      </c>
      <c r="C9" s="548">
        <v>13.4335</v>
      </c>
      <c r="D9" s="548">
        <v>0</v>
      </c>
      <c r="E9" s="548">
        <v>24.189599999999999</v>
      </c>
      <c r="F9" s="548">
        <v>15.1273</v>
      </c>
      <c r="G9" s="548">
        <v>7.2771999999999997</v>
      </c>
      <c r="H9" s="548">
        <v>5.3429000000000002</v>
      </c>
      <c r="I9" s="552">
        <v>45917</v>
      </c>
      <c r="J9" s="548">
        <v>21.232500000000002</v>
      </c>
      <c r="K9" s="548">
        <v>46.358600000000003</v>
      </c>
      <c r="L9" s="548">
        <v>29.732399999999998</v>
      </c>
      <c r="M9" s="548">
        <v>20.7879</v>
      </c>
      <c r="N9" s="548">
        <v>12.671900000000001</v>
      </c>
      <c r="O9" s="548">
        <v>17.4359</v>
      </c>
      <c r="P9" s="548"/>
      <c r="Q9" s="552">
        <v>45917</v>
      </c>
      <c r="R9" s="4">
        <v>119.24</v>
      </c>
      <c r="S9" s="4">
        <v>23526.63</v>
      </c>
      <c r="T9" s="4">
        <v>5670.3710000000001</v>
      </c>
      <c r="U9" s="4">
        <v>1.76260162601626</v>
      </c>
      <c r="V9" s="4">
        <v>2.0904922734894185</v>
      </c>
      <c r="W9" s="4">
        <v>2.3890677178438624</v>
      </c>
      <c r="Y9" s="548">
        <v>119.24</v>
      </c>
      <c r="Z9" s="4">
        <v>389.39</v>
      </c>
      <c r="AA9" s="4">
        <v>121.9</v>
      </c>
      <c r="AB9" s="4">
        <v>24250</v>
      </c>
      <c r="AC9" s="4">
        <v>12830</v>
      </c>
      <c r="AD9" s="4">
        <v>78200</v>
      </c>
      <c r="AF9" s="4">
        <v>1.76260162601626</v>
      </c>
      <c r="AG9" s="4">
        <v>2.009080824497588</v>
      </c>
      <c r="AH9" s="4">
        <v>3.0820186084142396</v>
      </c>
      <c r="AI9" s="4">
        <v>1.8716185448455238</v>
      </c>
      <c r="AJ9" s="4">
        <v>3.195516811955168</v>
      </c>
      <c r="AK9" s="4">
        <v>1.3120805369127517</v>
      </c>
      <c r="AM9" s="550">
        <v>45940</v>
      </c>
      <c r="AN9" s="551">
        <v>124.08</v>
      </c>
      <c r="AO9" s="551">
        <v>945301</v>
      </c>
      <c r="AP9" s="551">
        <v>132.4461</v>
      </c>
      <c r="AQ9" s="551">
        <v>16433.912088000001</v>
      </c>
      <c r="AR9" s="551">
        <v>1.0257000000000001</v>
      </c>
    </row>
    <row r="10" spans="2:44" x14ac:dyDescent="0.25">
      <c r="B10" s="552">
        <v>45910</v>
      </c>
      <c r="C10" s="548">
        <v>11.1637</v>
      </c>
      <c r="D10" s="548">
        <v>0</v>
      </c>
      <c r="E10" s="548">
        <v>21.351600000000001</v>
      </c>
      <c r="F10" s="548">
        <v>15.1273</v>
      </c>
      <c r="G10" s="548">
        <v>6.5331000000000001</v>
      </c>
      <c r="H10" s="548">
        <v>4.8855000000000004</v>
      </c>
      <c r="I10" s="552">
        <v>45910</v>
      </c>
      <c r="J10" s="548">
        <v>17.647600000000001</v>
      </c>
      <c r="K10" s="548">
        <v>43.835799999999999</v>
      </c>
      <c r="L10" s="548">
        <v>26.1859</v>
      </c>
      <c r="M10" s="548">
        <v>18.130500000000001</v>
      </c>
      <c r="N10" s="548">
        <v>11.5509</v>
      </c>
      <c r="O10" s="548">
        <v>16.1873</v>
      </c>
      <c r="P10" s="548"/>
      <c r="Q10" s="552">
        <v>45910</v>
      </c>
      <c r="R10" s="4">
        <v>111.94</v>
      </c>
      <c r="S10" s="4">
        <v>23188.61</v>
      </c>
      <c r="T10" s="4">
        <v>5624.41</v>
      </c>
      <c r="U10" s="4">
        <v>1.6546932742054692</v>
      </c>
      <c r="V10" s="4">
        <v>2.0604570241449567</v>
      </c>
      <c r="W10" s="4">
        <v>2.3697032104104294</v>
      </c>
      <c r="Y10" s="548">
        <v>111.94</v>
      </c>
      <c r="Z10" s="4">
        <v>368.2</v>
      </c>
      <c r="AA10" s="4">
        <v>107.36</v>
      </c>
      <c r="AB10" s="4">
        <v>21150</v>
      </c>
      <c r="AC10" s="4">
        <v>11695</v>
      </c>
      <c r="AD10" s="4">
        <v>72600</v>
      </c>
      <c r="AF10" s="4">
        <v>1.6546932742054692</v>
      </c>
      <c r="AG10" s="4">
        <v>1.8997497613703789</v>
      </c>
      <c r="AH10" s="4">
        <v>2.7144012944983817</v>
      </c>
      <c r="AI10" s="4">
        <v>1.6323600916900136</v>
      </c>
      <c r="AJ10" s="4">
        <v>2.9128268991282691</v>
      </c>
      <c r="AK10" s="4">
        <v>1.2181208053691275</v>
      </c>
      <c r="AM10" s="550">
        <v>45939</v>
      </c>
      <c r="AN10" s="551">
        <v>124.94</v>
      </c>
      <c r="AO10" s="551">
        <v>868992</v>
      </c>
      <c r="AP10" s="551">
        <v>132.4461</v>
      </c>
      <c r="AQ10" s="551">
        <v>16547.815734</v>
      </c>
      <c r="AR10" s="551">
        <v>1.0327999999999999</v>
      </c>
    </row>
    <row r="11" spans="2:44" x14ac:dyDescent="0.25">
      <c r="B11" s="552">
        <v>45903</v>
      </c>
      <c r="C11" s="548">
        <v>10.6739</v>
      </c>
      <c r="D11" s="548">
        <v>0</v>
      </c>
      <c r="E11" s="548">
        <v>19.415099999999999</v>
      </c>
      <c r="F11" s="548">
        <v>15.1273</v>
      </c>
      <c r="G11" s="548">
        <v>5.8644999999999996</v>
      </c>
      <c r="H11" s="548">
        <v>4.6567999999999996</v>
      </c>
      <c r="I11" s="552">
        <v>45903</v>
      </c>
      <c r="J11" s="548">
        <v>16.874099999999999</v>
      </c>
      <c r="K11" s="548">
        <v>44.458500000000001</v>
      </c>
      <c r="L11" s="548">
        <v>23.839500000000001</v>
      </c>
      <c r="M11" s="548">
        <v>17.0975</v>
      </c>
      <c r="N11" s="548">
        <v>10.5435</v>
      </c>
      <c r="O11" s="548">
        <v>15.563000000000001</v>
      </c>
      <c r="P11" s="548"/>
      <c r="Q11" s="552">
        <v>45903</v>
      </c>
      <c r="R11" s="4">
        <v>113.84</v>
      </c>
      <c r="S11" s="4">
        <v>23356.27</v>
      </c>
      <c r="T11" s="4">
        <v>5737.1030000000001</v>
      </c>
      <c r="U11" s="4">
        <v>1.6827790096082778</v>
      </c>
      <c r="V11" s="4">
        <v>2.0753546926411772</v>
      </c>
      <c r="W11" s="4">
        <v>2.4171835619301056</v>
      </c>
      <c r="Y11" s="548">
        <v>113.84</v>
      </c>
      <c r="Z11" s="4">
        <v>373.43</v>
      </c>
      <c r="AA11" s="4">
        <v>97.74</v>
      </c>
      <c r="AB11" s="4">
        <v>19945</v>
      </c>
      <c r="AC11" s="4">
        <v>10675</v>
      </c>
      <c r="AD11" s="4">
        <v>69800</v>
      </c>
      <c r="AF11" s="4">
        <v>1.6827790096082778</v>
      </c>
      <c r="AG11" s="4">
        <v>1.9267342568944612</v>
      </c>
      <c r="AH11" s="4">
        <v>2.4711771844660193</v>
      </c>
      <c r="AI11" s="4">
        <v>1.5393580155440814</v>
      </c>
      <c r="AJ11" s="4">
        <v>2.6587795765877957</v>
      </c>
      <c r="AK11" s="4">
        <v>1.1711409395973154</v>
      </c>
      <c r="AM11" s="550">
        <v>45938</v>
      </c>
      <c r="AN11" s="551">
        <v>124.89</v>
      </c>
      <c r="AO11" s="551">
        <v>938886</v>
      </c>
      <c r="AP11" s="551">
        <v>132.4461</v>
      </c>
      <c r="AQ11" s="551">
        <v>16541.193428999999</v>
      </c>
      <c r="AR11" s="551">
        <v>1.0323</v>
      </c>
    </row>
    <row r="12" spans="2:44" x14ac:dyDescent="0.25">
      <c r="B12" s="552">
        <v>45896</v>
      </c>
      <c r="C12" s="548">
        <v>11.370799999999999</v>
      </c>
      <c r="D12" s="548">
        <v>0</v>
      </c>
      <c r="E12" s="548">
        <v>20.608799999999999</v>
      </c>
      <c r="F12" s="548">
        <v>15.1273</v>
      </c>
      <c r="G12" s="548">
        <v>6.7355</v>
      </c>
      <c r="H12" s="548">
        <v>4.7221000000000002</v>
      </c>
      <c r="I12" s="552">
        <v>45896</v>
      </c>
      <c r="J12" s="548">
        <v>17.974699999999999</v>
      </c>
      <c r="K12" s="548">
        <v>44.466799999999999</v>
      </c>
      <c r="L12" s="548">
        <v>25.285900000000002</v>
      </c>
      <c r="M12" s="548">
        <v>17.431799999999999</v>
      </c>
      <c r="N12" s="548">
        <v>11.1312</v>
      </c>
      <c r="O12" s="548">
        <v>15.741400000000001</v>
      </c>
      <c r="P12" s="548"/>
      <c r="Q12" s="552">
        <v>45896</v>
      </c>
      <c r="R12" s="4">
        <v>112.16</v>
      </c>
      <c r="S12" s="4">
        <v>23180.06</v>
      </c>
      <c r="T12" s="4">
        <v>5739.424</v>
      </c>
      <c r="U12" s="4">
        <v>1.6579453067257943</v>
      </c>
      <c r="V12" s="4">
        <v>2.0596973016968914</v>
      </c>
      <c r="W12" s="4">
        <v>2.4181614567050889</v>
      </c>
      <c r="Y12" s="548">
        <v>112.16</v>
      </c>
      <c r="Z12" s="4">
        <v>373.5</v>
      </c>
      <c r="AA12" s="4">
        <v>103.67</v>
      </c>
      <c r="AB12" s="4">
        <v>20335</v>
      </c>
      <c r="AC12" s="4">
        <v>11270</v>
      </c>
      <c r="AD12" s="4">
        <v>70600</v>
      </c>
      <c r="AF12" s="4">
        <v>1.6579453067257943</v>
      </c>
      <c r="AG12" s="4">
        <v>1.9270954260506152</v>
      </c>
      <c r="AH12" s="4">
        <v>2.6211063915857604</v>
      </c>
      <c r="AI12" s="4">
        <v>1.5694582725539681</v>
      </c>
      <c r="AJ12" s="4">
        <v>2.8069738480697386</v>
      </c>
      <c r="AK12" s="4">
        <v>1.1845637583892616</v>
      </c>
      <c r="AM12" s="550">
        <v>45937</v>
      </c>
      <c r="AN12" s="551">
        <v>124.89</v>
      </c>
      <c r="AO12" s="551">
        <v>938886</v>
      </c>
      <c r="AP12" s="551">
        <v>132.4461</v>
      </c>
      <c r="AQ12" s="551">
        <v>16541.193428999999</v>
      </c>
      <c r="AR12" s="551">
        <v>1.0323</v>
      </c>
    </row>
    <row r="13" spans="2:44" x14ac:dyDescent="0.25">
      <c r="B13" s="552">
        <v>45889</v>
      </c>
      <c r="C13" s="548">
        <v>10.008900000000001</v>
      </c>
      <c r="D13" s="548">
        <v>0</v>
      </c>
      <c r="E13" s="548">
        <v>19.699000000000002</v>
      </c>
      <c r="F13" s="548">
        <v>15.1273</v>
      </c>
      <c r="G13" s="548">
        <v>6.6797000000000004</v>
      </c>
      <c r="H13" s="548">
        <v>4.7138999999999998</v>
      </c>
      <c r="I13" s="552">
        <v>45889</v>
      </c>
      <c r="J13" s="548">
        <v>15.8238</v>
      </c>
      <c r="K13" s="548">
        <v>41.727400000000003</v>
      </c>
      <c r="L13" s="548">
        <v>24.183499999999999</v>
      </c>
      <c r="M13" s="548">
        <v>17.9376</v>
      </c>
      <c r="N13" s="548">
        <v>11.052099999999999</v>
      </c>
      <c r="O13" s="548">
        <v>15.719099999999999</v>
      </c>
      <c r="P13" s="548"/>
      <c r="Q13" s="552">
        <v>45889</v>
      </c>
      <c r="R13" s="4">
        <v>114.55</v>
      </c>
      <c r="S13" s="4">
        <v>22855.63</v>
      </c>
      <c r="T13" s="4">
        <v>5646.7179999999998</v>
      </c>
      <c r="U13" s="4">
        <v>1.6932742054693273</v>
      </c>
      <c r="V13" s="4">
        <v>2.0308696111909339</v>
      </c>
      <c r="W13" s="4">
        <v>2.379102123224011</v>
      </c>
      <c r="Y13" s="548">
        <v>114.55</v>
      </c>
      <c r="Z13" s="4">
        <v>350.49</v>
      </c>
      <c r="AA13" s="4">
        <v>99.15</v>
      </c>
      <c r="AB13" s="4">
        <v>20925</v>
      </c>
      <c r="AC13" s="4">
        <v>11190</v>
      </c>
      <c r="AD13" s="4">
        <v>70500</v>
      </c>
      <c r="AF13" s="4">
        <v>1.6932742054693273</v>
      </c>
      <c r="AG13" s="4">
        <v>1.8083739648634007</v>
      </c>
      <c r="AH13" s="4">
        <v>2.5068264563106797</v>
      </c>
      <c r="AI13" s="4">
        <v>1.6149945587996943</v>
      </c>
      <c r="AJ13" s="4">
        <v>2.7870485678704857</v>
      </c>
      <c r="AK13" s="4">
        <v>1.1828859060402686</v>
      </c>
      <c r="AM13" s="550">
        <v>45936</v>
      </c>
      <c r="AN13" s="551">
        <v>124.89</v>
      </c>
      <c r="AO13" s="551">
        <v>938886</v>
      </c>
      <c r="AP13" s="551">
        <v>132.4461</v>
      </c>
      <c r="AQ13" s="551">
        <v>16541.193428999999</v>
      </c>
      <c r="AR13" s="551">
        <v>1.0323</v>
      </c>
    </row>
    <row r="14" spans="2:44" x14ac:dyDescent="0.25">
      <c r="B14" s="552">
        <v>45882</v>
      </c>
      <c r="C14" s="548">
        <v>10.128399999999999</v>
      </c>
      <c r="D14" s="548">
        <v>0</v>
      </c>
      <c r="E14" s="548">
        <v>21.226800000000001</v>
      </c>
      <c r="F14" s="548">
        <v>15.1273</v>
      </c>
      <c r="G14" s="548">
        <v>7.2836999999999996</v>
      </c>
      <c r="H14" s="548">
        <v>4.8282999999999996</v>
      </c>
      <c r="I14" s="552">
        <v>45882</v>
      </c>
      <c r="J14" s="548">
        <v>16.0124</v>
      </c>
      <c r="K14" s="548">
        <v>39.443899999999999</v>
      </c>
      <c r="L14" s="548">
        <v>26.034700000000001</v>
      </c>
      <c r="M14" s="548">
        <v>18.593399999999999</v>
      </c>
      <c r="N14" s="548">
        <v>11.906499999999999</v>
      </c>
      <c r="O14" s="548">
        <v>16.031199999999998</v>
      </c>
      <c r="P14" s="548"/>
      <c r="Q14" s="552">
        <v>45882</v>
      </c>
      <c r="R14" s="4">
        <v>115.43</v>
      </c>
      <c r="S14" s="4">
        <v>22685.57</v>
      </c>
      <c r="T14" s="4">
        <v>5541.201</v>
      </c>
      <c r="U14" s="4">
        <v>1.7062823355506282</v>
      </c>
      <c r="V14" s="4">
        <v>2.015758687270695</v>
      </c>
      <c r="W14" s="4">
        <v>2.3346451982038086</v>
      </c>
      <c r="Y14" s="548">
        <v>115.43</v>
      </c>
      <c r="Z14" s="4">
        <v>331.31</v>
      </c>
      <c r="AA14" s="4">
        <v>106.74</v>
      </c>
      <c r="AB14" s="4">
        <v>21690</v>
      </c>
      <c r="AC14" s="4">
        <v>12055</v>
      </c>
      <c r="AD14" s="4">
        <v>71900</v>
      </c>
      <c r="AF14" s="4">
        <v>1.7062823355506282</v>
      </c>
      <c r="AG14" s="4">
        <v>1.7094136160771871</v>
      </c>
      <c r="AH14" s="4">
        <v>2.6987257281553396</v>
      </c>
      <c r="AI14" s="4">
        <v>1.6740373706267799</v>
      </c>
      <c r="AJ14" s="4">
        <v>3.0024906600249066</v>
      </c>
      <c r="AK14" s="4">
        <v>1.2063758389261745</v>
      </c>
      <c r="AM14" s="550">
        <v>45935</v>
      </c>
      <c r="AN14" s="551">
        <v>124.89</v>
      </c>
      <c r="AO14" s="551">
        <v>938886</v>
      </c>
      <c r="AP14" s="551">
        <v>132.4461</v>
      </c>
      <c r="AQ14" s="551">
        <v>16541.193428999999</v>
      </c>
      <c r="AR14" s="551">
        <v>1.0323</v>
      </c>
    </row>
    <row r="15" spans="2:44" x14ac:dyDescent="0.25">
      <c r="B15" s="552">
        <v>45875</v>
      </c>
      <c r="C15" s="548">
        <v>9.9357000000000006</v>
      </c>
      <c r="D15" s="548">
        <v>0</v>
      </c>
      <c r="E15" s="548">
        <v>19.258700000000001</v>
      </c>
      <c r="F15" s="548">
        <v>15.1273</v>
      </c>
      <c r="G15" s="548">
        <v>6.9694000000000003</v>
      </c>
      <c r="H15" s="548">
        <v>4.5750999999999999</v>
      </c>
      <c r="I15" s="552">
        <v>45875</v>
      </c>
      <c r="J15" s="548">
        <v>15.786</v>
      </c>
      <c r="K15" s="548">
        <v>39.476100000000002</v>
      </c>
      <c r="L15" s="548">
        <v>23.400500000000001</v>
      </c>
      <c r="M15" s="548">
        <v>18.473400000000002</v>
      </c>
      <c r="N15" s="548">
        <v>11.462</v>
      </c>
      <c r="O15" s="548">
        <v>15.3401</v>
      </c>
      <c r="P15" s="548"/>
      <c r="Q15" s="552">
        <v>45875</v>
      </c>
      <c r="R15" s="4">
        <v>112.86</v>
      </c>
      <c r="S15" s="4">
        <v>22679.01</v>
      </c>
      <c r="T15" s="4">
        <v>5546.5439999999999</v>
      </c>
      <c r="U15" s="4">
        <v>1.6682926829268292</v>
      </c>
      <c r="V15" s="4">
        <v>2.0151757891117108</v>
      </c>
      <c r="W15" s="4">
        <v>2.3368963364126558</v>
      </c>
      <c r="Y15" s="548">
        <v>112.86</v>
      </c>
      <c r="Z15" s="4">
        <v>331.58</v>
      </c>
      <c r="AA15" s="4">
        <v>95.94</v>
      </c>
      <c r="AB15" s="4">
        <v>21550</v>
      </c>
      <c r="AC15" s="4">
        <v>11605</v>
      </c>
      <c r="AD15" s="4">
        <v>68800</v>
      </c>
      <c r="AF15" s="4">
        <v>1.6682926829268292</v>
      </c>
      <c r="AG15" s="4">
        <v>1.7108066971080669</v>
      </c>
      <c r="AH15" s="4">
        <v>2.4256674757281553</v>
      </c>
      <c r="AI15" s="4">
        <v>1.6632321501616922</v>
      </c>
      <c r="AJ15" s="4">
        <v>2.8904109589041096</v>
      </c>
      <c r="AK15" s="4">
        <v>1.1543624161073827</v>
      </c>
      <c r="AM15" s="550">
        <v>45934</v>
      </c>
      <c r="AN15" s="551">
        <v>125.74</v>
      </c>
      <c r="AO15" s="551">
        <v>835432</v>
      </c>
      <c r="AP15" s="551">
        <v>132.4461</v>
      </c>
      <c r="AQ15" s="551">
        <v>16653.772613999998</v>
      </c>
      <c r="AR15" s="551">
        <v>1.0394000000000001</v>
      </c>
    </row>
    <row r="16" spans="2:44" x14ac:dyDescent="0.25">
      <c r="B16" s="552">
        <v>45868</v>
      </c>
      <c r="C16" s="548">
        <v>12.6936</v>
      </c>
      <c r="D16" s="548">
        <v>0</v>
      </c>
      <c r="E16" s="548">
        <v>19.8996</v>
      </c>
      <c r="F16" s="548">
        <v>15.1273</v>
      </c>
      <c r="G16" s="548">
        <v>6.9414999999999996</v>
      </c>
      <c r="H16" s="548">
        <v>4.8855000000000004</v>
      </c>
      <c r="I16" s="552">
        <v>45868</v>
      </c>
      <c r="J16" s="548">
        <v>20.1633</v>
      </c>
      <c r="K16" s="548">
        <v>41.573799999999999</v>
      </c>
      <c r="L16" s="548">
        <v>24.168800000000001</v>
      </c>
      <c r="M16" s="548">
        <v>23.372499999999999</v>
      </c>
      <c r="N16" s="548">
        <v>11.422499999999999</v>
      </c>
      <c r="O16" s="548">
        <v>16.1873</v>
      </c>
      <c r="P16" s="548"/>
      <c r="Q16" s="552">
        <v>45868</v>
      </c>
      <c r="R16" s="4">
        <v>111.54</v>
      </c>
      <c r="S16" s="4">
        <v>21856.33</v>
      </c>
      <c r="T16" s="4">
        <v>5244.3019999999997</v>
      </c>
      <c r="U16" s="4">
        <v>1.648780487804878</v>
      </c>
      <c r="V16" s="4">
        <v>1.942075384015262</v>
      </c>
      <c r="W16" s="4">
        <v>2.2095542973861853</v>
      </c>
      <c r="Y16" s="548">
        <v>111.54</v>
      </c>
      <c r="Z16" s="4">
        <v>349.2</v>
      </c>
      <c r="AA16" s="4">
        <v>99.09</v>
      </c>
      <c r="AB16" s="4">
        <v>27265</v>
      </c>
      <c r="AC16" s="4">
        <v>11565</v>
      </c>
      <c r="AD16" s="4">
        <v>72600</v>
      </c>
      <c r="AF16" s="4">
        <v>1.648780487804878</v>
      </c>
      <c r="AG16" s="4">
        <v>1.8017181332714185</v>
      </c>
      <c r="AH16" s="4">
        <v>2.5053094660194177</v>
      </c>
      <c r="AI16" s="4">
        <v>2.1043166855758022</v>
      </c>
      <c r="AJ16" s="4">
        <v>2.8804483188044832</v>
      </c>
      <c r="AK16" s="4">
        <v>1.2181208053691275</v>
      </c>
      <c r="AM16" s="550">
        <v>45933</v>
      </c>
      <c r="AN16" s="551">
        <v>125.64</v>
      </c>
      <c r="AO16" s="551">
        <v>1097146</v>
      </c>
      <c r="AP16" s="551">
        <v>132.4461</v>
      </c>
      <c r="AQ16" s="551">
        <v>16640.528004</v>
      </c>
      <c r="AR16" s="551">
        <v>1.0385</v>
      </c>
    </row>
    <row r="17" spans="2:44" x14ac:dyDescent="0.25">
      <c r="B17" s="552">
        <v>45861</v>
      </c>
      <c r="C17" s="548">
        <v>11.9526</v>
      </c>
      <c r="D17" s="548">
        <v>0</v>
      </c>
      <c r="E17" s="548">
        <v>19.494700000000002</v>
      </c>
      <c r="F17" s="548">
        <v>15.1273</v>
      </c>
      <c r="G17" s="548">
        <v>7.4024000000000001</v>
      </c>
      <c r="H17" s="548">
        <v>4.3789999999999996</v>
      </c>
      <c r="I17" s="552">
        <v>45861</v>
      </c>
      <c r="J17" s="548">
        <v>18.987200000000001</v>
      </c>
      <c r="K17" s="548">
        <v>39.466500000000003</v>
      </c>
      <c r="L17" s="548">
        <v>23.683399999999999</v>
      </c>
      <c r="M17" s="548">
        <v>24.0197</v>
      </c>
      <c r="N17" s="548">
        <v>12.074400000000001</v>
      </c>
      <c r="O17" s="548">
        <v>14.8049</v>
      </c>
      <c r="P17" s="548"/>
      <c r="Q17" s="552">
        <v>45861</v>
      </c>
      <c r="R17" s="4">
        <v>113.06</v>
      </c>
      <c r="S17" s="4">
        <v>21937.57</v>
      </c>
      <c r="T17" s="4">
        <v>5267.2969999999996</v>
      </c>
      <c r="U17" s="4">
        <v>1.6712490761271248</v>
      </c>
      <c r="V17" s="4">
        <v>1.9492940801182856</v>
      </c>
      <c r="W17" s="4">
        <v>2.2192426603119655</v>
      </c>
      <c r="Y17" s="548">
        <v>113.06</v>
      </c>
      <c r="Z17" s="4">
        <v>331.5</v>
      </c>
      <c r="AA17" s="4">
        <v>97.1</v>
      </c>
      <c r="AB17" s="4">
        <v>28020</v>
      </c>
      <c r="AC17" s="4">
        <v>12225</v>
      </c>
      <c r="AD17" s="4">
        <v>66400</v>
      </c>
      <c r="AF17" s="4">
        <v>1.6712490761271248</v>
      </c>
      <c r="AG17" s="4">
        <v>1.7103939323581767</v>
      </c>
      <c r="AH17" s="4">
        <v>2.4549959546925564</v>
      </c>
      <c r="AI17" s="4">
        <v>2.1625876959410961</v>
      </c>
      <c r="AJ17" s="4">
        <v>3.044831880448319</v>
      </c>
      <c r="AK17" s="4">
        <v>1.1140939597315436</v>
      </c>
      <c r="AM17" s="550">
        <v>45932</v>
      </c>
      <c r="AN17" s="551">
        <v>125.56</v>
      </c>
      <c r="AO17" s="551">
        <v>1873671</v>
      </c>
      <c r="AP17" s="551">
        <v>132.4461</v>
      </c>
      <c r="AQ17" s="551">
        <v>16629.932316000002</v>
      </c>
      <c r="AR17" s="551">
        <v>1.0379</v>
      </c>
    </row>
    <row r="18" spans="2:44" x14ac:dyDescent="0.25">
      <c r="B18" s="552">
        <v>45854</v>
      </c>
      <c r="C18" s="548">
        <v>11.742599999999999</v>
      </c>
      <c r="D18" s="548">
        <v>0</v>
      </c>
      <c r="E18" s="548">
        <v>20.16</v>
      </c>
      <c r="F18" s="548">
        <v>15.1273</v>
      </c>
      <c r="G18" s="548">
        <v>7.2870999999999997</v>
      </c>
      <c r="H18" s="548">
        <v>4.2401999999999997</v>
      </c>
      <c r="I18" s="552">
        <v>45854</v>
      </c>
      <c r="J18" s="548">
        <v>18.6539</v>
      </c>
      <c r="K18" s="548">
        <v>38.199800000000003</v>
      </c>
      <c r="L18" s="548">
        <v>24.481000000000002</v>
      </c>
      <c r="M18" s="548">
        <v>23.908200000000001</v>
      </c>
      <c r="N18" s="548">
        <v>11.9114</v>
      </c>
      <c r="O18" s="548">
        <v>14.4259</v>
      </c>
      <c r="P18" s="548"/>
      <c r="Q18" s="552">
        <v>45854</v>
      </c>
      <c r="R18" s="4">
        <v>110.93</v>
      </c>
      <c r="S18" s="4">
        <v>21797.87</v>
      </c>
      <c r="T18" s="4">
        <v>5136.6610000000001</v>
      </c>
      <c r="U18" s="4">
        <v>1.6397634885439762</v>
      </c>
      <c r="V18" s="4">
        <v>1.9368808373118795</v>
      </c>
      <c r="W18" s="4">
        <v>2.1642024785693161</v>
      </c>
      <c r="Y18" s="548">
        <v>110.93</v>
      </c>
      <c r="Z18" s="4">
        <v>320.86</v>
      </c>
      <c r="AA18" s="4">
        <v>100.37</v>
      </c>
      <c r="AB18" s="4">
        <v>27890</v>
      </c>
      <c r="AC18" s="4">
        <v>12060</v>
      </c>
      <c r="AD18" s="4">
        <v>64700</v>
      </c>
      <c r="AF18" s="4">
        <v>1.6397634885439762</v>
      </c>
      <c r="AG18" s="4">
        <v>1.6554962206227588</v>
      </c>
      <c r="AH18" s="4">
        <v>2.5376719255663431</v>
      </c>
      <c r="AI18" s="4">
        <v>2.1525542769378005</v>
      </c>
      <c r="AJ18" s="4">
        <v>3.0037359900373599</v>
      </c>
      <c r="AK18" s="4">
        <v>1.0855704697986577</v>
      </c>
      <c r="AM18" s="550">
        <v>45931</v>
      </c>
      <c r="AN18" s="551">
        <v>123.13</v>
      </c>
      <c r="AO18" s="551">
        <v>833020</v>
      </c>
      <c r="AP18" s="551">
        <v>132.4461</v>
      </c>
      <c r="AQ18" s="551">
        <v>16308.088292999999</v>
      </c>
      <c r="AR18" s="551">
        <v>1.0178</v>
      </c>
    </row>
    <row r="19" spans="2:44" x14ac:dyDescent="0.25">
      <c r="B19" s="552">
        <v>45847</v>
      </c>
      <c r="C19" s="548">
        <v>11.524699999999999</v>
      </c>
      <c r="D19" s="548">
        <v>0</v>
      </c>
      <c r="E19" s="548">
        <v>20.046099999999999</v>
      </c>
      <c r="F19" s="548">
        <v>15.1273</v>
      </c>
      <c r="G19" s="548">
        <v>7.3570000000000002</v>
      </c>
      <c r="H19" s="548">
        <v>3.8889</v>
      </c>
      <c r="I19" s="552">
        <v>45847</v>
      </c>
      <c r="J19" s="548">
        <v>18.308</v>
      </c>
      <c r="K19" s="548">
        <v>39.424900000000001</v>
      </c>
      <c r="L19" s="548">
        <v>24.3444</v>
      </c>
      <c r="M19" s="548">
        <v>23.295300000000001</v>
      </c>
      <c r="N19" s="548">
        <v>12.010199999999999</v>
      </c>
      <c r="O19" s="548">
        <v>13.4671</v>
      </c>
      <c r="P19" s="548"/>
      <c r="Q19" s="552">
        <v>45847</v>
      </c>
      <c r="R19" s="4">
        <v>109.09</v>
      </c>
      <c r="S19" s="4">
        <v>21491.75</v>
      </c>
      <c r="T19" s="4">
        <v>4832.7849999999999</v>
      </c>
      <c r="U19" s="4">
        <v>1.6125646711012565</v>
      </c>
      <c r="V19" s="4">
        <v>1.9096801079783297</v>
      </c>
      <c r="W19" s="4">
        <v>2.0361719948800614</v>
      </c>
      <c r="Y19" s="548">
        <v>109.09</v>
      </c>
      <c r="Z19" s="4">
        <v>331.15</v>
      </c>
      <c r="AA19" s="4">
        <v>99.81</v>
      </c>
      <c r="AB19" s="4">
        <v>27175</v>
      </c>
      <c r="AC19" s="4">
        <v>12160</v>
      </c>
      <c r="AD19" s="4">
        <v>60400</v>
      </c>
      <c r="AF19" s="4">
        <v>1.6125646711012565</v>
      </c>
      <c r="AG19" s="4">
        <v>1.7085880865774061</v>
      </c>
      <c r="AH19" s="4">
        <v>2.5235133495145634</v>
      </c>
      <c r="AI19" s="4">
        <v>2.0973704724196747</v>
      </c>
      <c r="AJ19" s="4">
        <v>3.028642590286426</v>
      </c>
      <c r="AK19" s="4">
        <v>1.0134228187919463</v>
      </c>
      <c r="AM19" s="550">
        <v>45930</v>
      </c>
      <c r="AN19" s="551">
        <v>122.98</v>
      </c>
      <c r="AO19" s="551">
        <v>816398</v>
      </c>
      <c r="AP19" s="551">
        <v>132.4461</v>
      </c>
      <c r="AQ19" s="551">
        <v>16288.221378</v>
      </c>
      <c r="AR19" s="551">
        <v>1.0165999999999999</v>
      </c>
    </row>
    <row r="20" spans="2:44" x14ac:dyDescent="0.25">
      <c r="B20" s="552">
        <v>45840</v>
      </c>
      <c r="C20" s="548">
        <v>10.906499999999999</v>
      </c>
      <c r="D20" s="548">
        <v>0</v>
      </c>
      <c r="E20" s="548">
        <v>19.846699999999998</v>
      </c>
      <c r="F20" s="548">
        <v>15.1273</v>
      </c>
      <c r="G20" s="548">
        <v>6.7495000000000003</v>
      </c>
      <c r="H20" s="548">
        <v>3.9216000000000002</v>
      </c>
      <c r="I20" s="552">
        <v>45840</v>
      </c>
      <c r="J20" s="548">
        <v>17.326899999999998</v>
      </c>
      <c r="K20" s="548">
        <v>38.548900000000003</v>
      </c>
      <c r="L20" s="548">
        <v>24.105399999999999</v>
      </c>
      <c r="M20" s="548">
        <v>22.7895</v>
      </c>
      <c r="N20" s="548">
        <v>11.1509</v>
      </c>
      <c r="O20" s="548">
        <v>13.5563</v>
      </c>
      <c r="P20" s="548"/>
      <c r="Q20" s="552">
        <v>45840</v>
      </c>
      <c r="R20" s="4">
        <v>108.93</v>
      </c>
      <c r="S20" s="4">
        <v>21447.05</v>
      </c>
      <c r="T20" s="4">
        <v>4897.7110000000002</v>
      </c>
      <c r="U20" s="4">
        <v>1.6101995565410199</v>
      </c>
      <c r="V20" s="4">
        <v>1.9057082257059863</v>
      </c>
      <c r="W20" s="4">
        <v>2.0635269264442804</v>
      </c>
      <c r="Y20" s="548">
        <v>108.93</v>
      </c>
      <c r="Z20" s="4">
        <v>323.79300000000001</v>
      </c>
      <c r="AA20" s="4">
        <v>98.83</v>
      </c>
      <c r="AB20" s="4">
        <v>26585</v>
      </c>
      <c r="AC20" s="4">
        <v>11290</v>
      </c>
      <c r="AD20" s="4">
        <v>60800</v>
      </c>
      <c r="AF20" s="4">
        <v>1.6101995565410199</v>
      </c>
      <c r="AG20" s="4">
        <v>1.6706292082656142</v>
      </c>
      <c r="AH20" s="4">
        <v>2.4987358414239482</v>
      </c>
      <c r="AI20" s="4">
        <v>2.0518341861739486</v>
      </c>
      <c r="AJ20" s="4">
        <v>2.8119551681195518</v>
      </c>
      <c r="AK20" s="4">
        <v>1.0201342281879195</v>
      </c>
      <c r="AM20" s="550">
        <v>45929</v>
      </c>
      <c r="AN20" s="551">
        <v>122.98</v>
      </c>
      <c r="AO20" s="551">
        <v>816398</v>
      </c>
      <c r="AP20" s="551">
        <v>132.4461</v>
      </c>
      <c r="AQ20" s="551">
        <v>16288.221378</v>
      </c>
      <c r="AR20" s="551">
        <v>1.0165999999999999</v>
      </c>
    </row>
    <row r="21" spans="2:44" x14ac:dyDescent="0.25">
      <c r="B21" s="552">
        <v>45833</v>
      </c>
      <c r="C21" s="548">
        <v>9.7280999999999995</v>
      </c>
      <c r="D21" s="548">
        <v>0</v>
      </c>
      <c r="E21" s="548">
        <v>21.519200000000001</v>
      </c>
      <c r="F21" s="548">
        <v>15.1273</v>
      </c>
      <c r="G21" s="548">
        <v>6.4181999999999997</v>
      </c>
      <c r="H21" s="548">
        <v>3.633</v>
      </c>
      <c r="I21" s="552">
        <v>45833</v>
      </c>
      <c r="J21" s="548">
        <v>17.132899999999999</v>
      </c>
      <c r="K21" s="548">
        <v>38.719299999999997</v>
      </c>
      <c r="L21" s="548">
        <v>26.871200000000002</v>
      </c>
      <c r="M21" s="548">
        <v>21.452100000000002</v>
      </c>
      <c r="N21" s="548">
        <v>11.0495</v>
      </c>
      <c r="O21" s="548">
        <v>11.863799999999999</v>
      </c>
      <c r="P21" s="548"/>
      <c r="Q21" s="552">
        <v>45833</v>
      </c>
      <c r="R21" s="4">
        <v>108.93</v>
      </c>
      <c r="S21" s="4">
        <v>21447.05</v>
      </c>
      <c r="T21" s="4">
        <v>4897.7110000000002</v>
      </c>
      <c r="U21" s="4">
        <v>1.6101995565410199</v>
      </c>
      <c r="V21" s="4">
        <v>1.9057082257059863</v>
      </c>
      <c r="W21" s="4">
        <v>2.0635269264442804</v>
      </c>
      <c r="Y21" s="548">
        <v>108.93</v>
      </c>
      <c r="Z21" s="4">
        <v>327.096</v>
      </c>
      <c r="AA21" s="4">
        <v>96.02</v>
      </c>
      <c r="AB21" s="4">
        <v>25370</v>
      </c>
      <c r="AC21" s="4">
        <v>11310</v>
      </c>
      <c r="AD21" s="4">
        <v>61300</v>
      </c>
      <c r="AF21" s="4">
        <v>1.6101995565410199</v>
      </c>
      <c r="AG21" s="4">
        <v>1.6876712328767123</v>
      </c>
      <c r="AH21" s="4">
        <v>2.4276901294498381</v>
      </c>
      <c r="AI21" s="4">
        <v>1.9580603085662243</v>
      </c>
      <c r="AJ21" s="4">
        <v>2.816936488169365</v>
      </c>
      <c r="AK21" s="4">
        <v>1.0285234899328859</v>
      </c>
      <c r="AM21" s="550">
        <v>45928</v>
      </c>
      <c r="AN21" s="551">
        <v>122.98</v>
      </c>
      <c r="AO21" s="551">
        <v>816398</v>
      </c>
      <c r="AP21" s="551">
        <v>132.4461</v>
      </c>
      <c r="AQ21" s="551">
        <v>16288.221378</v>
      </c>
      <c r="AR21" s="551">
        <v>1.0165999999999999</v>
      </c>
    </row>
    <row r="22" spans="2:44" x14ac:dyDescent="0.25">
      <c r="B22" s="552">
        <v>45826</v>
      </c>
      <c r="C22" s="548">
        <v>9.3971</v>
      </c>
      <c r="D22" s="548">
        <v>0</v>
      </c>
      <c r="E22" s="548">
        <v>20.665299999999998</v>
      </c>
      <c r="F22" s="548">
        <v>14.7331</v>
      </c>
      <c r="G22" s="548">
        <v>6.2609000000000004</v>
      </c>
      <c r="H22" s="548">
        <v>3.5177</v>
      </c>
      <c r="I22" s="552">
        <v>45826</v>
      </c>
      <c r="J22" s="548">
        <v>16.567299999999999</v>
      </c>
      <c r="K22" s="548">
        <v>36.474600000000002</v>
      </c>
      <c r="L22" s="548">
        <v>25.813400000000001</v>
      </c>
      <c r="M22" s="548">
        <v>20.915199999999999</v>
      </c>
      <c r="N22" s="548">
        <v>10.8248</v>
      </c>
      <c r="O22" s="548">
        <v>11.573499999999999</v>
      </c>
      <c r="P22" s="548"/>
      <c r="Q22" s="552">
        <v>45826</v>
      </c>
      <c r="R22" s="4">
        <v>106.33</v>
      </c>
      <c r="S22" s="4">
        <v>20868.150000000001</v>
      </c>
      <c r="T22" s="4">
        <v>4780.9309999999996</v>
      </c>
      <c r="U22" s="4">
        <v>1.5717664449371764</v>
      </c>
      <c r="V22" s="4">
        <v>1.8542692403042089</v>
      </c>
      <c r="W22" s="4">
        <v>2.0143246206181171</v>
      </c>
      <c r="Y22" s="548">
        <v>106.33</v>
      </c>
      <c r="Z22" s="4">
        <v>308.13299999999998</v>
      </c>
      <c r="AA22" s="4">
        <v>92.24</v>
      </c>
      <c r="AB22" s="4">
        <v>24735</v>
      </c>
      <c r="AC22" s="4">
        <v>11080</v>
      </c>
      <c r="AD22" s="4">
        <v>59800</v>
      </c>
      <c r="AF22" s="4">
        <v>1.5717664449371764</v>
      </c>
      <c r="AG22" s="4">
        <v>1.5898305084745763</v>
      </c>
      <c r="AH22" s="4">
        <v>2.3321197411003234</v>
      </c>
      <c r="AI22" s="4">
        <v>1.9090509157424342</v>
      </c>
      <c r="AJ22" s="4">
        <v>2.759651307596513</v>
      </c>
      <c r="AK22" s="4">
        <v>1.0033557046979866</v>
      </c>
      <c r="AM22" s="550">
        <v>45927</v>
      </c>
      <c r="AN22" s="551">
        <v>121.58</v>
      </c>
      <c r="AO22" s="551">
        <v>647302</v>
      </c>
      <c r="AP22" s="551">
        <v>132.4461</v>
      </c>
      <c r="AQ22" s="551">
        <v>16102.796838</v>
      </c>
      <c r="AR22" s="551">
        <v>1.0049999999999999</v>
      </c>
    </row>
    <row r="23" spans="2:44" x14ac:dyDescent="0.25">
      <c r="B23" s="552">
        <v>45819</v>
      </c>
      <c r="C23" s="548">
        <v>9.6510999999999996</v>
      </c>
      <c r="D23" s="548">
        <v>0</v>
      </c>
      <c r="E23" s="548">
        <v>20.373899999999999</v>
      </c>
      <c r="F23" s="548">
        <v>14.8231</v>
      </c>
      <c r="G23" s="548">
        <v>6.1719999999999997</v>
      </c>
      <c r="H23" s="548">
        <v>3.5253999999999999</v>
      </c>
      <c r="I23" s="552">
        <v>45819</v>
      </c>
      <c r="J23" s="548">
        <v>17.001300000000001</v>
      </c>
      <c r="K23" s="548">
        <v>36.542099999999998</v>
      </c>
      <c r="L23" s="548">
        <v>25.452300000000001</v>
      </c>
      <c r="M23" s="548">
        <v>21.037800000000001</v>
      </c>
      <c r="N23" s="548">
        <v>10.697800000000001</v>
      </c>
      <c r="O23" s="548">
        <v>11.5928</v>
      </c>
      <c r="P23" s="548"/>
      <c r="Q23" s="552">
        <v>45819</v>
      </c>
      <c r="R23" s="4">
        <v>102.18</v>
      </c>
      <c r="S23" s="4">
        <v>19967.939999999999</v>
      </c>
      <c r="T23" s="4">
        <v>4356.1760000000004</v>
      </c>
      <c r="U23" s="4">
        <v>1.5104212860310422</v>
      </c>
      <c r="V23" s="4">
        <v>1.7742797964476975</v>
      </c>
      <c r="W23" s="4">
        <v>1.8353648208990567</v>
      </c>
      <c r="Y23" s="548">
        <v>102.18</v>
      </c>
      <c r="Z23" s="4">
        <v>308.70400000000001</v>
      </c>
      <c r="AA23" s="4">
        <v>90.95</v>
      </c>
      <c r="AB23" s="4">
        <v>24880</v>
      </c>
      <c r="AC23" s="4">
        <v>10950</v>
      </c>
      <c r="AD23" s="4">
        <v>59900</v>
      </c>
      <c r="AF23" s="4">
        <v>1.5104212860310422</v>
      </c>
      <c r="AG23" s="4">
        <v>1.5927766168769188</v>
      </c>
      <c r="AH23" s="4">
        <v>2.2995044498381878</v>
      </c>
      <c r="AI23" s="4">
        <v>1.9202420369384179</v>
      </c>
      <c r="AJ23" s="4">
        <v>2.7272727272727271</v>
      </c>
      <c r="AK23" s="4">
        <v>1.0050335570469799</v>
      </c>
      <c r="AM23" s="550">
        <v>45926</v>
      </c>
      <c r="AN23" s="551">
        <v>120.09</v>
      </c>
      <c r="AO23" s="551">
        <v>529751</v>
      </c>
      <c r="AP23" s="551">
        <v>132.4461</v>
      </c>
      <c r="AQ23" s="551">
        <v>15905.452149000001</v>
      </c>
      <c r="AR23" s="551">
        <v>0.99270000000000003</v>
      </c>
    </row>
    <row r="24" spans="2:44" x14ac:dyDescent="0.25">
      <c r="B24" s="552">
        <v>45812</v>
      </c>
      <c r="C24" s="548">
        <v>8.5927000000000007</v>
      </c>
      <c r="D24" s="548">
        <v>0</v>
      </c>
      <c r="E24" s="548">
        <v>18.978000000000002</v>
      </c>
      <c r="F24" s="548">
        <v>13.3453</v>
      </c>
      <c r="G24" s="548">
        <v>5.7205000000000004</v>
      </c>
      <c r="H24" s="548">
        <v>3.3639999999999999</v>
      </c>
      <c r="I24" s="552">
        <v>45812</v>
      </c>
      <c r="J24" s="548">
        <v>15.1927</v>
      </c>
      <c r="K24" s="548">
        <v>37.294499999999999</v>
      </c>
      <c r="L24" s="548">
        <v>23.722899999999999</v>
      </c>
      <c r="M24" s="548">
        <v>19.025300000000001</v>
      </c>
      <c r="N24" s="548">
        <v>10.053000000000001</v>
      </c>
      <c r="O24" s="548">
        <v>11.186400000000001</v>
      </c>
      <c r="P24" s="548"/>
      <c r="Q24" s="552">
        <v>45812</v>
      </c>
      <c r="R24" s="4">
        <v>97.44</v>
      </c>
      <c r="S24" s="4">
        <v>19427.29</v>
      </c>
      <c r="T24" s="4">
        <v>4235.616</v>
      </c>
      <c r="U24" s="4">
        <v>1.4403547671840353</v>
      </c>
      <c r="V24" s="4">
        <v>1.7262395693662138</v>
      </c>
      <c r="W24" s="4">
        <v>1.7845699074686556</v>
      </c>
      <c r="Y24" s="548">
        <v>97.44</v>
      </c>
      <c r="Z24" s="4">
        <v>315.05900000000003</v>
      </c>
      <c r="AA24" s="4">
        <v>84.77</v>
      </c>
      <c r="AB24" s="4">
        <v>22500</v>
      </c>
      <c r="AC24" s="4">
        <v>10290</v>
      </c>
      <c r="AD24" s="4">
        <v>57800</v>
      </c>
      <c r="AF24" s="4">
        <v>1.4403547671840353</v>
      </c>
      <c r="AG24" s="4">
        <v>1.6255656166963344</v>
      </c>
      <c r="AH24" s="4">
        <v>2.1432544498381878</v>
      </c>
      <c r="AI24" s="4">
        <v>1.7365532890319293</v>
      </c>
      <c r="AJ24" s="4">
        <v>2.5628891656288917</v>
      </c>
      <c r="AK24" s="4">
        <v>0.96979865771812079</v>
      </c>
      <c r="AM24" s="550">
        <v>45925</v>
      </c>
      <c r="AN24" s="551">
        <v>120.77</v>
      </c>
      <c r="AO24" s="551">
        <v>503084</v>
      </c>
      <c r="AP24" s="551">
        <v>132.4461</v>
      </c>
      <c r="AQ24" s="551">
        <v>15995.515497</v>
      </c>
      <c r="AR24" s="551">
        <v>0.99829999999999997</v>
      </c>
    </row>
    <row r="25" spans="2:44" x14ac:dyDescent="0.25">
      <c r="B25" s="552">
        <v>45805</v>
      </c>
      <c r="C25" s="548">
        <v>8.4426000000000005</v>
      </c>
      <c r="D25" s="548">
        <v>0</v>
      </c>
      <c r="E25" s="548">
        <v>18.803999999999998</v>
      </c>
      <c r="F25" s="548">
        <v>13.7582</v>
      </c>
      <c r="G25" s="548">
        <v>5.8777999999999997</v>
      </c>
      <c r="H25" s="548">
        <v>3.2179000000000002</v>
      </c>
      <c r="I25" s="552">
        <v>45805</v>
      </c>
      <c r="J25" s="548">
        <v>14.936199999999999</v>
      </c>
      <c r="K25" s="548">
        <v>36.593899999999998</v>
      </c>
      <c r="L25" s="548">
        <v>23.507400000000001</v>
      </c>
      <c r="M25" s="548">
        <v>19.587599999999998</v>
      </c>
      <c r="N25" s="548">
        <v>10.277699999999999</v>
      </c>
      <c r="O25" s="548">
        <v>10.8187</v>
      </c>
      <c r="P25" s="548"/>
      <c r="Q25" s="552">
        <v>45805</v>
      </c>
      <c r="R25" s="4">
        <v>92.25</v>
      </c>
      <c r="S25" s="4">
        <v>17808.3</v>
      </c>
      <c r="T25" s="4">
        <v>3751.9140000000002</v>
      </c>
      <c r="U25" s="4">
        <v>1.3636363636363635</v>
      </c>
      <c r="V25" s="4">
        <v>1.5823819031447177</v>
      </c>
      <c r="W25" s="4">
        <v>1.580774276943508</v>
      </c>
      <c r="Y25" s="548">
        <v>92.25</v>
      </c>
      <c r="Z25" s="4">
        <v>309.14100000000002</v>
      </c>
      <c r="AA25" s="4">
        <v>84</v>
      </c>
      <c r="AB25" s="4">
        <v>23165</v>
      </c>
      <c r="AC25" s="4">
        <v>10520</v>
      </c>
      <c r="AD25" s="4">
        <v>55900</v>
      </c>
      <c r="AF25" s="4">
        <v>1.3636363636363635</v>
      </c>
      <c r="AG25" s="4">
        <v>1.5950313443231949</v>
      </c>
      <c r="AH25" s="4">
        <v>2.1237864077669903</v>
      </c>
      <c r="AI25" s="4">
        <v>1.7878780862410952</v>
      </c>
      <c r="AJ25" s="4">
        <v>2.6201743462017433</v>
      </c>
      <c r="AK25" s="4">
        <v>0.93791946308724827</v>
      </c>
      <c r="AM25" s="550">
        <v>45924</v>
      </c>
      <c r="AN25" s="551">
        <v>120.28</v>
      </c>
      <c r="AO25" s="551">
        <v>472356</v>
      </c>
      <c r="AP25" s="551">
        <v>132.4461</v>
      </c>
      <c r="AQ25" s="551">
        <v>15930.616908</v>
      </c>
      <c r="AR25" s="551">
        <v>0.99419999999999997</v>
      </c>
    </row>
    <row r="26" spans="2:44" x14ac:dyDescent="0.25">
      <c r="B26" s="552">
        <v>45798</v>
      </c>
      <c r="C26" s="548">
        <v>8.5657999999999994</v>
      </c>
      <c r="D26" s="548">
        <v>0</v>
      </c>
      <c r="E26" s="548">
        <v>18.5307</v>
      </c>
      <c r="F26" s="548">
        <v>13.8079</v>
      </c>
      <c r="G26" s="548">
        <v>5.8710000000000004</v>
      </c>
      <c r="H26" s="548">
        <v>3.2025000000000001</v>
      </c>
      <c r="I26" s="552">
        <v>45798</v>
      </c>
      <c r="J26" s="548">
        <v>15.146599999999999</v>
      </c>
      <c r="K26" s="548">
        <v>37.440899999999999</v>
      </c>
      <c r="L26" s="548">
        <v>23.168800000000001</v>
      </c>
      <c r="M26" s="548">
        <v>19.6553</v>
      </c>
      <c r="N26" s="548">
        <v>10.268000000000001</v>
      </c>
      <c r="O26" s="548">
        <v>10.78</v>
      </c>
      <c r="P26" s="548"/>
      <c r="Q26" s="552">
        <v>45798</v>
      </c>
      <c r="R26" s="4">
        <v>94.31</v>
      </c>
      <c r="S26" s="4">
        <v>18796.02</v>
      </c>
      <c r="T26" s="4">
        <v>4003.223</v>
      </c>
      <c r="U26" s="4">
        <v>1.3940872135994087</v>
      </c>
      <c r="V26" s="4">
        <v>1.6701471728995008</v>
      </c>
      <c r="W26" s="4">
        <v>1.6866569818147807</v>
      </c>
      <c r="Y26" s="548">
        <v>94.31</v>
      </c>
      <c r="Z26" s="4">
        <v>316.29599999999999</v>
      </c>
      <c r="AA26" s="4">
        <v>82.79</v>
      </c>
      <c r="AB26" s="4">
        <v>23245</v>
      </c>
      <c r="AC26" s="4">
        <v>10510</v>
      </c>
      <c r="AD26" s="4">
        <v>55700</v>
      </c>
      <c r="AF26" s="4">
        <v>1.3940872135994087</v>
      </c>
      <c r="AG26" s="4">
        <v>1.6319479916415138</v>
      </c>
      <c r="AH26" s="4">
        <v>2.0931937702265375</v>
      </c>
      <c r="AI26" s="4">
        <v>1.7940524979354311</v>
      </c>
      <c r="AJ26" s="4">
        <v>2.6176836861768367</v>
      </c>
      <c r="AK26" s="4">
        <v>0.93456375838926176</v>
      </c>
      <c r="AM26" s="550">
        <v>45923</v>
      </c>
      <c r="AN26" s="551">
        <v>119.57</v>
      </c>
      <c r="AO26" s="551">
        <v>519447</v>
      </c>
      <c r="AP26" s="551">
        <v>132.4461</v>
      </c>
      <c r="AQ26" s="551">
        <v>15836.580177</v>
      </c>
      <c r="AR26" s="551">
        <v>0.98839999999999995</v>
      </c>
    </row>
    <row r="27" spans="2:44" x14ac:dyDescent="0.25">
      <c r="B27" s="552">
        <v>45791</v>
      </c>
      <c r="C27" s="548">
        <v>9.3817000000000004</v>
      </c>
      <c r="D27" s="548">
        <v>0</v>
      </c>
      <c r="E27" s="548">
        <v>19.023099999999999</v>
      </c>
      <c r="F27" s="548">
        <v>14.416399999999999</v>
      </c>
      <c r="G27" s="548">
        <v>6.5277000000000003</v>
      </c>
      <c r="H27" s="548">
        <v>3.3332000000000002</v>
      </c>
      <c r="I27" s="552">
        <v>45791</v>
      </c>
      <c r="J27" s="548">
        <v>16.540900000000001</v>
      </c>
      <c r="K27" s="548">
        <v>38.3125</v>
      </c>
      <c r="L27" s="548">
        <v>23.7788</v>
      </c>
      <c r="M27" s="548">
        <v>20.483899999999998</v>
      </c>
      <c r="N27" s="548">
        <v>11.2058</v>
      </c>
      <c r="O27" s="548">
        <v>11.109</v>
      </c>
      <c r="P27" s="548"/>
      <c r="Q27" s="552">
        <v>45791</v>
      </c>
      <c r="R27" s="4">
        <v>87.34</v>
      </c>
      <c r="S27" s="4">
        <v>17430.68</v>
      </c>
      <c r="T27" s="4">
        <v>3694.9459999999999</v>
      </c>
      <c r="U27" s="4">
        <v>1.2910569105691057</v>
      </c>
      <c r="V27" s="4">
        <v>1.5488279393039519</v>
      </c>
      <c r="W27" s="4">
        <v>1.5567722478434491</v>
      </c>
      <c r="Y27" s="548">
        <v>87.34</v>
      </c>
      <c r="Z27" s="4">
        <v>323.65899999999999</v>
      </c>
      <c r="AA27" s="4">
        <v>84.97</v>
      </c>
      <c r="AB27" s="4">
        <v>24225</v>
      </c>
      <c r="AC27" s="4">
        <v>11470</v>
      </c>
      <c r="AD27" s="4">
        <v>57400</v>
      </c>
      <c r="AF27" s="4">
        <v>1.2910569105691057</v>
      </c>
      <c r="AG27" s="4">
        <v>1.6699378273095478</v>
      </c>
      <c r="AH27" s="4">
        <v>2.1483110841423949</v>
      </c>
      <c r="AI27" s="4">
        <v>1.8696890411910438</v>
      </c>
      <c r="AJ27" s="4">
        <v>2.8567870485678704</v>
      </c>
      <c r="AK27" s="4">
        <v>0.96308724832214765</v>
      </c>
      <c r="AM27" s="550">
        <v>45922</v>
      </c>
      <c r="AN27" s="551">
        <v>119.57</v>
      </c>
      <c r="AO27" s="551">
        <v>519447</v>
      </c>
      <c r="AP27" s="551">
        <v>132.4461</v>
      </c>
      <c r="AQ27" s="551">
        <v>15836.580177</v>
      </c>
      <c r="AR27" s="551">
        <v>0.98839999999999995</v>
      </c>
    </row>
    <row r="28" spans="2:44" x14ac:dyDescent="0.25">
      <c r="B28" s="552">
        <v>45784</v>
      </c>
      <c r="C28" s="548">
        <v>7.4112</v>
      </c>
      <c r="D28" s="548">
        <v>0</v>
      </c>
      <c r="E28" s="548">
        <v>16.784600000000001</v>
      </c>
      <c r="F28" s="548">
        <v>12.975899999999999</v>
      </c>
      <c r="G28" s="548">
        <v>5.3333000000000004</v>
      </c>
      <c r="H28" s="548">
        <v>3.1179999999999999</v>
      </c>
      <c r="I28" s="552">
        <v>45784</v>
      </c>
      <c r="J28" s="548">
        <v>13.1736</v>
      </c>
      <c r="K28" s="548">
        <v>39.308599999999998</v>
      </c>
      <c r="L28" s="548">
        <v>21.005500000000001</v>
      </c>
      <c r="M28" s="548">
        <v>18.522200000000002</v>
      </c>
      <c r="N28" s="548">
        <v>9.5000999999999998</v>
      </c>
      <c r="O28" s="548">
        <v>10.5671</v>
      </c>
      <c r="P28" s="548"/>
      <c r="Q28" s="552">
        <v>45784</v>
      </c>
      <c r="R28" s="4">
        <v>92.73</v>
      </c>
      <c r="S28" s="4">
        <v>19278.45</v>
      </c>
      <c r="T28" s="4">
        <v>4270.4250000000002</v>
      </c>
      <c r="U28" s="4">
        <v>1.3707317073170731</v>
      </c>
      <c r="V28" s="4">
        <v>1.7130141788200044</v>
      </c>
      <c r="W28" s="4">
        <v>1.7992358011448237</v>
      </c>
      <c r="Y28" s="548">
        <v>92.73</v>
      </c>
      <c r="Z28" s="4">
        <v>332.07400000000001</v>
      </c>
      <c r="AA28" s="4">
        <v>75.06</v>
      </c>
      <c r="AB28" s="4">
        <v>21905</v>
      </c>
      <c r="AC28" s="4">
        <v>9724</v>
      </c>
      <c r="AD28" s="4">
        <v>54600</v>
      </c>
      <c r="AF28" s="4">
        <v>1.3707317073170731</v>
      </c>
      <c r="AG28" s="4">
        <v>1.7133555194386401</v>
      </c>
      <c r="AH28" s="4">
        <v>1.8977548543689322</v>
      </c>
      <c r="AI28" s="4">
        <v>1.6906311020553071</v>
      </c>
      <c r="AJ28" s="4">
        <v>2.4219178082191779</v>
      </c>
      <c r="AK28" s="4">
        <v>0.91610738255033553</v>
      </c>
      <c r="AM28" s="550">
        <v>45921</v>
      </c>
      <c r="AN28" s="551">
        <v>119.57</v>
      </c>
      <c r="AO28" s="551">
        <v>519447</v>
      </c>
      <c r="AP28" s="551">
        <v>132.4461</v>
      </c>
      <c r="AQ28" s="551">
        <v>15836.580177</v>
      </c>
      <c r="AR28" s="551">
        <v>0.98839999999999995</v>
      </c>
    </row>
    <row r="29" spans="2:44" x14ac:dyDescent="0.25">
      <c r="B29" s="552">
        <v>45777</v>
      </c>
      <c r="C29" s="548">
        <v>7.1957000000000004</v>
      </c>
      <c r="D29" s="548">
        <v>0</v>
      </c>
      <c r="E29" s="548">
        <v>16.018799999999999</v>
      </c>
      <c r="F29" s="548">
        <v>12.553699999999999</v>
      </c>
      <c r="G29" s="548">
        <v>5.1555</v>
      </c>
      <c r="H29" s="548">
        <v>3.1871</v>
      </c>
      <c r="I29" s="552">
        <v>45777</v>
      </c>
      <c r="J29" s="548">
        <v>12.805300000000001</v>
      </c>
      <c r="K29" s="548">
        <v>39.541800000000002</v>
      </c>
      <c r="L29" s="548">
        <v>20.056799999999999</v>
      </c>
      <c r="M29" s="548">
        <v>17.947199999999999</v>
      </c>
      <c r="N29" s="548">
        <v>9.2460000000000004</v>
      </c>
      <c r="O29" s="548">
        <v>10.741300000000001</v>
      </c>
      <c r="P29" s="548"/>
      <c r="Q29" s="552">
        <v>45777</v>
      </c>
      <c r="R29" s="4">
        <v>95.82</v>
      </c>
      <c r="S29" s="4">
        <v>20180.45</v>
      </c>
      <c r="T29" s="4">
        <v>4694.2219999999998</v>
      </c>
      <c r="U29" s="4">
        <v>1.4164079822616407</v>
      </c>
      <c r="V29" s="4">
        <v>1.7931626756802626</v>
      </c>
      <c r="W29" s="4">
        <v>1.9777919717409054</v>
      </c>
      <c r="Y29" s="548">
        <v>95.82</v>
      </c>
      <c r="Z29" s="4">
        <v>334.04399999999998</v>
      </c>
      <c r="AA29" s="4">
        <v>71.67</v>
      </c>
      <c r="AB29" s="4">
        <v>21225</v>
      </c>
      <c r="AC29" s="4">
        <v>9464</v>
      </c>
      <c r="AD29" s="4">
        <v>55500</v>
      </c>
      <c r="AF29" s="4">
        <v>1.4164079822616407</v>
      </c>
      <c r="AG29" s="4">
        <v>1.7235198514046899</v>
      </c>
      <c r="AH29" s="4">
        <v>1.8120449029126213</v>
      </c>
      <c r="AI29" s="4">
        <v>1.6381486026534533</v>
      </c>
      <c r="AJ29" s="4">
        <v>2.3571606475716065</v>
      </c>
      <c r="AK29" s="4">
        <v>0.93120805369127513</v>
      </c>
      <c r="AM29" s="550">
        <v>45920</v>
      </c>
      <c r="AN29" s="551">
        <v>120.12</v>
      </c>
      <c r="AO29" s="551">
        <v>606252</v>
      </c>
      <c r="AP29" s="551">
        <v>132.4461</v>
      </c>
      <c r="AQ29" s="551">
        <v>15909.425532000001</v>
      </c>
      <c r="AR29" s="551">
        <v>0.9929</v>
      </c>
    </row>
    <row r="30" spans="2:44" x14ac:dyDescent="0.25">
      <c r="B30" s="552">
        <v>45770</v>
      </c>
      <c r="C30" s="548">
        <v>7.2084000000000001</v>
      </c>
      <c r="D30" s="548">
        <v>0</v>
      </c>
      <c r="E30" s="548">
        <v>14.9565</v>
      </c>
      <c r="F30" s="548">
        <v>11.575699999999999</v>
      </c>
      <c r="G30" s="548">
        <v>4.8634000000000004</v>
      </c>
      <c r="H30" s="548">
        <v>3.2025000000000001</v>
      </c>
      <c r="I30" s="552">
        <v>45770</v>
      </c>
      <c r="J30" s="548">
        <v>12.9763</v>
      </c>
      <c r="K30" s="548">
        <v>39.965299999999999</v>
      </c>
      <c r="L30" s="548">
        <v>18.674399999999999</v>
      </c>
      <c r="M30" s="548">
        <v>16.615500000000001</v>
      </c>
      <c r="N30" s="548">
        <v>8.8289000000000009</v>
      </c>
      <c r="O30" s="548">
        <v>10.78</v>
      </c>
      <c r="P30" s="548"/>
      <c r="Q30" s="552">
        <v>45770</v>
      </c>
      <c r="R30" s="4">
        <v>95.59</v>
      </c>
      <c r="S30" s="4">
        <v>19812.240000000002</v>
      </c>
      <c r="T30" s="4">
        <v>4663.9709999999995</v>
      </c>
      <c r="U30" s="4">
        <v>1.4130081300813007</v>
      </c>
      <c r="V30" s="4">
        <v>1.7604448508145025</v>
      </c>
      <c r="W30" s="4">
        <v>1.9650464763346094</v>
      </c>
      <c r="Y30" s="548">
        <v>95.59</v>
      </c>
      <c r="Z30" s="4">
        <v>337.62200000000001</v>
      </c>
      <c r="AA30" s="4">
        <v>66.73</v>
      </c>
      <c r="AB30" s="4">
        <v>19650</v>
      </c>
      <c r="AC30" s="4">
        <v>9037</v>
      </c>
      <c r="AD30" s="4">
        <v>55700</v>
      </c>
      <c r="AF30" s="4">
        <v>1.4130081300813007</v>
      </c>
      <c r="AG30" s="4">
        <v>1.7419807548435364</v>
      </c>
      <c r="AH30" s="4">
        <v>1.6871460355987056</v>
      </c>
      <c r="AI30" s="4">
        <v>1.5165898724212183</v>
      </c>
      <c r="AJ30" s="4">
        <v>2.2508094645080945</v>
      </c>
      <c r="AK30" s="4">
        <v>0.93456375838926176</v>
      </c>
      <c r="AM30" s="550">
        <v>45919</v>
      </c>
      <c r="AN30" s="551">
        <v>122.02</v>
      </c>
      <c r="AO30" s="551">
        <v>830001</v>
      </c>
      <c r="AP30" s="551">
        <v>132.4461</v>
      </c>
      <c r="AQ30" s="551">
        <v>16161.073122</v>
      </c>
      <c r="AR30" s="551">
        <v>1.0085999999999999</v>
      </c>
    </row>
    <row r="31" spans="2:44" x14ac:dyDescent="0.25">
      <c r="B31" s="552">
        <v>45763</v>
      </c>
      <c r="C31" s="548">
        <v>7.2084000000000001</v>
      </c>
      <c r="D31" s="548">
        <v>0</v>
      </c>
      <c r="E31" s="548">
        <v>14.596</v>
      </c>
      <c r="F31" s="548">
        <v>11.6006</v>
      </c>
      <c r="G31" s="548">
        <v>4.8319000000000001</v>
      </c>
      <c r="H31" s="548">
        <v>3.1255999999999999</v>
      </c>
      <c r="I31" s="552">
        <v>45763</v>
      </c>
      <c r="J31" s="548">
        <v>12.9763</v>
      </c>
      <c r="K31" s="548">
        <v>41.0351</v>
      </c>
      <c r="L31" s="548">
        <v>18.229399999999998</v>
      </c>
      <c r="M31" s="548">
        <v>16.6493</v>
      </c>
      <c r="N31" s="548">
        <v>8.7838999999999992</v>
      </c>
      <c r="O31" s="548">
        <v>10.586399999999999</v>
      </c>
      <c r="P31" s="548"/>
      <c r="Q31" s="552">
        <v>45763</v>
      </c>
      <c r="R31" s="4">
        <v>96.01</v>
      </c>
      <c r="S31" s="4">
        <v>19430.95</v>
      </c>
      <c r="T31" s="4">
        <v>4405.09</v>
      </c>
      <c r="U31" s="4">
        <v>1.4192165558019216</v>
      </c>
      <c r="V31" s="4">
        <v>1.7265647838878417</v>
      </c>
      <c r="W31" s="4">
        <v>1.8559735003577049</v>
      </c>
      <c r="Y31" s="548">
        <v>96.01</v>
      </c>
      <c r="Z31" s="4">
        <v>346.65899999999999</v>
      </c>
      <c r="AA31" s="4">
        <v>65.14</v>
      </c>
      <c r="AB31" s="4">
        <v>19690</v>
      </c>
      <c r="AC31" s="4">
        <v>8991</v>
      </c>
      <c r="AD31" s="4">
        <v>54700</v>
      </c>
      <c r="AF31" s="4">
        <v>1.4192165558019216</v>
      </c>
      <c r="AG31" s="4">
        <v>1.7886076929030261</v>
      </c>
      <c r="AH31" s="4">
        <v>1.6469457928802589</v>
      </c>
      <c r="AI31" s="4">
        <v>1.5196770782683862</v>
      </c>
      <c r="AJ31" s="4">
        <v>2.2393524283935244</v>
      </c>
      <c r="AK31" s="4">
        <v>0.91778523489932884</v>
      </c>
      <c r="AM31" s="550">
        <v>45918</v>
      </c>
      <c r="AN31" s="551">
        <v>120.88</v>
      </c>
      <c r="AO31" s="551">
        <v>635594</v>
      </c>
      <c r="AP31" s="551">
        <v>132.4461</v>
      </c>
      <c r="AQ31" s="551">
        <v>16010.084568</v>
      </c>
      <c r="AR31" s="551">
        <v>0.99919999999999998</v>
      </c>
    </row>
    <row r="32" spans="2:44" x14ac:dyDescent="0.25">
      <c r="B32" s="552">
        <v>45756</v>
      </c>
      <c r="C32" s="548">
        <v>7.3643000000000001</v>
      </c>
      <c r="D32" s="548">
        <v>0</v>
      </c>
      <c r="E32" s="548">
        <v>15.949400000000001</v>
      </c>
      <c r="F32" s="548">
        <v>10.1911</v>
      </c>
      <c r="G32" s="548">
        <v>4.4508999999999999</v>
      </c>
      <c r="H32" s="548">
        <v>2.9950000000000001</v>
      </c>
      <c r="I32" s="552">
        <v>45756</v>
      </c>
      <c r="J32" s="548">
        <v>13.245900000000001</v>
      </c>
      <c r="K32" s="548">
        <v>40.334499999999998</v>
      </c>
      <c r="L32" s="548">
        <v>19.900099999999998</v>
      </c>
      <c r="M32" s="548">
        <v>14.729799999999999</v>
      </c>
      <c r="N32" s="548">
        <v>8.2398000000000007</v>
      </c>
      <c r="O32" s="548">
        <v>10.257400000000001</v>
      </c>
      <c r="P32" s="548"/>
      <c r="Q32" s="552">
        <v>45756</v>
      </c>
      <c r="R32" s="4">
        <v>97.17</v>
      </c>
      <c r="S32" s="4">
        <v>20425.580000000002</v>
      </c>
      <c r="T32" s="4">
        <v>4575.3720000000003</v>
      </c>
      <c r="U32" s="4">
        <v>1.4363636363636363</v>
      </c>
      <c r="V32" s="4">
        <v>1.8149440515509445</v>
      </c>
      <c r="W32" s="4">
        <v>1.927717523655279</v>
      </c>
      <c r="Y32" s="548">
        <v>97.17</v>
      </c>
      <c r="Z32" s="4">
        <v>340.74099999999999</v>
      </c>
      <c r="AA32" s="4">
        <v>71.11</v>
      </c>
      <c r="AB32" s="4">
        <v>17420</v>
      </c>
      <c r="AC32" s="4">
        <v>8434</v>
      </c>
      <c r="AD32" s="4">
        <v>53000</v>
      </c>
      <c r="AF32" s="4">
        <v>1.4363636363636363</v>
      </c>
      <c r="AG32" s="4">
        <v>1.7580734205298867</v>
      </c>
      <c r="AH32" s="4">
        <v>1.7978863268608414</v>
      </c>
      <c r="AI32" s="4">
        <v>1.3444781464416093</v>
      </c>
      <c r="AJ32" s="4">
        <v>2.1006226650062265</v>
      </c>
      <c r="AK32" s="4">
        <v>0.88926174496644295</v>
      </c>
      <c r="AM32" s="550">
        <v>45917</v>
      </c>
      <c r="AN32" s="551">
        <v>119.24</v>
      </c>
      <c r="AO32" s="551">
        <v>931636</v>
      </c>
      <c r="AP32" s="551">
        <v>132.4461</v>
      </c>
      <c r="AQ32" s="551">
        <v>15792.872964</v>
      </c>
      <c r="AR32" s="551">
        <v>0.98560000000000003</v>
      </c>
    </row>
    <row r="33" spans="2:44" x14ac:dyDescent="0.25">
      <c r="B33" s="552">
        <v>45749</v>
      </c>
      <c r="C33" s="548">
        <v>8.6007999999999996</v>
      </c>
      <c r="D33" s="548">
        <v>0</v>
      </c>
      <c r="E33" s="548">
        <v>16.554600000000001</v>
      </c>
      <c r="F33" s="548">
        <v>12.1904</v>
      </c>
      <c r="G33" s="548">
        <v>5.3860000000000001</v>
      </c>
      <c r="H33" s="548">
        <v>3.4407999999999999</v>
      </c>
      <c r="I33" s="552">
        <v>45749</v>
      </c>
      <c r="J33" s="548">
        <v>15.3834</v>
      </c>
      <c r="K33" s="548">
        <v>37.633800000000001</v>
      </c>
      <c r="L33" s="548">
        <v>20.647300000000001</v>
      </c>
      <c r="M33" s="548">
        <v>17.4526</v>
      </c>
      <c r="N33" s="548">
        <v>9.5753000000000004</v>
      </c>
      <c r="O33" s="548">
        <v>11.379899999999999</v>
      </c>
      <c r="P33" s="548"/>
      <c r="Q33" s="552">
        <v>45749</v>
      </c>
      <c r="R33" s="4">
        <v>95.69</v>
      </c>
      <c r="S33" s="4">
        <v>21352.080000000002</v>
      </c>
      <c r="T33" s="4">
        <v>5003.54</v>
      </c>
      <c r="U33" s="4">
        <v>1.4144863266814485</v>
      </c>
      <c r="V33" s="4">
        <v>1.8972695308647241</v>
      </c>
      <c r="W33" s="4">
        <v>2.1081153047905468</v>
      </c>
      <c r="Y33" s="548">
        <v>95.69</v>
      </c>
      <c r="Z33" s="4">
        <v>317.92599999999999</v>
      </c>
      <c r="AA33" s="4">
        <v>73.78</v>
      </c>
      <c r="AB33" s="4">
        <v>20640</v>
      </c>
      <c r="AC33" s="4">
        <v>9801</v>
      </c>
      <c r="AD33" s="4">
        <v>58800</v>
      </c>
      <c r="AF33" s="4">
        <v>1.4144863266814485</v>
      </c>
      <c r="AG33" s="4">
        <v>1.6403580734205299</v>
      </c>
      <c r="AH33" s="4">
        <v>1.8653923948220066</v>
      </c>
      <c r="AI33" s="4">
        <v>1.5929982171386232</v>
      </c>
      <c r="AJ33" s="4">
        <v>2.441095890410959</v>
      </c>
      <c r="AK33" s="4">
        <v>0.98657718120805371</v>
      </c>
      <c r="AM33" s="550">
        <v>45916</v>
      </c>
      <c r="AN33" s="551">
        <v>118.43</v>
      </c>
      <c r="AO33" s="551">
        <v>611593</v>
      </c>
      <c r="AP33" s="551">
        <v>132.4461</v>
      </c>
      <c r="AQ33" s="551">
        <v>15685.591623</v>
      </c>
      <c r="AR33" s="551">
        <v>0.97889999999999999</v>
      </c>
    </row>
    <row r="34" spans="2:44" x14ac:dyDescent="0.25">
      <c r="B34" s="552">
        <v>45742</v>
      </c>
      <c r="C34" s="548">
        <v>10.2658</v>
      </c>
      <c r="D34" s="548">
        <v>0</v>
      </c>
      <c r="E34" s="548">
        <v>18.843699999999998</v>
      </c>
      <c r="F34" s="548">
        <v>32.1511</v>
      </c>
      <c r="G34" s="548">
        <v>6.1959</v>
      </c>
      <c r="H34" s="548">
        <v>3.7259000000000002</v>
      </c>
      <c r="I34" s="552">
        <v>45742</v>
      </c>
      <c r="J34" s="548">
        <v>18.597100000000001</v>
      </c>
      <c r="K34" s="548">
        <v>40.377899999999997</v>
      </c>
      <c r="L34" s="548">
        <v>22.7683</v>
      </c>
      <c r="M34" s="548">
        <v>19.878399999999999</v>
      </c>
      <c r="N34" s="548">
        <v>10.813000000000001</v>
      </c>
      <c r="O34" s="548">
        <v>12.4041</v>
      </c>
      <c r="P34" s="548"/>
      <c r="Q34" s="552">
        <v>45742</v>
      </c>
      <c r="R34" s="4">
        <v>107.99</v>
      </c>
      <c r="S34" s="4">
        <v>21756.73</v>
      </c>
      <c r="T34" s="4">
        <v>5082.6670000000004</v>
      </c>
      <c r="U34" s="4">
        <v>1.5963045084996303</v>
      </c>
      <c r="V34" s="4">
        <v>1.9332252839184971</v>
      </c>
      <c r="W34" s="4">
        <v>2.1414534693144964</v>
      </c>
      <c r="Y34" s="548">
        <v>107.99</v>
      </c>
      <c r="Z34" s="4">
        <v>316.77</v>
      </c>
      <c r="AA34" s="4">
        <v>76.14</v>
      </c>
      <c r="AB34" s="4">
        <v>22670</v>
      </c>
      <c r="AC34" s="4">
        <v>10655</v>
      </c>
      <c r="AD34" s="4">
        <v>61400</v>
      </c>
      <c r="AF34" s="4">
        <v>1.5963045084996303</v>
      </c>
      <c r="AG34" s="4">
        <v>1.6343936227846141</v>
      </c>
      <c r="AH34" s="4">
        <v>1.9250606796116505</v>
      </c>
      <c r="AI34" s="4">
        <v>1.7496739138823929</v>
      </c>
      <c r="AJ34" s="4">
        <v>2.6537982565379825</v>
      </c>
      <c r="AK34" s="4">
        <v>1.0302013422818792</v>
      </c>
      <c r="AM34" s="550">
        <v>45915</v>
      </c>
      <c r="AN34" s="551">
        <v>118.43</v>
      </c>
      <c r="AO34" s="551">
        <v>611593</v>
      </c>
      <c r="AP34" s="551">
        <v>132.4461</v>
      </c>
      <c r="AQ34" s="551">
        <v>15685.591623</v>
      </c>
      <c r="AR34" s="551">
        <v>0.97889999999999999</v>
      </c>
    </row>
    <row r="35" spans="2:44" x14ac:dyDescent="0.25">
      <c r="B35" s="552">
        <v>45735</v>
      </c>
      <c r="C35" s="548">
        <v>10.805999999999999</v>
      </c>
      <c r="D35" s="548">
        <v>0</v>
      </c>
      <c r="E35" s="548">
        <v>19.2898</v>
      </c>
      <c r="F35" s="548">
        <v>32.1511</v>
      </c>
      <c r="G35" s="548">
        <v>6.4119000000000002</v>
      </c>
      <c r="H35" s="548">
        <v>3.4980000000000002</v>
      </c>
      <c r="I35" s="552">
        <v>45735</v>
      </c>
      <c r="J35" s="548">
        <v>19.54</v>
      </c>
      <c r="K35" s="548">
        <v>41.07</v>
      </c>
      <c r="L35" s="548">
        <v>23.3035</v>
      </c>
      <c r="M35" s="548">
        <v>19.4663</v>
      </c>
      <c r="N35" s="548">
        <v>11.1225</v>
      </c>
      <c r="O35" s="548">
        <v>11.818199999999999</v>
      </c>
      <c r="P35" s="548"/>
      <c r="Q35" s="552">
        <v>45735</v>
      </c>
      <c r="R35" s="4">
        <v>107.99</v>
      </c>
      <c r="S35" s="4">
        <v>21756.73</v>
      </c>
      <c r="T35" s="4">
        <v>5082.6670000000004</v>
      </c>
      <c r="U35" s="4">
        <v>1.5963045084996303</v>
      </c>
      <c r="V35" s="4">
        <v>1.9332252839184971</v>
      </c>
      <c r="W35" s="4">
        <v>2.1414534693144964</v>
      </c>
      <c r="Y35" s="548">
        <v>107.99</v>
      </c>
      <c r="Z35" s="4">
        <v>322.2</v>
      </c>
      <c r="AA35" s="4">
        <v>77.930000000000007</v>
      </c>
      <c r="AB35" s="4">
        <v>22200</v>
      </c>
      <c r="AC35" s="4">
        <v>10960</v>
      </c>
      <c r="AD35" s="4">
        <v>58500</v>
      </c>
      <c r="AF35" s="4">
        <v>1.5963045084996303</v>
      </c>
      <c r="AG35" s="4">
        <v>1.6624100301834224</v>
      </c>
      <c r="AH35" s="4">
        <v>1.9703175566343043</v>
      </c>
      <c r="AI35" s="4">
        <v>1.7133992451781703</v>
      </c>
      <c r="AJ35" s="4">
        <v>2.7297633872976337</v>
      </c>
      <c r="AK35" s="4">
        <v>0.98154362416107388</v>
      </c>
      <c r="AM35" s="550">
        <v>45914</v>
      </c>
      <c r="AN35" s="551">
        <v>118.43</v>
      </c>
      <c r="AO35" s="551">
        <v>611593</v>
      </c>
      <c r="AP35" s="551">
        <v>132.4461</v>
      </c>
      <c r="AQ35" s="551">
        <v>15685.591623</v>
      </c>
      <c r="AR35" s="551">
        <v>0.97889999999999999</v>
      </c>
    </row>
    <row r="36" spans="2:44" x14ac:dyDescent="0.25">
      <c r="B36" s="552">
        <v>45728</v>
      </c>
      <c r="C36" s="548">
        <v>10.1471</v>
      </c>
      <c r="D36" s="548">
        <v>0</v>
      </c>
      <c r="E36" s="548">
        <v>18.9558</v>
      </c>
      <c r="F36" s="548">
        <v>32.1511</v>
      </c>
      <c r="G36" s="548">
        <v>6.4932999999999996</v>
      </c>
      <c r="H36" s="548">
        <v>3.2151999999999998</v>
      </c>
      <c r="I36" s="552">
        <v>45728</v>
      </c>
      <c r="J36" s="548">
        <v>18.389800000000001</v>
      </c>
      <c r="K36" s="548">
        <v>41.8093</v>
      </c>
      <c r="L36" s="548">
        <v>22.902799999999999</v>
      </c>
      <c r="M36" s="548">
        <v>18.707799999999999</v>
      </c>
      <c r="N36" s="548">
        <v>11.2392</v>
      </c>
      <c r="O36" s="548">
        <v>11.0909</v>
      </c>
      <c r="P36" s="548"/>
      <c r="Q36" s="552">
        <v>45728</v>
      </c>
      <c r="R36" s="4">
        <v>103.85</v>
      </c>
      <c r="S36" s="4">
        <v>21297.58</v>
      </c>
      <c r="T36" s="4">
        <v>4924.808</v>
      </c>
      <c r="U36" s="4">
        <v>1.5351071692535105</v>
      </c>
      <c r="V36" s="4">
        <v>1.8924268556109725</v>
      </c>
      <c r="W36" s="4">
        <v>2.0749435635479929</v>
      </c>
      <c r="Y36" s="548">
        <v>103.85</v>
      </c>
      <c r="Z36" s="4">
        <v>328</v>
      </c>
      <c r="AA36" s="4">
        <v>76.59</v>
      </c>
      <c r="AB36" s="4">
        <v>21335</v>
      </c>
      <c r="AC36" s="4">
        <v>11075</v>
      </c>
      <c r="AD36" s="4">
        <v>54900</v>
      </c>
      <c r="AF36" s="4">
        <v>1.5351071692535105</v>
      </c>
      <c r="AG36" s="4">
        <v>1.6923354745504735</v>
      </c>
      <c r="AH36" s="4">
        <v>1.9364381067961167</v>
      </c>
      <c r="AI36" s="4">
        <v>1.6466384187331651</v>
      </c>
      <c r="AJ36" s="4">
        <v>2.7584059775840597</v>
      </c>
      <c r="AK36" s="4">
        <v>0.92114093959731547</v>
      </c>
      <c r="AM36" s="550">
        <v>45913</v>
      </c>
      <c r="AN36" s="551">
        <v>119.21</v>
      </c>
      <c r="AO36" s="551">
        <v>680195</v>
      </c>
      <c r="AP36" s="551">
        <v>132.4461</v>
      </c>
      <c r="AQ36" s="551">
        <v>15788.899581</v>
      </c>
      <c r="AR36" s="551">
        <v>0.98540000000000005</v>
      </c>
    </row>
    <row r="37" spans="2:44" x14ac:dyDescent="0.25">
      <c r="B37" s="552">
        <v>45721</v>
      </c>
      <c r="C37" s="548">
        <v>9.8253000000000004</v>
      </c>
      <c r="D37" s="548">
        <v>0</v>
      </c>
      <c r="E37" s="548">
        <v>19.568899999999999</v>
      </c>
      <c r="F37" s="548">
        <v>32.1511</v>
      </c>
      <c r="G37" s="548">
        <v>6.5004</v>
      </c>
      <c r="H37" s="548">
        <v>3.1804999999999999</v>
      </c>
      <c r="I37" s="552">
        <v>45721</v>
      </c>
      <c r="J37" s="548">
        <v>17.828099999999999</v>
      </c>
      <c r="K37" s="548">
        <v>40.825499999999998</v>
      </c>
      <c r="L37" s="548">
        <v>23.638400000000001</v>
      </c>
      <c r="M37" s="548">
        <v>19.3216</v>
      </c>
      <c r="N37" s="548">
        <v>11.2493</v>
      </c>
      <c r="O37" s="548">
        <v>10.9091</v>
      </c>
      <c r="P37" s="548"/>
      <c r="Q37" s="552">
        <v>45721</v>
      </c>
      <c r="R37" s="4">
        <v>106.69</v>
      </c>
      <c r="S37" s="4">
        <v>21127.279999999999</v>
      </c>
      <c r="T37" s="4">
        <v>4853.2439999999997</v>
      </c>
      <c r="U37" s="4">
        <v>1.5770879526977086</v>
      </c>
      <c r="V37" s="4">
        <v>1.8772946061483313</v>
      </c>
      <c r="W37" s="4">
        <v>2.0447918782068082</v>
      </c>
      <c r="Y37" s="548">
        <v>106.69</v>
      </c>
      <c r="Z37" s="4">
        <v>320.28100000000001</v>
      </c>
      <c r="AA37" s="4">
        <v>79.05</v>
      </c>
      <c r="AB37" s="4">
        <v>22035</v>
      </c>
      <c r="AC37" s="4">
        <v>11085</v>
      </c>
      <c r="AD37" s="4">
        <v>54000</v>
      </c>
      <c r="AF37" s="4">
        <v>1.5770879526977086</v>
      </c>
      <c r="AG37" s="4">
        <v>1.6525088357454274</v>
      </c>
      <c r="AH37" s="4">
        <v>1.998634708737864</v>
      </c>
      <c r="AI37" s="4">
        <v>1.7006645210586029</v>
      </c>
      <c r="AJ37" s="4">
        <v>2.7608966376089663</v>
      </c>
      <c r="AK37" s="4">
        <v>0.90604026845637586</v>
      </c>
      <c r="AM37" s="550">
        <v>45912</v>
      </c>
      <c r="AN37" s="551">
        <v>118.83</v>
      </c>
      <c r="AO37" s="551">
        <v>1070271</v>
      </c>
      <c r="AP37" s="551">
        <v>132.4461</v>
      </c>
      <c r="AQ37" s="551">
        <v>15738.570062999999</v>
      </c>
      <c r="AR37" s="551">
        <v>0.98229999999999995</v>
      </c>
    </row>
    <row r="38" spans="2:44" x14ac:dyDescent="0.25">
      <c r="B38" s="552">
        <v>45714</v>
      </c>
      <c r="C38" s="548">
        <v>10.1355</v>
      </c>
      <c r="D38" s="548">
        <v>0</v>
      </c>
      <c r="E38" s="548">
        <v>20.1297</v>
      </c>
      <c r="F38" s="548">
        <v>32.1511</v>
      </c>
      <c r="G38" s="548">
        <v>6.5180999999999996</v>
      </c>
      <c r="H38" s="548">
        <v>3.3864999999999998</v>
      </c>
      <c r="I38" s="552">
        <v>45714</v>
      </c>
      <c r="J38" s="548">
        <v>18.5169</v>
      </c>
      <c r="K38" s="548">
        <v>43.829900000000002</v>
      </c>
      <c r="L38" s="548">
        <v>24.311299999999999</v>
      </c>
      <c r="M38" s="548">
        <v>20.119499999999999</v>
      </c>
      <c r="N38" s="548">
        <v>11.274699999999999</v>
      </c>
      <c r="O38" s="548">
        <v>11.4344</v>
      </c>
      <c r="P38" s="548"/>
      <c r="Q38" s="552">
        <v>45714</v>
      </c>
      <c r="R38" s="4">
        <v>108.47</v>
      </c>
      <c r="S38" s="4">
        <v>20784.72</v>
      </c>
      <c r="T38" s="4">
        <v>5020.0420000000004</v>
      </c>
      <c r="U38" s="4">
        <v>1.6033998521803399</v>
      </c>
      <c r="V38" s="4">
        <v>1.8468559486267684</v>
      </c>
      <c r="W38" s="4">
        <v>2.1150680060300004</v>
      </c>
      <c r="Y38" s="548">
        <v>108.47</v>
      </c>
      <c r="Z38" s="4">
        <v>343.85199999999998</v>
      </c>
      <c r="AA38" s="4">
        <v>81.3</v>
      </c>
      <c r="AB38" s="4">
        <v>22945</v>
      </c>
      <c r="AC38" s="4">
        <v>11110</v>
      </c>
      <c r="AD38" s="4">
        <v>56600</v>
      </c>
      <c r="AF38" s="4">
        <v>1.6033998521803399</v>
      </c>
      <c r="AG38" s="4">
        <v>1.7741248097412481</v>
      </c>
      <c r="AH38" s="4">
        <v>2.0555218446601939</v>
      </c>
      <c r="AI38" s="4">
        <v>1.7708984540816719</v>
      </c>
      <c r="AJ38" s="4">
        <v>2.7671232876712328</v>
      </c>
      <c r="AK38" s="4">
        <v>0.94966442953020136</v>
      </c>
      <c r="AM38" s="550">
        <v>45911</v>
      </c>
      <c r="AN38" s="551">
        <v>119</v>
      </c>
      <c r="AO38" s="551">
        <v>1696115</v>
      </c>
      <c r="AP38" s="551">
        <v>132.4461</v>
      </c>
      <c r="AQ38" s="551">
        <v>15761.0859</v>
      </c>
      <c r="AR38" s="551">
        <v>0.98370000000000002</v>
      </c>
    </row>
    <row r="39" spans="2:44" x14ac:dyDescent="0.25">
      <c r="B39" s="552">
        <v>45707</v>
      </c>
      <c r="C39" s="548">
        <v>9.6605000000000008</v>
      </c>
      <c r="D39" s="548">
        <v>0</v>
      </c>
      <c r="E39" s="548">
        <v>21.7148</v>
      </c>
      <c r="F39" s="548">
        <v>32.1511</v>
      </c>
      <c r="G39" s="548">
        <v>6.8190999999999997</v>
      </c>
      <c r="H39" s="548">
        <v>3.5528</v>
      </c>
      <c r="I39" s="552">
        <v>45707</v>
      </c>
      <c r="J39" s="548">
        <v>17.681000000000001</v>
      </c>
      <c r="K39" s="548">
        <v>43.150100000000002</v>
      </c>
      <c r="L39" s="548">
        <v>26.213100000000001</v>
      </c>
      <c r="M39" s="548">
        <v>22.811499999999999</v>
      </c>
      <c r="N39" s="548">
        <v>11.706</v>
      </c>
      <c r="O39" s="548">
        <v>11.858599999999999</v>
      </c>
      <c r="P39" s="548"/>
      <c r="Q39" s="552">
        <v>45707</v>
      </c>
      <c r="R39" s="4">
        <v>108.47</v>
      </c>
      <c r="S39" s="4">
        <v>20784.72</v>
      </c>
      <c r="T39" s="4">
        <v>5020.0420000000004</v>
      </c>
      <c r="U39" s="4">
        <v>1.6033998521803399</v>
      </c>
      <c r="V39" s="4">
        <v>1.8468559486267684</v>
      </c>
      <c r="W39" s="4">
        <v>2.1150680060300004</v>
      </c>
      <c r="Y39" s="548">
        <v>108.47</v>
      </c>
      <c r="Z39" s="4">
        <v>338.51900000000001</v>
      </c>
      <c r="AA39" s="4">
        <v>87.66</v>
      </c>
      <c r="AB39" s="4">
        <v>26015</v>
      </c>
      <c r="AC39" s="4">
        <v>11535</v>
      </c>
      <c r="AD39" s="4">
        <v>58700</v>
      </c>
      <c r="AF39" s="4">
        <v>1.6033998521803399</v>
      </c>
      <c r="AG39" s="4">
        <v>1.7466088796016821</v>
      </c>
      <c r="AH39" s="4">
        <v>2.2163228155339807</v>
      </c>
      <c r="AI39" s="4">
        <v>2.0078415028518064</v>
      </c>
      <c r="AJ39" s="4">
        <v>2.8729763387297633</v>
      </c>
      <c r="AK39" s="4">
        <v>0.9848993288590604</v>
      </c>
      <c r="AM39" s="550">
        <v>45910</v>
      </c>
      <c r="AN39" s="551">
        <v>111.94</v>
      </c>
      <c r="AO39" s="551">
        <v>1015913</v>
      </c>
      <c r="AP39" s="551">
        <v>132.3006</v>
      </c>
      <c r="AQ39" s="551">
        <v>14809.729164</v>
      </c>
      <c r="AR39" s="551">
        <v>0.92530000000000001</v>
      </c>
    </row>
    <row r="40" spans="2:44" x14ac:dyDescent="0.25">
      <c r="B40" s="552">
        <v>45700</v>
      </c>
      <c r="C40" s="548">
        <v>8.3187999999999995</v>
      </c>
      <c r="D40" s="548">
        <v>0</v>
      </c>
      <c r="E40" s="548">
        <v>20.196999999999999</v>
      </c>
      <c r="F40" s="548">
        <v>32.1511</v>
      </c>
      <c r="G40" s="548">
        <v>5.7674000000000003</v>
      </c>
      <c r="H40" s="548">
        <v>3.3231000000000002</v>
      </c>
      <c r="I40" s="552">
        <v>45700</v>
      </c>
      <c r="J40" s="548">
        <v>15.320399999999999</v>
      </c>
      <c r="K40" s="548">
        <v>39.152299999999997</v>
      </c>
      <c r="L40" s="548">
        <v>24.391999999999999</v>
      </c>
      <c r="M40" s="548">
        <v>22.491399999999999</v>
      </c>
      <c r="N40" s="548">
        <v>10.199</v>
      </c>
      <c r="O40" s="548">
        <v>11.2727</v>
      </c>
      <c r="P40" s="548"/>
      <c r="Q40" s="552">
        <v>45700</v>
      </c>
      <c r="R40" s="4">
        <v>107.24</v>
      </c>
      <c r="S40" s="4">
        <v>21559.5</v>
      </c>
      <c r="T40" s="4">
        <v>5310.143</v>
      </c>
      <c r="U40" s="4">
        <v>1.5852180339985216</v>
      </c>
      <c r="V40" s="4">
        <v>1.9157001308855164</v>
      </c>
      <c r="W40" s="4">
        <v>2.2372947411085731</v>
      </c>
      <c r="Y40" s="548">
        <v>107.24</v>
      </c>
      <c r="Z40" s="4">
        <v>307.15600000000001</v>
      </c>
      <c r="AA40" s="4">
        <v>81.569999999999993</v>
      </c>
      <c r="AB40" s="4">
        <v>25650</v>
      </c>
      <c r="AC40" s="4">
        <v>10050</v>
      </c>
      <c r="AD40" s="4">
        <v>55800</v>
      </c>
      <c r="AF40" s="4">
        <v>1.5852180339985216</v>
      </c>
      <c r="AG40" s="4">
        <v>1.5847896189665402</v>
      </c>
      <c r="AH40" s="4">
        <v>2.0623483009708736</v>
      </c>
      <c r="AI40" s="4">
        <v>1.9796707494963994</v>
      </c>
      <c r="AJ40" s="4">
        <v>2.503113325031133</v>
      </c>
      <c r="AK40" s="4">
        <v>0.93624161073825507</v>
      </c>
      <c r="AM40" s="550">
        <v>45909</v>
      </c>
      <c r="AN40" s="551">
        <v>111.08</v>
      </c>
      <c r="AO40" s="551">
        <v>1067338</v>
      </c>
      <c r="AP40" s="551">
        <v>132.3006</v>
      </c>
      <c r="AQ40" s="551">
        <v>14695.950648</v>
      </c>
      <c r="AR40" s="551">
        <v>0.91820000000000002</v>
      </c>
    </row>
    <row r="41" spans="2:44" x14ac:dyDescent="0.25">
      <c r="B41" s="552">
        <v>45693</v>
      </c>
      <c r="C41" s="548">
        <v>7.5358999999999998</v>
      </c>
      <c r="D41" s="548">
        <v>0</v>
      </c>
      <c r="E41" s="548">
        <v>20.289200000000001</v>
      </c>
      <c r="F41" s="548">
        <v>32.1511</v>
      </c>
      <c r="G41" s="548">
        <v>5.9126000000000003</v>
      </c>
      <c r="H41" s="548">
        <v>3.0933000000000002</v>
      </c>
      <c r="I41" s="552">
        <v>45693</v>
      </c>
      <c r="J41" s="548">
        <v>13.9428</v>
      </c>
      <c r="K41" s="548">
        <v>35.6937</v>
      </c>
      <c r="L41" s="548">
        <v>24.502700000000001</v>
      </c>
      <c r="M41" s="548">
        <v>22.8597</v>
      </c>
      <c r="N41" s="548">
        <v>10.407</v>
      </c>
      <c r="O41" s="548">
        <v>10.6869</v>
      </c>
      <c r="P41" s="548"/>
      <c r="Q41" s="552">
        <v>45693</v>
      </c>
      <c r="R41" s="4">
        <v>107.05</v>
      </c>
      <c r="S41" s="4">
        <v>21197.09</v>
      </c>
      <c r="T41" s="4">
        <v>5026.5060000000003</v>
      </c>
      <c r="U41" s="4">
        <v>1.5824094604582408</v>
      </c>
      <c r="V41" s="4">
        <v>1.8834976732944675</v>
      </c>
      <c r="W41" s="4">
        <v>2.1177914492981995</v>
      </c>
      <c r="Y41" s="548">
        <v>107.05</v>
      </c>
      <c r="Z41" s="4">
        <v>280.02199999999999</v>
      </c>
      <c r="AA41" s="4">
        <v>81.94</v>
      </c>
      <c r="AB41" s="4">
        <v>26070</v>
      </c>
      <c r="AC41" s="4">
        <v>10255</v>
      </c>
      <c r="AD41" s="4">
        <v>52900</v>
      </c>
      <c r="AF41" s="4">
        <v>1.5824094604582408</v>
      </c>
      <c r="AG41" s="4">
        <v>1.4447901349224777</v>
      </c>
      <c r="AH41" s="4">
        <v>2.0717030744336569</v>
      </c>
      <c r="AI41" s="4">
        <v>2.0120864108916621</v>
      </c>
      <c r="AJ41" s="4">
        <v>2.5541718555417185</v>
      </c>
      <c r="AK41" s="4">
        <v>0.88758389261744963</v>
      </c>
      <c r="AM41" s="550">
        <v>45908</v>
      </c>
      <c r="AN41" s="551">
        <v>111.08</v>
      </c>
      <c r="AO41" s="551">
        <v>1067338</v>
      </c>
      <c r="AP41" s="551">
        <v>132.3006</v>
      </c>
      <c r="AQ41" s="551">
        <v>14695.950648</v>
      </c>
      <c r="AR41" s="551">
        <v>0.91820000000000002</v>
      </c>
    </row>
    <row r="42" spans="2:44" x14ac:dyDescent="0.25">
      <c r="B42" s="552">
        <v>45686</v>
      </c>
      <c r="C42" s="548">
        <v>6.2549999999999999</v>
      </c>
      <c r="D42" s="548">
        <v>0</v>
      </c>
      <c r="E42" s="548">
        <v>18.641100000000002</v>
      </c>
      <c r="F42" s="548">
        <v>32.1511</v>
      </c>
      <c r="G42" s="548">
        <v>6.2100999999999997</v>
      </c>
      <c r="H42" s="548">
        <v>3.2042000000000002</v>
      </c>
      <c r="I42" s="552">
        <v>45686</v>
      </c>
      <c r="J42" s="548">
        <v>11.6892</v>
      </c>
      <c r="K42" s="548">
        <v>36.343299999999999</v>
      </c>
      <c r="L42" s="548">
        <v>22.472200000000001</v>
      </c>
      <c r="M42" s="548">
        <v>21.8294</v>
      </c>
      <c r="N42" s="548">
        <v>10.833299999999999</v>
      </c>
      <c r="O42" s="548">
        <v>10.9697</v>
      </c>
      <c r="P42" s="548"/>
      <c r="Q42" s="552">
        <v>45686</v>
      </c>
      <c r="R42" s="4">
        <v>107.92</v>
      </c>
      <c r="S42" s="4">
        <v>21503.17</v>
      </c>
      <c r="T42" s="4">
        <v>5118.7470000000003</v>
      </c>
      <c r="U42" s="4">
        <v>1.5952697708795269</v>
      </c>
      <c r="V42" s="4">
        <v>1.9106948483709505</v>
      </c>
      <c r="W42" s="4">
        <v>2.1566548667644705</v>
      </c>
      <c r="Y42" s="548">
        <v>107.92</v>
      </c>
      <c r="Z42" s="4">
        <v>285.11900000000003</v>
      </c>
      <c r="AA42" s="4">
        <v>75.150000000000006</v>
      </c>
      <c r="AB42" s="4">
        <v>24895</v>
      </c>
      <c r="AC42" s="4">
        <v>10675</v>
      </c>
      <c r="AD42" s="4">
        <v>54300</v>
      </c>
      <c r="AF42" s="4">
        <v>1.5952697708795269</v>
      </c>
      <c r="AG42" s="4">
        <v>1.4710884090498673</v>
      </c>
      <c r="AH42" s="4">
        <v>1.9000303398058254</v>
      </c>
      <c r="AI42" s="4">
        <v>1.9213997391311057</v>
      </c>
      <c r="AJ42" s="4">
        <v>2.6587795765877957</v>
      </c>
      <c r="AK42" s="4">
        <v>0.91107382550335569</v>
      </c>
      <c r="AM42" s="550">
        <v>45907</v>
      </c>
      <c r="AN42" s="551">
        <v>111.08</v>
      </c>
      <c r="AO42" s="551">
        <v>1067338</v>
      </c>
      <c r="AP42" s="551">
        <v>132.3006</v>
      </c>
      <c r="AQ42" s="551">
        <v>14695.950648</v>
      </c>
      <c r="AR42" s="551">
        <v>0.91820000000000002</v>
      </c>
    </row>
    <row r="43" spans="2:44" x14ac:dyDescent="0.25">
      <c r="B43" s="552">
        <v>45679</v>
      </c>
      <c r="C43" s="548">
        <v>6.7149000000000001</v>
      </c>
      <c r="D43" s="548">
        <v>0</v>
      </c>
      <c r="E43" s="548">
        <v>20.6646</v>
      </c>
      <c r="F43" s="548">
        <v>32.1511</v>
      </c>
      <c r="G43" s="548">
        <v>6.7836999999999996</v>
      </c>
      <c r="H43" s="548">
        <v>3.2042000000000002</v>
      </c>
      <c r="I43" s="552">
        <v>45679</v>
      </c>
      <c r="J43" s="548">
        <v>12.4984</v>
      </c>
      <c r="K43" s="548">
        <v>36.343299999999999</v>
      </c>
      <c r="L43" s="548">
        <v>24.894400000000001</v>
      </c>
      <c r="M43" s="548">
        <v>24.104900000000001</v>
      </c>
      <c r="N43" s="548">
        <v>11.6553</v>
      </c>
      <c r="O43" s="548">
        <v>10.9697</v>
      </c>
      <c r="P43" s="548"/>
      <c r="Q43" s="552">
        <v>45679</v>
      </c>
      <c r="R43" s="4">
        <v>110.69</v>
      </c>
      <c r="S43" s="4">
        <v>22096.66</v>
      </c>
      <c r="T43" s="4">
        <v>5256.0609999999997</v>
      </c>
      <c r="U43" s="4">
        <v>1.6362158167036214</v>
      </c>
      <c r="V43" s="4">
        <v>1.963430249037907</v>
      </c>
      <c r="W43" s="4">
        <v>2.2145086552746069</v>
      </c>
      <c r="Y43" s="548">
        <v>110.69</v>
      </c>
      <c r="Z43" s="4">
        <v>285.11900000000003</v>
      </c>
      <c r="AA43" s="4">
        <v>83.25</v>
      </c>
      <c r="AB43" s="4">
        <v>27490</v>
      </c>
      <c r="AC43" s="4">
        <v>11485</v>
      </c>
      <c r="AD43" s="4">
        <v>54300</v>
      </c>
      <c r="AF43" s="4">
        <v>1.6362158167036214</v>
      </c>
      <c r="AG43" s="4">
        <v>1.4710884090498673</v>
      </c>
      <c r="AH43" s="4">
        <v>2.1048240291262137</v>
      </c>
      <c r="AI43" s="4">
        <v>2.1216822184661215</v>
      </c>
      <c r="AJ43" s="4">
        <v>2.8605230386052303</v>
      </c>
      <c r="AK43" s="4">
        <v>0.91107382550335569</v>
      </c>
      <c r="AM43" s="550">
        <v>45906</v>
      </c>
      <c r="AN43" s="551">
        <v>112.74</v>
      </c>
      <c r="AO43" s="551">
        <v>799608</v>
      </c>
      <c r="AP43" s="551">
        <v>132.3006</v>
      </c>
      <c r="AQ43" s="551">
        <v>14915.569643999999</v>
      </c>
      <c r="AR43" s="551">
        <v>0.93189999999999995</v>
      </c>
    </row>
    <row r="44" spans="2:44" x14ac:dyDescent="0.25">
      <c r="B44" s="552">
        <v>45672</v>
      </c>
      <c r="C44" s="548">
        <v>6.4108999999999998</v>
      </c>
      <c r="D44" s="548">
        <v>0</v>
      </c>
      <c r="E44" s="548">
        <v>18.890899999999998</v>
      </c>
      <c r="F44" s="548">
        <v>32.1511</v>
      </c>
      <c r="G44" s="548">
        <v>5.7568000000000001</v>
      </c>
      <c r="H44" s="548">
        <v>3.1566999999999998</v>
      </c>
      <c r="I44" s="552">
        <v>45672</v>
      </c>
      <c r="J44" s="548">
        <v>11.9634</v>
      </c>
      <c r="K44" s="548">
        <v>36.096899999999998</v>
      </c>
      <c r="L44" s="548">
        <v>22.7713</v>
      </c>
      <c r="M44" s="548">
        <v>22.495799999999999</v>
      </c>
      <c r="N44" s="548">
        <v>10.1838</v>
      </c>
      <c r="O44" s="548">
        <v>10.8485</v>
      </c>
      <c r="P44" s="548"/>
      <c r="Q44" s="552">
        <v>45672</v>
      </c>
      <c r="R44" s="4">
        <v>112.51</v>
      </c>
      <c r="S44" s="4">
        <v>21440.82</v>
      </c>
      <c r="T44" s="4">
        <v>5018.84</v>
      </c>
      <c r="U44" s="4">
        <v>1.6631189948263119</v>
      </c>
      <c r="V44" s="4">
        <v>1.9051546501678052</v>
      </c>
      <c r="W44" s="4">
        <v>2.1145615736648429</v>
      </c>
      <c r="Y44" s="548">
        <v>112.51</v>
      </c>
      <c r="Z44" s="4">
        <v>283.185</v>
      </c>
      <c r="AA44" s="4">
        <v>76.150000000000006</v>
      </c>
      <c r="AB44" s="4">
        <v>25655</v>
      </c>
      <c r="AC44" s="4">
        <v>10035</v>
      </c>
      <c r="AD44" s="4">
        <v>53700</v>
      </c>
      <c r="AF44" s="4">
        <v>1.6631189948263119</v>
      </c>
      <c r="AG44" s="4">
        <v>1.4611098212212676</v>
      </c>
      <c r="AH44" s="4">
        <v>1.9253135113268609</v>
      </c>
      <c r="AI44" s="4">
        <v>1.9800566502272954</v>
      </c>
      <c r="AJ44" s="4">
        <v>2.4993773349937736</v>
      </c>
      <c r="AK44" s="4">
        <v>0.90100671140939592</v>
      </c>
      <c r="AM44" s="550">
        <v>45905</v>
      </c>
      <c r="AN44" s="551">
        <v>112.56</v>
      </c>
      <c r="AO44" s="551">
        <v>974021</v>
      </c>
      <c r="AP44" s="551">
        <v>132.3006</v>
      </c>
      <c r="AQ44" s="551">
        <v>14891.755536000001</v>
      </c>
      <c r="AR44" s="551">
        <v>0.9304</v>
      </c>
    </row>
    <row r="45" spans="2:44" x14ac:dyDescent="0.25">
      <c r="B45" s="552">
        <v>45665</v>
      </c>
      <c r="C45" s="548">
        <v>5.4683000000000002</v>
      </c>
      <c r="D45" s="548">
        <v>0</v>
      </c>
      <c r="E45" s="548">
        <v>19.113199999999999</v>
      </c>
      <c r="F45" s="548">
        <v>32.1511</v>
      </c>
      <c r="G45" s="548">
        <v>6.0011000000000001</v>
      </c>
      <c r="H45" s="548">
        <v>3.4419</v>
      </c>
      <c r="I45" s="552">
        <v>45665</v>
      </c>
      <c r="J45" s="548">
        <v>10.305</v>
      </c>
      <c r="K45" s="548">
        <v>36.471699999999998</v>
      </c>
      <c r="L45" s="548">
        <v>23.037400000000002</v>
      </c>
      <c r="M45" s="548">
        <v>24.148700000000002</v>
      </c>
      <c r="N45" s="548">
        <v>10.533899999999999</v>
      </c>
      <c r="O45" s="548">
        <v>11.575799999999999</v>
      </c>
      <c r="P45" s="548"/>
      <c r="Q45" s="552">
        <v>45665</v>
      </c>
      <c r="R45" s="4">
        <v>115.94</v>
      </c>
      <c r="S45" s="4">
        <v>21164.6</v>
      </c>
      <c r="T45" s="4">
        <v>5055.3180000000002</v>
      </c>
      <c r="U45" s="4">
        <v>1.7138211382113819</v>
      </c>
      <c r="V45" s="4">
        <v>1.8806107279918178</v>
      </c>
      <c r="W45" s="4">
        <v>2.1299306583705016</v>
      </c>
      <c r="Y45" s="548">
        <v>115.94</v>
      </c>
      <c r="Z45" s="4">
        <v>286.12599999999998</v>
      </c>
      <c r="AA45" s="4">
        <v>77.040000000000006</v>
      </c>
      <c r="AB45" s="4">
        <v>27540</v>
      </c>
      <c r="AC45" s="4">
        <v>10380</v>
      </c>
      <c r="AD45" s="4">
        <v>57300</v>
      </c>
      <c r="AF45" s="4">
        <v>1.7138211382113819</v>
      </c>
      <c r="AG45" s="4">
        <v>1.4762840853391119</v>
      </c>
      <c r="AH45" s="4">
        <v>1.9478155339805827</v>
      </c>
      <c r="AI45" s="4">
        <v>2.1255412257750814</v>
      </c>
      <c r="AJ45" s="4">
        <v>2.5853051058530512</v>
      </c>
      <c r="AK45" s="4">
        <v>0.96140939597315433</v>
      </c>
      <c r="AM45" s="550">
        <v>45904</v>
      </c>
      <c r="AN45" s="551">
        <v>113</v>
      </c>
      <c r="AO45" s="551">
        <v>525186</v>
      </c>
      <c r="AP45" s="551">
        <v>132.3006</v>
      </c>
      <c r="AQ45" s="551">
        <v>14949.9678</v>
      </c>
      <c r="AR45" s="551">
        <v>0.93410000000000004</v>
      </c>
    </row>
    <row r="46" spans="2:44" x14ac:dyDescent="0.25">
      <c r="B46" s="552">
        <v>45658</v>
      </c>
      <c r="C46" s="548">
        <v>5.5290999999999997</v>
      </c>
      <c r="D46" s="548">
        <v>0</v>
      </c>
      <c r="E46" s="548">
        <v>17.964099999999998</v>
      </c>
      <c r="F46" s="548">
        <v>32.1511</v>
      </c>
      <c r="G46" s="548">
        <v>6.0486000000000004</v>
      </c>
      <c r="H46" s="548">
        <v>3.1328999999999998</v>
      </c>
      <c r="I46" s="552">
        <v>45658</v>
      </c>
      <c r="J46" s="548">
        <v>10.412000000000001</v>
      </c>
      <c r="K46" s="548">
        <v>35.5398</v>
      </c>
      <c r="L46" s="548">
        <v>21.661899999999999</v>
      </c>
      <c r="M46" s="548">
        <v>23.2835</v>
      </c>
      <c r="N46" s="548">
        <v>10.9095</v>
      </c>
      <c r="O46" s="548">
        <v>10.7879</v>
      </c>
      <c r="P46" s="548"/>
      <c r="Q46" s="552">
        <v>45658</v>
      </c>
      <c r="R46" s="4">
        <v>116.89</v>
      </c>
      <c r="S46" s="4">
        <v>20804.89</v>
      </c>
      <c r="T46" s="4">
        <v>4987.9219999999996</v>
      </c>
      <c r="U46" s="4">
        <v>1.7278640059127863</v>
      </c>
      <c r="V46" s="4">
        <v>1.8486481827527896</v>
      </c>
      <c r="W46" s="4">
        <v>2.1015350546416083</v>
      </c>
      <c r="Y46" s="548">
        <v>116.89</v>
      </c>
      <c r="Z46" s="4">
        <v>300.88900000000001</v>
      </c>
      <c r="AA46" s="4">
        <v>75.2</v>
      </c>
      <c r="AB46" s="4">
        <v>23700</v>
      </c>
      <c r="AC46" s="4">
        <v>9412</v>
      </c>
      <c r="AD46" s="4">
        <v>54900</v>
      </c>
      <c r="AF46" s="4">
        <v>1.7278640059127863</v>
      </c>
      <c r="AG46" s="4">
        <v>1.5524546603720042</v>
      </c>
      <c r="AH46" s="4">
        <v>1.9012944983818771</v>
      </c>
      <c r="AI46" s="4">
        <v>1.8291694644469656</v>
      </c>
      <c r="AJ46" s="4">
        <v>2.3442092154420924</v>
      </c>
      <c r="AK46" s="4">
        <v>0.92114093959731547</v>
      </c>
      <c r="AM46" s="550">
        <v>45903</v>
      </c>
      <c r="AN46" s="551">
        <v>113.84</v>
      </c>
      <c r="AO46" s="551">
        <v>544490</v>
      </c>
      <c r="AP46" s="551">
        <v>132.3006</v>
      </c>
      <c r="AQ46" s="551">
        <v>15061.100304000001</v>
      </c>
      <c r="AR46" s="551">
        <v>0.94099999999999995</v>
      </c>
    </row>
    <row r="47" spans="2:44" x14ac:dyDescent="0.25">
      <c r="B47" s="552">
        <v>45651</v>
      </c>
      <c r="C47" s="548">
        <v>6.7247000000000003</v>
      </c>
      <c r="D47" s="548">
        <v>0</v>
      </c>
      <c r="E47" s="548">
        <v>19.331700000000001</v>
      </c>
      <c r="F47" s="548">
        <v>32.1511</v>
      </c>
      <c r="G47" s="548">
        <v>6.0486000000000004</v>
      </c>
      <c r="H47" s="548">
        <v>3.4758</v>
      </c>
      <c r="I47" s="552">
        <v>45651</v>
      </c>
      <c r="J47" s="548">
        <v>11.9811</v>
      </c>
      <c r="K47" s="548">
        <v>39.293199999999999</v>
      </c>
      <c r="L47" s="548">
        <v>23.200900000000001</v>
      </c>
      <c r="M47" s="548">
        <v>23.2835</v>
      </c>
      <c r="N47" s="548">
        <v>10.9095</v>
      </c>
      <c r="O47" s="548">
        <v>11.3535</v>
      </c>
      <c r="P47" s="548"/>
      <c r="Q47" s="552">
        <v>45651</v>
      </c>
      <c r="R47" s="4">
        <v>109.13</v>
      </c>
      <c r="S47" s="4">
        <v>20539.189999999999</v>
      </c>
      <c r="T47" s="4">
        <v>4888.7709999999997</v>
      </c>
      <c r="U47" s="4">
        <v>1.6131559497413155</v>
      </c>
      <c r="V47" s="4">
        <v>1.8250390301854165</v>
      </c>
      <c r="W47" s="4">
        <v>2.059760283062829</v>
      </c>
      <c r="Y47" s="548">
        <v>109.13</v>
      </c>
      <c r="Z47" s="4">
        <v>300.88900000000001</v>
      </c>
      <c r="AA47" s="4">
        <v>75.2</v>
      </c>
      <c r="AB47" s="4">
        <v>23700</v>
      </c>
      <c r="AC47" s="4">
        <v>9412</v>
      </c>
      <c r="AD47" s="4">
        <v>54900</v>
      </c>
      <c r="AF47" s="4">
        <v>1.6131559497413155</v>
      </c>
      <c r="AG47" s="4">
        <v>1.5524546603720042</v>
      </c>
      <c r="AH47" s="4">
        <v>1.9012944983818771</v>
      </c>
      <c r="AI47" s="4">
        <v>1.8291694644469656</v>
      </c>
      <c r="AJ47" s="4">
        <v>2.3442092154420924</v>
      </c>
      <c r="AK47" s="4">
        <v>0.92114093959731547</v>
      </c>
      <c r="AM47" s="550">
        <v>45902</v>
      </c>
      <c r="AN47" s="551">
        <v>115.36</v>
      </c>
      <c r="AO47" s="551">
        <v>663821</v>
      </c>
      <c r="AP47" s="551">
        <v>132.3006</v>
      </c>
      <c r="AQ47" s="551">
        <v>15262.197216</v>
      </c>
      <c r="AR47" s="551">
        <v>0.9536</v>
      </c>
    </row>
    <row r="48" spans="2:44" x14ac:dyDescent="0.25">
      <c r="B48" s="552">
        <v>45644</v>
      </c>
      <c r="C48" s="548">
        <v>6.5061999999999998</v>
      </c>
      <c r="D48" s="548">
        <v>0</v>
      </c>
      <c r="E48" s="548">
        <v>19.651499999999999</v>
      </c>
      <c r="F48" s="548">
        <v>32.1511</v>
      </c>
      <c r="G48" s="548">
        <v>5.9017999999999997</v>
      </c>
      <c r="H48" s="548">
        <v>3.5865999999999998</v>
      </c>
      <c r="I48" s="552">
        <v>45644</v>
      </c>
      <c r="J48" s="548">
        <v>11.598599999999999</v>
      </c>
      <c r="K48" s="548">
        <v>38.262900000000002</v>
      </c>
      <c r="L48" s="548">
        <v>23.580300000000001</v>
      </c>
      <c r="M48" s="548">
        <v>23.367000000000001</v>
      </c>
      <c r="N48" s="548">
        <v>10.698499999999999</v>
      </c>
      <c r="O48" s="548">
        <v>11.6289</v>
      </c>
      <c r="P48" s="548"/>
      <c r="Q48" s="552">
        <v>45644</v>
      </c>
      <c r="R48" s="4">
        <v>111.58</v>
      </c>
      <c r="S48" s="4">
        <v>21106.59</v>
      </c>
      <c r="T48" s="4">
        <v>5156.3919999999998</v>
      </c>
      <c r="U48" s="4">
        <v>1.649371766444937</v>
      </c>
      <c r="V48" s="4">
        <v>1.8754561666804392</v>
      </c>
      <c r="W48" s="4">
        <v>2.1725156374685799</v>
      </c>
      <c r="Y48" s="548">
        <v>111.58</v>
      </c>
      <c r="Z48" s="4">
        <v>293</v>
      </c>
      <c r="AA48" s="4">
        <v>75.2</v>
      </c>
      <c r="AB48" s="4">
        <v>23785</v>
      </c>
      <c r="AC48" s="4">
        <v>9230</v>
      </c>
      <c r="AD48" s="4">
        <v>54900</v>
      </c>
      <c r="AF48" s="4">
        <v>1.649371766444937</v>
      </c>
      <c r="AG48" s="4">
        <v>1.5117508964734412</v>
      </c>
      <c r="AH48" s="4">
        <v>1.9012944983818771</v>
      </c>
      <c r="AI48" s="4">
        <v>1.8357297768721972</v>
      </c>
      <c r="AJ48" s="4">
        <v>2.2988792029887919</v>
      </c>
      <c r="AK48" s="4">
        <v>0.92114093959731547</v>
      </c>
      <c r="AM48" s="550">
        <v>45901</v>
      </c>
      <c r="AN48" s="551">
        <v>115.36</v>
      </c>
      <c r="AO48" s="551">
        <v>663821</v>
      </c>
      <c r="AP48" s="551">
        <v>132.3006</v>
      </c>
      <c r="AQ48" s="551">
        <v>15262.197216</v>
      </c>
      <c r="AR48" s="551">
        <v>0.9536</v>
      </c>
    </row>
    <row r="49" spans="2:44" x14ac:dyDescent="0.25">
      <c r="B49" s="552">
        <v>45637</v>
      </c>
      <c r="C49" s="548">
        <v>6.6985000000000001</v>
      </c>
      <c r="D49" s="548">
        <v>0</v>
      </c>
      <c r="E49" s="548">
        <v>20.452200000000001</v>
      </c>
      <c r="F49" s="548">
        <v>32.1511</v>
      </c>
      <c r="G49" s="548">
        <v>6.2873999999999999</v>
      </c>
      <c r="H49" s="548">
        <v>3.5099</v>
      </c>
      <c r="I49" s="552">
        <v>45637</v>
      </c>
      <c r="J49" s="548">
        <v>11.9352</v>
      </c>
      <c r="K49" s="548">
        <v>37.8093</v>
      </c>
      <c r="L49" s="548">
        <v>24.5305</v>
      </c>
      <c r="M49" s="548">
        <v>24.049800000000001</v>
      </c>
      <c r="N49" s="548">
        <v>11.252599999999999</v>
      </c>
      <c r="O49" s="548">
        <v>11.4383</v>
      </c>
      <c r="P49" s="548"/>
      <c r="Q49" s="552">
        <v>45637</v>
      </c>
      <c r="R49" s="4">
        <v>108.04</v>
      </c>
      <c r="S49" s="4">
        <v>19963.599999999999</v>
      </c>
      <c r="T49" s="4">
        <v>4973.9949999999999</v>
      </c>
      <c r="U49" s="4">
        <v>1.5970436067997043</v>
      </c>
      <c r="V49" s="4">
        <v>1.773894159555931</v>
      </c>
      <c r="W49" s="4">
        <v>2.0956672646669472</v>
      </c>
      <c r="Y49" s="548">
        <v>108.04</v>
      </c>
      <c r="Z49" s="4">
        <v>289.52600000000001</v>
      </c>
      <c r="AA49" s="4">
        <v>78.23</v>
      </c>
      <c r="AB49" s="4">
        <v>24480</v>
      </c>
      <c r="AC49" s="4">
        <v>9708</v>
      </c>
      <c r="AD49" s="4">
        <v>54000</v>
      </c>
      <c r="AF49" s="4">
        <v>1.5970436067997043</v>
      </c>
      <c r="AG49" s="4">
        <v>1.4938265872094525</v>
      </c>
      <c r="AH49" s="4">
        <v>1.977902508090615</v>
      </c>
      <c r="AI49" s="4">
        <v>1.889369978466739</v>
      </c>
      <c r="AJ49" s="4">
        <v>2.4179327521793277</v>
      </c>
      <c r="AK49" s="4">
        <v>0.90604026845637586</v>
      </c>
      <c r="AM49" s="550">
        <v>45900</v>
      </c>
      <c r="AN49" s="551">
        <v>115.36</v>
      </c>
      <c r="AO49" s="551">
        <v>663821</v>
      </c>
      <c r="AP49" s="551">
        <v>132.3006</v>
      </c>
      <c r="AQ49" s="551">
        <v>15262.197216</v>
      </c>
      <c r="AR49" s="551">
        <v>0.9536</v>
      </c>
    </row>
    <row r="50" spans="2:44" x14ac:dyDescent="0.25">
      <c r="B50" s="552">
        <v>45630</v>
      </c>
      <c r="C50" s="548">
        <v>7.1223999999999998</v>
      </c>
      <c r="D50" s="548">
        <v>0</v>
      </c>
      <c r="E50" s="548">
        <v>20.4602</v>
      </c>
      <c r="F50" s="548">
        <v>32.1511</v>
      </c>
      <c r="G50" s="548">
        <v>6.5309999999999997</v>
      </c>
      <c r="H50" s="548">
        <v>3.4331999999999998</v>
      </c>
      <c r="I50" s="552">
        <v>45630</v>
      </c>
      <c r="J50" s="548">
        <v>12.677300000000001</v>
      </c>
      <c r="K50" s="548">
        <v>38.940100000000001</v>
      </c>
      <c r="L50" s="548">
        <v>24.539899999999999</v>
      </c>
      <c r="M50" s="548">
        <v>24.221699999999998</v>
      </c>
      <c r="N50" s="548">
        <v>11.602600000000001</v>
      </c>
      <c r="O50" s="548">
        <v>11.2476</v>
      </c>
      <c r="P50" s="548"/>
      <c r="Q50" s="552">
        <v>45630</v>
      </c>
      <c r="R50" s="4">
        <v>105.93</v>
      </c>
      <c r="S50" s="4">
        <v>20351.07</v>
      </c>
      <c r="T50" s="4">
        <v>5211.6660000000002</v>
      </c>
      <c r="U50" s="4">
        <v>1.5658536585365854</v>
      </c>
      <c r="V50" s="4">
        <v>1.808323359199439</v>
      </c>
      <c r="W50" s="4">
        <v>2.1958039424200728</v>
      </c>
      <c r="Y50" s="548">
        <v>105.93</v>
      </c>
      <c r="Z50" s="4">
        <v>298.185</v>
      </c>
      <c r="AA50" s="4">
        <v>78.260000000000005</v>
      </c>
      <c r="AB50" s="4">
        <v>24655</v>
      </c>
      <c r="AC50" s="4">
        <v>10010</v>
      </c>
      <c r="AD50" s="4">
        <v>53100</v>
      </c>
      <c r="AF50" s="4">
        <v>1.5658536585365854</v>
      </c>
      <c r="AG50" s="4">
        <v>1.53850321182571</v>
      </c>
      <c r="AH50" s="4">
        <v>1.9786610032362462</v>
      </c>
      <c r="AI50" s="4">
        <v>1.9028765040480986</v>
      </c>
      <c r="AJ50" s="4">
        <v>2.493150684931507</v>
      </c>
      <c r="AK50" s="4">
        <v>0.89093959731543626</v>
      </c>
      <c r="AM50" s="550">
        <v>45899</v>
      </c>
      <c r="AN50" s="551">
        <v>113.08</v>
      </c>
      <c r="AO50" s="551">
        <v>547132</v>
      </c>
      <c r="AP50" s="551">
        <v>132.3006</v>
      </c>
      <c r="AQ50" s="551">
        <v>14960.551848000001</v>
      </c>
      <c r="AR50" s="551">
        <v>0.93469999999999998</v>
      </c>
    </row>
    <row r="51" spans="2:44" x14ac:dyDescent="0.25">
      <c r="B51" s="552">
        <v>45623</v>
      </c>
      <c r="C51" s="548">
        <v>7.4282000000000004</v>
      </c>
      <c r="D51" s="548">
        <v>0</v>
      </c>
      <c r="E51" s="548">
        <v>18.6921</v>
      </c>
      <c r="F51" s="548">
        <v>32.1511</v>
      </c>
      <c r="G51" s="548">
        <v>5.6951999999999998</v>
      </c>
      <c r="H51" s="548">
        <v>3.706</v>
      </c>
      <c r="I51" s="552">
        <v>45623</v>
      </c>
      <c r="J51" s="548">
        <v>13.212899999999999</v>
      </c>
      <c r="K51" s="548">
        <v>40.232399999999998</v>
      </c>
      <c r="L51" s="548">
        <v>22.4421</v>
      </c>
      <c r="M51" s="548">
        <v>21.8492</v>
      </c>
      <c r="N51" s="548">
        <v>10.4018</v>
      </c>
      <c r="O51" s="548">
        <v>11.9254</v>
      </c>
      <c r="P51" s="548"/>
      <c r="Q51" s="552">
        <v>45623</v>
      </c>
      <c r="R51" s="4">
        <v>107.49</v>
      </c>
      <c r="S51" s="4">
        <v>20361.47</v>
      </c>
      <c r="T51" s="4">
        <v>5215.2139999999999</v>
      </c>
      <c r="U51" s="4">
        <v>1.5889135254988911</v>
      </c>
      <c r="V51" s="4">
        <v>1.8092474660368523</v>
      </c>
      <c r="W51" s="4">
        <v>2.1972988026792883</v>
      </c>
      <c r="Y51" s="548">
        <v>107.49</v>
      </c>
      <c r="Z51" s="4">
        <v>308.08100000000002</v>
      </c>
      <c r="AA51" s="4">
        <v>71.569999999999993</v>
      </c>
      <c r="AB51" s="4">
        <v>22240</v>
      </c>
      <c r="AC51" s="4">
        <v>8974</v>
      </c>
      <c r="AD51" s="4">
        <v>56300</v>
      </c>
      <c r="AF51" s="4">
        <v>1.5889135254988911</v>
      </c>
      <c r="AG51" s="4">
        <v>1.5895622113871477</v>
      </c>
      <c r="AH51" s="4">
        <v>1.8095165857605175</v>
      </c>
      <c r="AI51" s="4">
        <v>1.7164864510253381</v>
      </c>
      <c r="AJ51" s="4">
        <v>2.235118306351183</v>
      </c>
      <c r="AK51" s="4">
        <v>0.94463087248322153</v>
      </c>
      <c r="AM51" s="550">
        <v>45898</v>
      </c>
      <c r="AN51" s="551">
        <v>113.42</v>
      </c>
      <c r="AO51" s="551">
        <v>734253</v>
      </c>
      <c r="AP51" s="551">
        <v>132.3006</v>
      </c>
      <c r="AQ51" s="551">
        <v>15005.534052000001</v>
      </c>
      <c r="AR51" s="551">
        <v>0.9375</v>
      </c>
    </row>
    <row r="52" spans="2:44" x14ac:dyDescent="0.25">
      <c r="B52" s="552">
        <v>45616</v>
      </c>
      <c r="C52" s="548">
        <v>8.0443999999999996</v>
      </c>
      <c r="D52" s="548">
        <v>0</v>
      </c>
      <c r="E52" s="548">
        <v>18.290400000000002</v>
      </c>
      <c r="F52" s="548">
        <v>32.1511</v>
      </c>
      <c r="G52" s="548">
        <v>5.8993000000000002</v>
      </c>
      <c r="H52" s="548">
        <v>3.6206999999999998</v>
      </c>
      <c r="I52" s="552">
        <v>45616</v>
      </c>
      <c r="J52" s="548">
        <v>14.291600000000001</v>
      </c>
      <c r="K52" s="548">
        <v>41.972700000000003</v>
      </c>
      <c r="L52" s="548">
        <v>21.965499999999999</v>
      </c>
      <c r="M52" s="548">
        <v>21.485700000000001</v>
      </c>
      <c r="N52" s="548">
        <v>10.695</v>
      </c>
      <c r="O52" s="548">
        <v>11.7136</v>
      </c>
      <c r="P52" s="548"/>
      <c r="Q52" s="552">
        <v>45616</v>
      </c>
      <c r="R52" s="4">
        <v>106.36</v>
      </c>
      <c r="S52" s="4">
        <v>20439.05</v>
      </c>
      <c r="T52" s="4">
        <v>5432.2139999999999</v>
      </c>
      <c r="U52" s="4">
        <v>1.5722099039172208</v>
      </c>
      <c r="V52" s="4">
        <v>1.8161409476182477</v>
      </c>
      <c r="W52" s="4">
        <v>2.2887262762559062</v>
      </c>
      <c r="Y52" s="548">
        <v>106.36</v>
      </c>
      <c r="Z52" s="4">
        <v>321.40699999999998</v>
      </c>
      <c r="AA52" s="4">
        <v>70.05</v>
      </c>
      <c r="AB52" s="4">
        <v>21870</v>
      </c>
      <c r="AC52" s="4">
        <v>9227</v>
      </c>
      <c r="AD52" s="4">
        <v>55300</v>
      </c>
      <c r="AF52" s="4">
        <v>1.5722099039172208</v>
      </c>
      <c r="AG52" s="4">
        <v>1.6583184996001341</v>
      </c>
      <c r="AH52" s="4">
        <v>1.7710861650485437</v>
      </c>
      <c r="AI52" s="4">
        <v>1.6879297969390352</v>
      </c>
      <c r="AJ52" s="4">
        <v>2.2981320049813201</v>
      </c>
      <c r="AK52" s="4">
        <v>0.92785234899328861</v>
      </c>
      <c r="AM52" s="550">
        <v>45897</v>
      </c>
      <c r="AN52" s="551">
        <v>112.44</v>
      </c>
      <c r="AO52" s="551">
        <v>816389</v>
      </c>
      <c r="AP52" s="551">
        <v>132.3006</v>
      </c>
      <c r="AQ52" s="551">
        <v>14875.879464</v>
      </c>
      <c r="AR52" s="551">
        <v>0.9294</v>
      </c>
    </row>
    <row r="53" spans="2:44" x14ac:dyDescent="0.25">
      <c r="B53" s="552">
        <v>45609</v>
      </c>
      <c r="C53" s="548">
        <v>8.0051000000000005</v>
      </c>
      <c r="D53" s="548">
        <v>0</v>
      </c>
      <c r="E53" s="548">
        <v>19.294699999999999</v>
      </c>
      <c r="F53" s="548">
        <v>32.1511</v>
      </c>
      <c r="G53" s="548">
        <v>6.0122999999999998</v>
      </c>
      <c r="H53" s="548">
        <v>3.22</v>
      </c>
      <c r="I53" s="552">
        <v>45609</v>
      </c>
      <c r="J53" s="548">
        <v>14.222799999999999</v>
      </c>
      <c r="K53" s="548">
        <v>45.271299999999997</v>
      </c>
      <c r="L53" s="548">
        <v>23.157</v>
      </c>
      <c r="M53" s="548">
        <v>22.404299999999999</v>
      </c>
      <c r="N53" s="548">
        <v>10.8573</v>
      </c>
      <c r="O53" s="548">
        <v>10.7181</v>
      </c>
      <c r="P53" s="548"/>
      <c r="Q53" s="552">
        <v>45609</v>
      </c>
      <c r="R53" s="4">
        <v>105.2</v>
      </c>
      <c r="S53" s="4">
        <v>19800.740000000002</v>
      </c>
      <c r="T53" s="4">
        <v>5196.8019999999997</v>
      </c>
      <c r="U53" s="4">
        <v>1.5550628233555062</v>
      </c>
      <c r="V53" s="4">
        <v>1.7594230019077475</v>
      </c>
      <c r="W53" s="4">
        <v>2.1895413711424556</v>
      </c>
      <c r="Y53" s="548">
        <v>105.2</v>
      </c>
      <c r="Z53" s="4">
        <v>346.66699999999997</v>
      </c>
      <c r="AA53" s="4">
        <v>73.849999999999994</v>
      </c>
      <c r="AB53" s="4">
        <v>22805</v>
      </c>
      <c r="AC53" s="4">
        <v>9367</v>
      </c>
      <c r="AD53" s="4">
        <v>50600</v>
      </c>
      <c r="AF53" s="4">
        <v>1.5550628233555062</v>
      </c>
      <c r="AG53" s="4">
        <v>1.788648969378015</v>
      </c>
      <c r="AH53" s="4">
        <v>1.8671622168284789</v>
      </c>
      <c r="AI53" s="4">
        <v>1.7600932336165844</v>
      </c>
      <c r="AJ53" s="4">
        <v>2.3330012453300126</v>
      </c>
      <c r="AK53" s="4">
        <v>0.84899328859060408</v>
      </c>
      <c r="AM53" s="550">
        <v>45896</v>
      </c>
      <c r="AN53" s="551">
        <v>112.16</v>
      </c>
      <c r="AO53" s="551">
        <v>868098</v>
      </c>
      <c r="AP53" s="551">
        <v>132.3006</v>
      </c>
      <c r="AQ53" s="551">
        <v>14838.835295999999</v>
      </c>
      <c r="AR53" s="551">
        <v>0.92710000000000004</v>
      </c>
    </row>
    <row r="54" spans="2:44" x14ac:dyDescent="0.25">
      <c r="B54" s="552">
        <v>45602</v>
      </c>
      <c r="C54" s="548">
        <v>8.1416000000000004</v>
      </c>
      <c r="D54" s="548">
        <v>0</v>
      </c>
      <c r="E54" s="548">
        <v>20.068999999999999</v>
      </c>
      <c r="F54" s="548">
        <v>32.1511</v>
      </c>
      <c r="G54" s="548">
        <v>6.8779000000000003</v>
      </c>
      <c r="H54" s="548">
        <v>3.7911999999999999</v>
      </c>
      <c r="I54" s="552">
        <v>45602</v>
      </c>
      <c r="J54" s="548">
        <v>14.498200000000001</v>
      </c>
      <c r="K54" s="548">
        <v>39.168399999999998</v>
      </c>
      <c r="L54" s="548">
        <v>24.075800000000001</v>
      </c>
      <c r="M54" s="548">
        <v>23.047699999999999</v>
      </c>
      <c r="N54" s="548">
        <v>12.101000000000001</v>
      </c>
      <c r="O54" s="548">
        <v>12.1373</v>
      </c>
      <c r="P54" s="548"/>
      <c r="Q54" s="552">
        <v>45602</v>
      </c>
      <c r="R54" s="4">
        <v>103.27</v>
      </c>
      <c r="S54" s="4">
        <v>20060.689999999999</v>
      </c>
      <c r="T54" s="4">
        <v>5173.0559999999996</v>
      </c>
      <c r="U54" s="4">
        <v>1.5265336289726532</v>
      </c>
      <c r="V54" s="4">
        <v>1.782521230021743</v>
      </c>
      <c r="W54" s="4">
        <v>2.1795365933196429</v>
      </c>
      <c r="Y54" s="548">
        <v>103.27</v>
      </c>
      <c r="Z54" s="4">
        <v>299.93299999999999</v>
      </c>
      <c r="AA54" s="4">
        <v>76.78</v>
      </c>
      <c r="AB54" s="4">
        <v>23460</v>
      </c>
      <c r="AC54" s="4">
        <v>10440</v>
      </c>
      <c r="AD54" s="4">
        <v>57300</v>
      </c>
      <c r="AF54" s="4">
        <v>1.5265336289726532</v>
      </c>
      <c r="AG54" s="4">
        <v>1.5475221216108144</v>
      </c>
      <c r="AH54" s="4">
        <v>1.9412419093851132</v>
      </c>
      <c r="AI54" s="4">
        <v>1.8106462293639582</v>
      </c>
      <c r="AJ54" s="4">
        <v>2.6002490660024908</v>
      </c>
      <c r="AK54" s="4">
        <v>0.96140939597315433</v>
      </c>
      <c r="AM54" s="550">
        <v>45895</v>
      </c>
      <c r="AN54" s="551">
        <v>113.31</v>
      </c>
      <c r="AO54" s="551">
        <v>3147122</v>
      </c>
      <c r="AP54" s="551">
        <v>132.3006</v>
      </c>
      <c r="AQ54" s="551">
        <v>14990.980986</v>
      </c>
      <c r="AR54" s="551">
        <v>0.93659999999999999</v>
      </c>
    </row>
    <row r="55" spans="2:44" x14ac:dyDescent="0.25">
      <c r="B55" s="552">
        <v>45595</v>
      </c>
      <c r="C55" s="548">
        <v>8.6123999999999992</v>
      </c>
      <c r="D55" s="548">
        <v>0</v>
      </c>
      <c r="E55" s="548">
        <v>19.9818</v>
      </c>
      <c r="F55" s="548">
        <v>32.1511</v>
      </c>
      <c r="G55" s="548">
        <v>6.6882999999999999</v>
      </c>
      <c r="H55" s="548">
        <v>3.9447000000000001</v>
      </c>
      <c r="I55" s="552">
        <v>45595</v>
      </c>
      <c r="J55" s="548">
        <v>15.3245</v>
      </c>
      <c r="K55" s="548">
        <v>37.743499999999997</v>
      </c>
      <c r="L55" s="548">
        <v>23.972300000000001</v>
      </c>
      <c r="M55" s="548">
        <v>23.588100000000001</v>
      </c>
      <c r="N55" s="548">
        <v>11.8286</v>
      </c>
      <c r="O55" s="548">
        <v>12.5185</v>
      </c>
      <c r="P55" s="548"/>
      <c r="Q55" s="552">
        <v>45595</v>
      </c>
      <c r="R55" s="4">
        <v>101.97</v>
      </c>
      <c r="S55" s="4">
        <v>19852.2</v>
      </c>
      <c r="T55" s="4">
        <v>5025.8109999999997</v>
      </c>
      <c r="U55" s="4">
        <v>1.5073170731707315</v>
      </c>
      <c r="V55" s="4">
        <v>1.7639955536244092</v>
      </c>
      <c r="W55" s="4">
        <v>2.1174986285878963</v>
      </c>
      <c r="Y55" s="548">
        <v>101.97</v>
      </c>
      <c r="Z55" s="4">
        <v>289.02199999999999</v>
      </c>
      <c r="AA55" s="4">
        <v>76.45</v>
      </c>
      <c r="AB55" s="4">
        <v>24010</v>
      </c>
      <c r="AC55" s="4">
        <v>10205</v>
      </c>
      <c r="AD55" s="4">
        <v>59100</v>
      </c>
      <c r="AF55" s="4">
        <v>1.5073170731707315</v>
      </c>
      <c r="AG55" s="4">
        <v>1.491226169285143</v>
      </c>
      <c r="AH55" s="4">
        <v>1.9328984627831716</v>
      </c>
      <c r="AI55" s="4">
        <v>1.8530953097625167</v>
      </c>
      <c r="AJ55" s="4">
        <v>2.5417185554171855</v>
      </c>
      <c r="AK55" s="4">
        <v>0.99161073825503354</v>
      </c>
      <c r="AM55" s="550">
        <v>45894</v>
      </c>
      <c r="AN55" s="551">
        <v>113.31</v>
      </c>
      <c r="AO55" s="551">
        <v>3147122</v>
      </c>
      <c r="AP55" s="551">
        <v>132.3006</v>
      </c>
      <c r="AQ55" s="551">
        <v>14990.980986</v>
      </c>
      <c r="AR55" s="551">
        <v>0.93659999999999999</v>
      </c>
    </row>
    <row r="56" spans="2:44" x14ac:dyDescent="0.25">
      <c r="B56" s="552">
        <v>45588</v>
      </c>
      <c r="C56" s="548">
        <v>8.1982999999999997</v>
      </c>
      <c r="D56" s="548">
        <v>0</v>
      </c>
      <c r="E56" s="548">
        <v>19.174199999999999</v>
      </c>
      <c r="F56" s="548">
        <v>32.1511</v>
      </c>
      <c r="G56" s="548">
        <v>6.1551</v>
      </c>
      <c r="H56" s="548">
        <v>3.9447000000000001</v>
      </c>
      <c r="I56" s="552">
        <v>45588</v>
      </c>
      <c r="J56" s="548">
        <v>14.5977</v>
      </c>
      <c r="K56" s="548">
        <v>38.103299999999997</v>
      </c>
      <c r="L56" s="548">
        <v>22.846599999999999</v>
      </c>
      <c r="M56" s="548">
        <v>22.369900000000001</v>
      </c>
      <c r="N56" s="548">
        <v>11.0625</v>
      </c>
      <c r="O56" s="548">
        <v>12.5185</v>
      </c>
      <c r="P56" s="548"/>
      <c r="Q56" s="552">
        <v>45588</v>
      </c>
      <c r="R56" s="4">
        <v>98.41</v>
      </c>
      <c r="S56" s="4">
        <v>19423.060000000001</v>
      </c>
      <c r="T56" s="4">
        <v>4910.4430000000002</v>
      </c>
      <c r="U56" s="4">
        <v>1.4546932742054692</v>
      </c>
      <c r="V56" s="4">
        <v>1.7258637066813813</v>
      </c>
      <c r="W56" s="4">
        <v>2.0688912333271259</v>
      </c>
      <c r="Y56" s="548">
        <v>98.41</v>
      </c>
      <c r="Z56" s="4">
        <v>291.77800000000002</v>
      </c>
      <c r="AA56" s="4">
        <v>72.86</v>
      </c>
      <c r="AB56" s="4">
        <v>22770</v>
      </c>
      <c r="AC56" s="4">
        <v>9544</v>
      </c>
      <c r="AD56" s="4">
        <v>59100</v>
      </c>
      <c r="AF56" s="4">
        <v>1.4546932742054692</v>
      </c>
      <c r="AG56" s="4">
        <v>1.5054459149188661</v>
      </c>
      <c r="AH56" s="4">
        <v>1.8421318770226538</v>
      </c>
      <c r="AI56" s="4">
        <v>1.7573919285003126</v>
      </c>
      <c r="AJ56" s="4">
        <v>2.3770859277708594</v>
      </c>
      <c r="AK56" s="4">
        <v>0.99161073825503354</v>
      </c>
      <c r="AM56" s="550">
        <v>45893</v>
      </c>
      <c r="AN56" s="551">
        <v>113.31</v>
      </c>
      <c r="AO56" s="551">
        <v>3147122</v>
      </c>
      <c r="AP56" s="551">
        <v>132.3006</v>
      </c>
      <c r="AQ56" s="551">
        <v>14990.980986</v>
      </c>
      <c r="AR56" s="551">
        <v>0.93659999999999999</v>
      </c>
    </row>
    <row r="57" spans="2:44" x14ac:dyDescent="0.25">
      <c r="B57" s="552">
        <v>45581</v>
      </c>
      <c r="C57" s="548">
        <v>8.3638999999999992</v>
      </c>
      <c r="D57" s="548">
        <v>0</v>
      </c>
      <c r="E57" s="548">
        <v>19.514900000000001</v>
      </c>
      <c r="F57" s="548">
        <v>32.1511</v>
      </c>
      <c r="G57" s="548">
        <v>6.6036000000000001</v>
      </c>
      <c r="H57" s="548">
        <v>3.9788000000000001</v>
      </c>
      <c r="I57" s="552">
        <v>45581</v>
      </c>
      <c r="J57" s="548">
        <v>14.888400000000001</v>
      </c>
      <c r="K57" s="548">
        <v>35.133600000000001</v>
      </c>
      <c r="L57" s="548">
        <v>23.248000000000001</v>
      </c>
      <c r="M57" s="548">
        <v>23.8828</v>
      </c>
      <c r="N57" s="548">
        <v>11.706899999999999</v>
      </c>
      <c r="O57" s="548">
        <v>12.603300000000001</v>
      </c>
      <c r="P57" s="548"/>
      <c r="Q57" s="552">
        <v>45581</v>
      </c>
      <c r="R57" s="4">
        <v>94.44</v>
      </c>
      <c r="S57" s="4">
        <v>18660.78</v>
      </c>
      <c r="T57" s="4">
        <v>4625.78</v>
      </c>
      <c r="U57" s="4">
        <v>1.3960088691796007</v>
      </c>
      <c r="V57" s="4">
        <v>1.6581302297560623</v>
      </c>
      <c r="W57" s="4">
        <v>1.9489556623098878</v>
      </c>
      <c r="Y57" s="548">
        <v>94.44</v>
      </c>
      <c r="Z57" s="4">
        <v>269.03699999999998</v>
      </c>
      <c r="AA57" s="4">
        <v>74.14</v>
      </c>
      <c r="AB57" s="4">
        <v>24310</v>
      </c>
      <c r="AC57" s="4">
        <v>10100</v>
      </c>
      <c r="AD57" s="4">
        <v>59500</v>
      </c>
      <c r="AF57" s="4">
        <v>1.3960088691796007</v>
      </c>
      <c r="AG57" s="4">
        <v>1.3881123752031574</v>
      </c>
      <c r="AH57" s="4">
        <v>1.8744943365695794</v>
      </c>
      <c r="AI57" s="4">
        <v>1.8762493536162757</v>
      </c>
      <c r="AJ57" s="4">
        <v>2.5155666251556661</v>
      </c>
      <c r="AK57" s="4">
        <v>0.99832214765100669</v>
      </c>
      <c r="AM57" s="550">
        <v>45892</v>
      </c>
      <c r="AN57" s="551">
        <v>114</v>
      </c>
      <c r="AO57" s="551">
        <v>885071</v>
      </c>
      <c r="AP57" s="551">
        <v>132.3006</v>
      </c>
      <c r="AQ57" s="551">
        <v>15082.268400000001</v>
      </c>
      <c r="AR57" s="551">
        <v>0.94230000000000003</v>
      </c>
    </row>
    <row r="58" spans="2:44" x14ac:dyDescent="0.25">
      <c r="B58" s="552">
        <v>45574</v>
      </c>
      <c r="C58" s="548">
        <v>9.5015999999999998</v>
      </c>
      <c r="D58" s="548">
        <v>0</v>
      </c>
      <c r="E58" s="548">
        <v>21.836300000000001</v>
      </c>
      <c r="F58" s="548">
        <v>32.1511</v>
      </c>
      <c r="G58" s="548">
        <v>6.9626000000000001</v>
      </c>
      <c r="H58" s="548">
        <v>3.9276</v>
      </c>
      <c r="I58" s="552">
        <v>45574</v>
      </c>
      <c r="J58" s="548">
        <v>16.885300000000001</v>
      </c>
      <c r="K58" s="548">
        <v>39.177100000000003</v>
      </c>
      <c r="L58" s="548">
        <v>25.982299999999999</v>
      </c>
      <c r="M58" s="548">
        <v>25.3172</v>
      </c>
      <c r="N58" s="548">
        <v>12.2227</v>
      </c>
      <c r="O58" s="548">
        <v>12.4762</v>
      </c>
      <c r="P58" s="548"/>
      <c r="Q58" s="552">
        <v>45574</v>
      </c>
      <c r="R58" s="4">
        <v>99.58</v>
      </c>
      <c r="S58" s="4">
        <v>19516.439999999999</v>
      </c>
      <c r="T58" s="4">
        <v>5097.3469999999998</v>
      </c>
      <c r="U58" s="4">
        <v>1.4719881744271988</v>
      </c>
      <c r="V58" s="4">
        <v>1.7341611198042313</v>
      </c>
      <c r="W58" s="4">
        <v>2.1476385168357162</v>
      </c>
      <c r="Y58" s="548">
        <v>99.58</v>
      </c>
      <c r="Z58" s="4">
        <v>300</v>
      </c>
      <c r="AA58" s="4">
        <v>82.86</v>
      </c>
      <c r="AB58" s="4">
        <v>25770</v>
      </c>
      <c r="AC58" s="4">
        <v>10545</v>
      </c>
      <c r="AD58" s="4">
        <v>61300</v>
      </c>
      <c r="AF58" s="4">
        <v>1.4719881744271988</v>
      </c>
      <c r="AG58" s="4">
        <v>1.5478678120888476</v>
      </c>
      <c r="AH58" s="4">
        <v>2.0949635922330097</v>
      </c>
      <c r="AI58" s="4">
        <v>1.9889323670379031</v>
      </c>
      <c r="AJ58" s="4">
        <v>2.6264009962640098</v>
      </c>
      <c r="AK58" s="4">
        <v>1.0285234899328859</v>
      </c>
      <c r="AM58" s="550">
        <v>45891</v>
      </c>
      <c r="AN58" s="551">
        <v>113.18</v>
      </c>
      <c r="AO58" s="551">
        <v>886919</v>
      </c>
      <c r="AP58" s="551">
        <v>132.3006</v>
      </c>
      <c r="AQ58" s="551">
        <v>14973.781908000001</v>
      </c>
      <c r="AR58" s="551">
        <v>0.93559999999999999</v>
      </c>
    </row>
    <row r="59" spans="2:44" x14ac:dyDescent="0.25">
      <c r="B59" s="552">
        <v>45567</v>
      </c>
      <c r="C59" s="548">
        <v>8.2113999999999994</v>
      </c>
      <c r="D59" s="548">
        <v>0</v>
      </c>
      <c r="E59" s="548">
        <v>21.450099999999999</v>
      </c>
      <c r="F59" s="548">
        <v>32.1511</v>
      </c>
      <c r="G59" s="548">
        <v>6.4519000000000002</v>
      </c>
      <c r="H59" s="548">
        <v>4.1322999999999999</v>
      </c>
      <c r="I59" s="552">
        <v>45567</v>
      </c>
      <c r="J59" s="548">
        <v>14.6206</v>
      </c>
      <c r="K59" s="548">
        <v>31.9297</v>
      </c>
      <c r="L59" s="548">
        <v>25.5273</v>
      </c>
      <c r="M59" s="548">
        <v>24.639299999999999</v>
      </c>
      <c r="N59" s="548">
        <v>11.489000000000001</v>
      </c>
      <c r="O59" s="548">
        <v>12.984500000000001</v>
      </c>
      <c r="P59" s="548"/>
      <c r="Q59" s="552">
        <v>45567</v>
      </c>
      <c r="R59" s="4">
        <v>99.58</v>
      </c>
      <c r="S59" s="4">
        <v>19516.439999999999</v>
      </c>
      <c r="T59" s="4">
        <v>5097.3469999999998</v>
      </c>
      <c r="U59" s="4">
        <v>1.4719881744271988</v>
      </c>
      <c r="V59" s="4">
        <v>1.7341611198042313</v>
      </c>
      <c r="W59" s="4">
        <v>2.1476385168357162</v>
      </c>
      <c r="Y59" s="548">
        <v>99.58</v>
      </c>
      <c r="Z59" s="4">
        <v>218.29599999999999</v>
      </c>
      <c r="AA59" s="4">
        <v>81.409000000000006</v>
      </c>
      <c r="AB59" s="4">
        <v>25080</v>
      </c>
      <c r="AC59" s="4">
        <v>9912</v>
      </c>
      <c r="AD59" s="4">
        <v>61300</v>
      </c>
      <c r="AF59" s="4">
        <v>1.4719881744271988</v>
      </c>
      <c r="AG59" s="4">
        <v>1.1263111730258235</v>
      </c>
      <c r="AH59" s="4">
        <v>2.0582777103559873</v>
      </c>
      <c r="AI59" s="4">
        <v>1.9356780661742572</v>
      </c>
      <c r="AJ59" s="4">
        <v>2.468742216687422</v>
      </c>
      <c r="AK59" s="4">
        <v>1.0285234899328859</v>
      </c>
      <c r="AM59" s="550">
        <v>45890</v>
      </c>
      <c r="AN59" s="551">
        <v>113.05</v>
      </c>
      <c r="AO59" s="551">
        <v>847809</v>
      </c>
      <c r="AP59" s="551">
        <v>132.3006</v>
      </c>
      <c r="AQ59" s="551">
        <v>14956.582829999999</v>
      </c>
      <c r="AR59" s="551">
        <v>0.9345</v>
      </c>
    </row>
    <row r="60" spans="2:44" x14ac:dyDescent="0.25">
      <c r="B60" s="552">
        <v>45560</v>
      </c>
      <c r="C60" s="548">
        <v>8.0040999999999993</v>
      </c>
      <c r="D60" s="548">
        <v>0</v>
      </c>
      <c r="E60" s="548">
        <v>22.3901</v>
      </c>
      <c r="F60" s="548">
        <v>32.1511</v>
      </c>
      <c r="G60" s="548">
        <v>7.1614000000000004</v>
      </c>
      <c r="H60" s="548">
        <v>4.7976000000000001</v>
      </c>
      <c r="I60" s="552">
        <v>45560</v>
      </c>
      <c r="J60" s="548">
        <v>14.0428</v>
      </c>
      <c r="K60" s="548">
        <v>31.9297</v>
      </c>
      <c r="L60" s="548">
        <v>26.6829</v>
      </c>
      <c r="M60" s="548">
        <v>25.917999999999999</v>
      </c>
      <c r="N60" s="548">
        <v>11.8597</v>
      </c>
      <c r="O60" s="548">
        <v>15.2041</v>
      </c>
      <c r="P60" s="548"/>
      <c r="Q60" s="552">
        <v>45560</v>
      </c>
      <c r="R60" s="4">
        <v>97.62</v>
      </c>
      <c r="S60" s="4">
        <v>19766.490000000002</v>
      </c>
      <c r="T60" s="4">
        <v>5266.567</v>
      </c>
      <c r="U60" s="4">
        <v>1.4430155210643014</v>
      </c>
      <c r="V60" s="4">
        <v>1.7563796692941513</v>
      </c>
      <c r="W60" s="4">
        <v>2.2189350932349567</v>
      </c>
      <c r="Y60" s="548">
        <v>97.62</v>
      </c>
      <c r="Z60" s="4">
        <v>218.29599999999999</v>
      </c>
      <c r="AA60" s="4">
        <v>80.375</v>
      </c>
      <c r="AB60" s="4">
        <v>23850</v>
      </c>
      <c r="AC60" s="4">
        <v>9835</v>
      </c>
      <c r="AD60" s="4">
        <v>62200</v>
      </c>
      <c r="AF60" s="4">
        <v>1.4430155210643014</v>
      </c>
      <c r="AG60" s="4">
        <v>1.1263111730258235</v>
      </c>
      <c r="AH60" s="4">
        <v>2.0321349110032361</v>
      </c>
      <c r="AI60" s="4">
        <v>1.8407464863738452</v>
      </c>
      <c r="AJ60" s="4">
        <v>2.4495641344956414</v>
      </c>
      <c r="AK60" s="4">
        <v>1.0436241610738255</v>
      </c>
      <c r="AM60" s="550">
        <v>45889</v>
      </c>
      <c r="AN60" s="551">
        <v>114.55</v>
      </c>
      <c r="AO60" s="551">
        <v>864048</v>
      </c>
      <c r="AP60" s="551">
        <v>132.3006</v>
      </c>
      <c r="AQ60" s="551">
        <v>15155.033729999999</v>
      </c>
      <c r="AR60" s="551">
        <v>0.94689999999999996</v>
      </c>
    </row>
    <row r="61" spans="2:44" x14ac:dyDescent="0.25">
      <c r="B61" s="552">
        <v>45553</v>
      </c>
      <c r="C61" s="548">
        <v>7.4316000000000004</v>
      </c>
      <c r="D61" s="548">
        <v>0</v>
      </c>
      <c r="E61" s="548">
        <v>21.045200000000001</v>
      </c>
      <c r="F61" s="548">
        <v>32.1511</v>
      </c>
      <c r="G61" s="548">
        <v>7.0861000000000001</v>
      </c>
      <c r="H61" s="548">
        <v>4.8844000000000003</v>
      </c>
      <c r="I61" s="552">
        <v>45553</v>
      </c>
      <c r="J61" s="548">
        <v>13.085000000000001</v>
      </c>
      <c r="K61" s="548">
        <v>31.927600000000002</v>
      </c>
      <c r="L61" s="548">
        <v>25.093399999999999</v>
      </c>
      <c r="M61" s="548">
        <v>24.4129</v>
      </c>
      <c r="N61" s="548">
        <v>11.7524</v>
      </c>
      <c r="O61" s="548">
        <v>15.424099999999999</v>
      </c>
      <c r="P61" s="548"/>
      <c r="Q61" s="552">
        <v>45553</v>
      </c>
      <c r="R61" s="4">
        <v>94.95</v>
      </c>
      <c r="S61" s="4">
        <v>18542.03</v>
      </c>
      <c r="T61" s="4">
        <v>4743.8239999999996</v>
      </c>
      <c r="U61" s="4">
        <v>1.4035476718403548</v>
      </c>
      <c r="V61" s="4">
        <v>1.6475785290884839</v>
      </c>
      <c r="W61" s="4">
        <v>1.9986905226365155</v>
      </c>
      <c r="Y61" s="548">
        <v>94.95</v>
      </c>
      <c r="Z61" s="4">
        <v>218.28100000000001</v>
      </c>
      <c r="AA61" s="4">
        <v>75.587000000000003</v>
      </c>
      <c r="AB61" s="4">
        <v>22465</v>
      </c>
      <c r="AC61" s="4">
        <v>9746</v>
      </c>
      <c r="AD61" s="4">
        <v>64900</v>
      </c>
      <c r="AF61" s="4">
        <v>1.4035476718403548</v>
      </c>
      <c r="AG61" s="4">
        <v>1.1262337796352191</v>
      </c>
      <c r="AH61" s="4">
        <v>1.911079085760518</v>
      </c>
      <c r="AI61" s="4">
        <v>1.7338519839156574</v>
      </c>
      <c r="AJ61" s="4">
        <v>2.4273972602739726</v>
      </c>
      <c r="AK61" s="4">
        <v>1.0889261744966443</v>
      </c>
      <c r="AM61" s="550">
        <v>45888</v>
      </c>
      <c r="AN61" s="551">
        <v>114.44</v>
      </c>
      <c r="AO61" s="551">
        <v>543353</v>
      </c>
      <c r="AP61" s="551">
        <v>132.3006</v>
      </c>
      <c r="AQ61" s="551">
        <v>15140.480664000001</v>
      </c>
      <c r="AR61" s="551">
        <v>0.94599999999999995</v>
      </c>
    </row>
    <row r="62" spans="2:44" x14ac:dyDescent="0.25">
      <c r="B62" s="552">
        <v>45546</v>
      </c>
      <c r="C62" s="548">
        <v>7.4836</v>
      </c>
      <c r="D62" s="548">
        <v>0</v>
      </c>
      <c r="E62" s="548">
        <v>21.3536</v>
      </c>
      <c r="F62" s="548">
        <v>32.1511</v>
      </c>
      <c r="G62" s="548">
        <v>7.0049000000000001</v>
      </c>
      <c r="H62" s="548">
        <v>5.0579999999999998</v>
      </c>
      <c r="I62" s="552">
        <v>45546</v>
      </c>
      <c r="J62" s="548">
        <v>13.1721</v>
      </c>
      <c r="K62" s="548">
        <v>32.553800000000003</v>
      </c>
      <c r="L62" s="548">
        <v>25.457899999999999</v>
      </c>
      <c r="M62" s="548">
        <v>24.1358</v>
      </c>
      <c r="N62" s="548">
        <v>11.6366</v>
      </c>
      <c r="O62" s="548">
        <v>15.864100000000001</v>
      </c>
      <c r="P62" s="548"/>
      <c r="Q62" s="552">
        <v>45546</v>
      </c>
      <c r="R62" s="4">
        <v>86.64</v>
      </c>
      <c r="S62" s="4">
        <v>17895.150000000001</v>
      </c>
      <c r="T62" s="4">
        <v>4519.45</v>
      </c>
      <c r="U62" s="4">
        <v>1.2807095343680708</v>
      </c>
      <c r="V62" s="4">
        <v>1.5900990838013846</v>
      </c>
      <c r="W62" s="4">
        <v>1.9041562002573451</v>
      </c>
      <c r="Y62" s="548">
        <v>86.64</v>
      </c>
      <c r="Z62" s="4">
        <v>222.56299999999999</v>
      </c>
      <c r="AA62" s="4">
        <v>76.685000000000002</v>
      </c>
      <c r="AB62" s="4">
        <v>22210</v>
      </c>
      <c r="AC62" s="4">
        <v>9650</v>
      </c>
      <c r="AD62" s="4">
        <v>64900</v>
      </c>
      <c r="AF62" s="4">
        <v>1.2807095343680708</v>
      </c>
      <c r="AG62" s="4">
        <v>1.1483270128731007</v>
      </c>
      <c r="AH62" s="4">
        <v>1.938840008090615</v>
      </c>
      <c r="AI62" s="4">
        <v>1.7141710466399622</v>
      </c>
      <c r="AJ62" s="4">
        <v>2.4034869240348691</v>
      </c>
      <c r="AK62" s="4">
        <v>1.0889261744966443</v>
      </c>
      <c r="AM62" s="550">
        <v>45887</v>
      </c>
      <c r="AN62" s="551">
        <v>114.44</v>
      </c>
      <c r="AO62" s="551">
        <v>543353</v>
      </c>
      <c r="AP62" s="551">
        <v>132.3006</v>
      </c>
      <c r="AQ62" s="551">
        <v>15140.480664000001</v>
      </c>
      <c r="AR62" s="551">
        <v>0.94599999999999995</v>
      </c>
    </row>
    <row r="63" spans="2:44" x14ac:dyDescent="0.25">
      <c r="B63" s="552">
        <v>45539</v>
      </c>
      <c r="C63" s="548">
        <v>7.4032</v>
      </c>
      <c r="D63" s="548">
        <v>0</v>
      </c>
      <c r="E63" s="548">
        <v>21.285900000000002</v>
      </c>
      <c r="F63" s="548">
        <v>32.1511</v>
      </c>
      <c r="G63" s="548">
        <v>7.0201000000000002</v>
      </c>
      <c r="H63" s="548">
        <v>5.5498000000000003</v>
      </c>
      <c r="I63" s="552">
        <v>45539</v>
      </c>
      <c r="J63" s="548">
        <v>13.0375</v>
      </c>
      <c r="K63" s="548">
        <v>33.218000000000004</v>
      </c>
      <c r="L63" s="548">
        <v>25.3779</v>
      </c>
      <c r="M63" s="548">
        <v>24.988900000000001</v>
      </c>
      <c r="N63" s="548">
        <v>11.658300000000001</v>
      </c>
      <c r="O63" s="548">
        <v>17.110700000000001</v>
      </c>
      <c r="P63" s="548"/>
      <c r="Q63" s="552">
        <v>45539</v>
      </c>
      <c r="R63" s="4">
        <v>89.99</v>
      </c>
      <c r="S63" s="4">
        <v>19059.490000000002</v>
      </c>
      <c r="T63" s="4">
        <v>5087.6220000000003</v>
      </c>
      <c r="U63" s="4">
        <v>1.3302291204730228</v>
      </c>
      <c r="V63" s="4">
        <v>1.6935581756353901</v>
      </c>
      <c r="W63" s="4">
        <v>2.1435411335152899</v>
      </c>
      <c r="Y63" s="548">
        <v>89.99</v>
      </c>
      <c r="Z63" s="4">
        <v>227.10400000000001</v>
      </c>
      <c r="AA63" s="4">
        <v>76.444000000000003</v>
      </c>
      <c r="AB63" s="4">
        <v>22995</v>
      </c>
      <c r="AC63" s="4">
        <v>9668</v>
      </c>
      <c r="AD63" s="4">
        <v>70000</v>
      </c>
      <c r="AF63" s="4">
        <v>1.3302291204730228</v>
      </c>
      <c r="AG63" s="4">
        <v>1.1717565719887522</v>
      </c>
      <c r="AH63" s="4">
        <v>1.9327467637540454</v>
      </c>
      <c r="AI63" s="4">
        <v>1.7747574613906318</v>
      </c>
      <c r="AJ63" s="4">
        <v>2.4079701120797012</v>
      </c>
      <c r="AK63" s="4">
        <v>1.174496644295302</v>
      </c>
      <c r="AM63" s="550">
        <v>45886</v>
      </c>
      <c r="AN63" s="551">
        <v>114.44</v>
      </c>
      <c r="AO63" s="551">
        <v>543353</v>
      </c>
      <c r="AP63" s="551">
        <v>132.3006</v>
      </c>
      <c r="AQ63" s="551">
        <v>15140.480664000001</v>
      </c>
      <c r="AR63" s="551">
        <v>0.94599999999999995</v>
      </c>
    </row>
    <row r="64" spans="2:44" x14ac:dyDescent="0.25">
      <c r="B64" s="552">
        <v>45532</v>
      </c>
      <c r="C64" s="548">
        <v>8.0609000000000002</v>
      </c>
      <c r="D64" s="548">
        <v>0</v>
      </c>
      <c r="E64" s="548">
        <v>22.578099999999999</v>
      </c>
      <c r="F64" s="548">
        <v>32.1511</v>
      </c>
      <c r="G64" s="548">
        <v>8.2187999999999999</v>
      </c>
      <c r="H64" s="548">
        <v>6.1669999999999998</v>
      </c>
      <c r="I64" s="552">
        <v>45532</v>
      </c>
      <c r="J64" s="548">
        <v>14.1378</v>
      </c>
      <c r="K64" s="548">
        <v>32.925400000000003</v>
      </c>
      <c r="L64" s="548">
        <v>26.728000000000002</v>
      </c>
      <c r="M64" s="548">
        <v>28.460899999999999</v>
      </c>
      <c r="N64" s="548">
        <v>13.367000000000001</v>
      </c>
      <c r="O64" s="548">
        <v>18.6751</v>
      </c>
      <c r="P64" s="548"/>
      <c r="Q64" s="552">
        <v>45532</v>
      </c>
      <c r="R64" s="4">
        <v>90.21</v>
      </c>
      <c r="S64" s="4">
        <v>19822.87</v>
      </c>
      <c r="T64" s="4">
        <v>5477.83</v>
      </c>
      <c r="U64" s="4">
        <v>1.3334811529933479</v>
      </c>
      <c r="V64" s="4">
        <v>1.7613893946300505</v>
      </c>
      <c r="W64" s="4">
        <v>2.307945426646095</v>
      </c>
      <c r="Y64" s="548">
        <v>90.21</v>
      </c>
      <c r="Z64" s="4">
        <v>225.10400000000001</v>
      </c>
      <c r="AA64" s="4">
        <v>80.510999999999996</v>
      </c>
      <c r="AB64" s="4">
        <v>26190</v>
      </c>
      <c r="AC64" s="4">
        <v>11085</v>
      </c>
      <c r="AD64" s="4">
        <v>76400</v>
      </c>
      <c r="AF64" s="4">
        <v>1.3334811529933479</v>
      </c>
      <c r="AG64" s="4">
        <v>1.1614374532414933</v>
      </c>
      <c r="AH64" s="4">
        <v>2.035573422330097</v>
      </c>
      <c r="AI64" s="4">
        <v>2.0213480284331657</v>
      </c>
      <c r="AJ64" s="4">
        <v>2.7608966376089663</v>
      </c>
      <c r="AK64" s="4">
        <v>1.2818791946308725</v>
      </c>
      <c r="AM64" s="550">
        <v>45885</v>
      </c>
      <c r="AN64" s="551">
        <v>115.64</v>
      </c>
      <c r="AO64" s="551">
        <v>573552</v>
      </c>
      <c r="AP64" s="551">
        <v>132.3006</v>
      </c>
      <c r="AQ64" s="551">
        <v>15299.241384000001</v>
      </c>
      <c r="AR64" s="551">
        <v>0.95589999999999997</v>
      </c>
    </row>
    <row r="65" spans="2:44" x14ac:dyDescent="0.25">
      <c r="B65" s="552">
        <v>45525</v>
      </c>
      <c r="C65" s="548">
        <v>9.0449999999999999</v>
      </c>
      <c r="D65" s="548">
        <v>0</v>
      </c>
      <c r="E65" s="548">
        <v>24.507100000000001</v>
      </c>
      <c r="F65" s="548">
        <v>32.1511</v>
      </c>
      <c r="G65" s="548">
        <v>8.5655999999999999</v>
      </c>
      <c r="H65" s="548">
        <v>6.3502999999999998</v>
      </c>
      <c r="I65" s="552">
        <v>45525</v>
      </c>
      <c r="J65" s="548">
        <v>15.7843</v>
      </c>
      <c r="K65" s="548">
        <v>33.908099999999997</v>
      </c>
      <c r="L65" s="548">
        <v>28.992799999999999</v>
      </c>
      <c r="M65" s="548">
        <v>30.427800000000001</v>
      </c>
      <c r="N65" s="548">
        <v>13.8614</v>
      </c>
      <c r="O65" s="548">
        <v>19.139600000000002</v>
      </c>
      <c r="P65" s="548"/>
      <c r="Q65" s="552">
        <v>45525</v>
      </c>
      <c r="R65" s="4">
        <v>87.26</v>
      </c>
      <c r="S65" s="4">
        <v>20386.88</v>
      </c>
      <c r="T65" s="4">
        <v>5777.7070000000003</v>
      </c>
      <c r="U65" s="4">
        <v>1.2898743532889874</v>
      </c>
      <c r="V65" s="4">
        <v>1.8115053078386474</v>
      </c>
      <c r="W65" s="4">
        <v>2.4342910326080092</v>
      </c>
      <c r="Y65" s="548">
        <v>87.26</v>
      </c>
      <c r="Z65" s="4">
        <v>231.822</v>
      </c>
      <c r="AA65" s="4">
        <v>87.332999999999998</v>
      </c>
      <c r="AB65" s="4">
        <v>28000</v>
      </c>
      <c r="AC65" s="4">
        <v>11495</v>
      </c>
      <c r="AD65" s="4">
        <v>78300</v>
      </c>
      <c r="AF65" s="4">
        <v>1.2898743532889874</v>
      </c>
      <c r="AG65" s="4">
        <v>1.1960993731135361</v>
      </c>
      <c r="AH65" s="4">
        <v>2.208055218446602</v>
      </c>
      <c r="AI65" s="4">
        <v>2.1610440930175119</v>
      </c>
      <c r="AJ65" s="4">
        <v>2.8630136986301369</v>
      </c>
      <c r="AK65" s="4">
        <v>1.313758389261745</v>
      </c>
      <c r="AM65" s="550">
        <v>45884</v>
      </c>
      <c r="AN65" s="551">
        <v>115.62</v>
      </c>
      <c r="AO65" s="551">
        <v>529865</v>
      </c>
      <c r="AP65" s="551">
        <v>132.3006</v>
      </c>
      <c r="AQ65" s="551">
        <v>15296.595372000002</v>
      </c>
      <c r="AR65" s="551">
        <v>0.95569999999999999</v>
      </c>
    </row>
    <row r="66" spans="2:44" x14ac:dyDescent="0.25">
      <c r="B66" s="552">
        <v>45518</v>
      </c>
      <c r="C66" s="548">
        <v>8.9220000000000006</v>
      </c>
      <c r="D66" s="548">
        <v>0</v>
      </c>
      <c r="E66" s="548">
        <v>23.715299999999999</v>
      </c>
      <c r="F66" s="548">
        <v>32.1511</v>
      </c>
      <c r="G66" s="548">
        <v>7.9396000000000004</v>
      </c>
      <c r="H66" s="548">
        <v>6.2442000000000002</v>
      </c>
      <c r="I66" s="552">
        <v>45518</v>
      </c>
      <c r="J66" s="548">
        <v>15.5785</v>
      </c>
      <c r="K66" s="548">
        <v>34.177900000000001</v>
      </c>
      <c r="L66" s="548">
        <v>28.063199999999998</v>
      </c>
      <c r="M66" s="548">
        <v>29.585599999999999</v>
      </c>
      <c r="N66" s="548">
        <v>12.969099999999999</v>
      </c>
      <c r="O66" s="548">
        <v>18.870699999999999</v>
      </c>
      <c r="P66" s="548"/>
      <c r="Q66" s="552">
        <v>45518</v>
      </c>
      <c r="R66" s="4">
        <v>83.42</v>
      </c>
      <c r="S66" s="4">
        <v>20439.54</v>
      </c>
      <c r="T66" s="4">
        <v>5765.2049999999999</v>
      </c>
      <c r="U66" s="4">
        <v>1.233111603843311</v>
      </c>
      <c r="V66" s="4">
        <v>1.8161844872673183</v>
      </c>
      <c r="W66" s="4">
        <v>2.4290236304206592</v>
      </c>
      <c r="Y66" s="548">
        <v>83.42</v>
      </c>
      <c r="Z66" s="4">
        <v>233.667</v>
      </c>
      <c r="AA66" s="4">
        <v>84.533000000000001</v>
      </c>
      <c r="AB66" s="4">
        <v>27225</v>
      </c>
      <c r="AC66" s="4">
        <v>10755</v>
      </c>
      <c r="AD66" s="4">
        <v>77200</v>
      </c>
      <c r="AF66" s="4">
        <v>1.233111603843311</v>
      </c>
      <c r="AG66" s="4">
        <v>1.2056187601578825</v>
      </c>
      <c r="AH66" s="4">
        <v>2.1372623381877025</v>
      </c>
      <c r="AI66" s="4">
        <v>2.1012294797286346</v>
      </c>
      <c r="AJ66" s="4">
        <v>2.6787048567870486</v>
      </c>
      <c r="AK66" s="4">
        <v>1.2953020134228188</v>
      </c>
      <c r="AM66" s="550">
        <v>45883</v>
      </c>
      <c r="AN66" s="551">
        <v>114.94</v>
      </c>
      <c r="AO66" s="551">
        <v>853808</v>
      </c>
      <c r="AP66" s="551">
        <v>132.3006</v>
      </c>
      <c r="AQ66" s="551">
        <v>15206.630964</v>
      </c>
      <c r="AR66" s="551">
        <v>0.95009999999999994</v>
      </c>
    </row>
    <row r="67" spans="2:44" x14ac:dyDescent="0.25">
      <c r="B67" s="552">
        <v>45511</v>
      </c>
      <c r="C67" s="548">
        <v>7.9330999999999996</v>
      </c>
      <c r="D67" s="548">
        <v>0</v>
      </c>
      <c r="E67" s="548">
        <v>20.964700000000001</v>
      </c>
      <c r="F67" s="548">
        <v>32.1511</v>
      </c>
      <c r="G67" s="548">
        <v>7.3855000000000004</v>
      </c>
      <c r="H67" s="548">
        <v>6.0030999999999999</v>
      </c>
      <c r="I67" s="552">
        <v>45511</v>
      </c>
      <c r="J67" s="548">
        <v>13.924099999999999</v>
      </c>
      <c r="K67" s="548">
        <v>34.567999999999998</v>
      </c>
      <c r="L67" s="548">
        <v>24.8337</v>
      </c>
      <c r="M67" s="548">
        <v>27.863199999999999</v>
      </c>
      <c r="N67" s="548">
        <v>12.1792</v>
      </c>
      <c r="O67" s="548">
        <v>18.259599999999999</v>
      </c>
      <c r="P67" s="548"/>
      <c r="Q67" s="552">
        <v>45511</v>
      </c>
      <c r="R67" s="4">
        <v>85.68</v>
      </c>
      <c r="S67" s="4">
        <v>19812.22</v>
      </c>
      <c r="T67" s="4">
        <v>5477.1459999999997</v>
      </c>
      <c r="U67" s="4">
        <v>1.266518847006652</v>
      </c>
      <c r="V67" s="4">
        <v>1.7604430736859689</v>
      </c>
      <c r="W67" s="4">
        <v>2.3076572405081852</v>
      </c>
      <c r="Y67" s="548">
        <v>85.68</v>
      </c>
      <c r="Z67" s="4">
        <v>236.333</v>
      </c>
      <c r="AA67" s="4">
        <v>74.805000000000007</v>
      </c>
      <c r="AB67" s="4">
        <v>25640</v>
      </c>
      <c r="AC67" s="4">
        <v>10100</v>
      </c>
      <c r="AD67" s="4">
        <v>74700</v>
      </c>
      <c r="AF67" s="4">
        <v>1.266518847006652</v>
      </c>
      <c r="AG67" s="4">
        <v>1.2193741454479787</v>
      </c>
      <c r="AH67" s="4">
        <v>1.8913076456310682</v>
      </c>
      <c r="AI67" s="4">
        <v>1.9788989480346075</v>
      </c>
      <c r="AJ67" s="4">
        <v>2.5155666251556661</v>
      </c>
      <c r="AK67" s="4">
        <v>1.2533557046979866</v>
      </c>
      <c r="AM67" s="550">
        <v>45882</v>
      </c>
      <c r="AN67" s="551">
        <v>115.43</v>
      </c>
      <c r="AO67" s="551">
        <v>625077</v>
      </c>
      <c r="AP67" s="551">
        <v>132.3006</v>
      </c>
      <c r="AQ67" s="551">
        <v>15271.458258000001</v>
      </c>
      <c r="AR67" s="551">
        <v>0.95409999999999995</v>
      </c>
    </row>
    <row r="68" spans="2:44" x14ac:dyDescent="0.25">
      <c r="B68" s="552">
        <v>45504</v>
      </c>
      <c r="C68" s="548">
        <v>8.0405999999999995</v>
      </c>
      <c r="D68" s="548">
        <v>0</v>
      </c>
      <c r="E68" s="548">
        <v>25.861799999999999</v>
      </c>
      <c r="F68" s="548">
        <v>32.1511</v>
      </c>
      <c r="G68" s="548">
        <v>9.75</v>
      </c>
      <c r="H68" s="548">
        <v>6.8902999999999999</v>
      </c>
      <c r="I68" s="552">
        <v>45504</v>
      </c>
      <c r="J68" s="548">
        <v>14.209</v>
      </c>
      <c r="K68" s="548">
        <v>37.119500000000002</v>
      </c>
      <c r="L68" s="548">
        <v>30.583300000000001</v>
      </c>
      <c r="M68" s="548">
        <v>33.709699999999998</v>
      </c>
      <c r="N68" s="548">
        <v>15.5496</v>
      </c>
      <c r="O68" s="548">
        <v>20.508400000000002</v>
      </c>
      <c r="P68" s="548"/>
      <c r="Q68" s="552">
        <v>45504</v>
      </c>
      <c r="R68" s="4">
        <v>91.1</v>
      </c>
      <c r="S68" s="4">
        <v>19474.62</v>
      </c>
      <c r="T68" s="4">
        <v>5371.5169999999998</v>
      </c>
      <c r="U68" s="4">
        <v>1.3466371027346635</v>
      </c>
      <c r="V68" s="4">
        <v>1.7304451440407103</v>
      </c>
      <c r="W68" s="4">
        <v>2.2631531271145238</v>
      </c>
      <c r="Y68" s="548">
        <v>91.1</v>
      </c>
      <c r="Z68" s="4">
        <v>253.77799999999999</v>
      </c>
      <c r="AA68" s="4">
        <v>92.123999999999995</v>
      </c>
      <c r="AB68" s="4">
        <v>31020</v>
      </c>
      <c r="AC68" s="4">
        <v>12895</v>
      </c>
      <c r="AD68" s="4">
        <v>83900</v>
      </c>
      <c r="AF68" s="4">
        <v>1.3466371027346635</v>
      </c>
      <c r="AG68" s="4">
        <v>1.3093826587209452</v>
      </c>
      <c r="AH68" s="4">
        <v>2.3291868932038833</v>
      </c>
      <c r="AI68" s="4">
        <v>2.3941281344786867</v>
      </c>
      <c r="AJ68" s="4">
        <v>3.211706102117061</v>
      </c>
      <c r="AK68" s="4">
        <v>1.4077181208053691</v>
      </c>
      <c r="AM68" s="550">
        <v>45881</v>
      </c>
      <c r="AN68" s="551">
        <v>115.75</v>
      </c>
      <c r="AO68" s="551">
        <v>441531</v>
      </c>
      <c r="AP68" s="551">
        <v>132.3006</v>
      </c>
      <c r="AQ68" s="551">
        <v>15313.794450000001</v>
      </c>
      <c r="AR68" s="551">
        <v>0.95679999999999998</v>
      </c>
    </row>
    <row r="69" spans="2:44" x14ac:dyDescent="0.25">
      <c r="B69" s="552">
        <v>45497</v>
      </c>
      <c r="C69" s="548">
        <v>8.6839999999999993</v>
      </c>
      <c r="D69" s="548">
        <v>0</v>
      </c>
      <c r="E69" s="548">
        <v>25.540299999999998</v>
      </c>
      <c r="F69" s="548">
        <v>32.1511</v>
      </c>
      <c r="G69" s="548">
        <v>10.1349</v>
      </c>
      <c r="H69" s="548">
        <v>6.7070999999999996</v>
      </c>
      <c r="I69" s="552">
        <v>45497</v>
      </c>
      <c r="J69" s="548">
        <v>15.2935</v>
      </c>
      <c r="K69" s="548">
        <v>36.0242</v>
      </c>
      <c r="L69" s="548">
        <v>30.2058</v>
      </c>
      <c r="M69" s="548">
        <v>33.122900000000001</v>
      </c>
      <c r="N69" s="548">
        <v>16.098299999999998</v>
      </c>
      <c r="O69" s="548">
        <v>20.044</v>
      </c>
      <c r="P69" s="548"/>
      <c r="Q69" s="552">
        <v>45497</v>
      </c>
      <c r="R69" s="4">
        <v>88.49</v>
      </c>
      <c r="S69" s="4">
        <v>19902.75</v>
      </c>
      <c r="T69" s="4">
        <v>5688.098</v>
      </c>
      <c r="U69" s="4">
        <v>1.3080561714708054</v>
      </c>
      <c r="V69" s="4">
        <v>1.7684872459927972</v>
      </c>
      <c r="W69" s="4">
        <v>2.3965365419180222</v>
      </c>
      <c r="Y69" s="548">
        <v>88.49</v>
      </c>
      <c r="Z69" s="4">
        <v>246.28899999999999</v>
      </c>
      <c r="AA69" s="4">
        <v>90.986999999999995</v>
      </c>
      <c r="AB69" s="4">
        <v>30480</v>
      </c>
      <c r="AC69" s="4">
        <v>13350</v>
      </c>
      <c r="AD69" s="4">
        <v>82000</v>
      </c>
      <c r="AF69" s="4">
        <v>1.3080561714708054</v>
      </c>
      <c r="AG69" s="4">
        <v>1.2707427185718339</v>
      </c>
      <c r="AH69" s="4">
        <v>2.300439927184466</v>
      </c>
      <c r="AI69" s="4">
        <v>2.3524508555419201</v>
      </c>
      <c r="AJ69" s="4">
        <v>3.3250311332503113</v>
      </c>
      <c r="AK69" s="4">
        <v>1.3758389261744965</v>
      </c>
      <c r="AM69" s="550">
        <v>45880</v>
      </c>
      <c r="AN69" s="551">
        <v>115.75</v>
      </c>
      <c r="AO69" s="551">
        <v>441531</v>
      </c>
      <c r="AP69" s="551">
        <v>132.3006</v>
      </c>
      <c r="AQ69" s="551">
        <v>15313.794450000001</v>
      </c>
      <c r="AR69" s="551">
        <v>0.95679999999999998</v>
      </c>
    </row>
    <row r="70" spans="2:44" x14ac:dyDescent="0.25">
      <c r="B70" s="552">
        <v>45490</v>
      </c>
      <c r="C70" s="548">
        <v>10.0929</v>
      </c>
      <c r="D70" s="548">
        <v>0</v>
      </c>
      <c r="E70" s="548">
        <v>27.174900000000001</v>
      </c>
      <c r="F70" s="548">
        <v>32.1511</v>
      </c>
      <c r="G70" s="548">
        <v>11.3657</v>
      </c>
      <c r="H70" s="548">
        <v>7.1604000000000001</v>
      </c>
      <c r="I70" s="552">
        <v>45490</v>
      </c>
      <c r="J70" s="548">
        <v>17.668299999999999</v>
      </c>
      <c r="K70" s="548">
        <v>37.661299999999997</v>
      </c>
      <c r="L70" s="548">
        <v>32.125</v>
      </c>
      <c r="M70" s="548">
        <v>36.285200000000003</v>
      </c>
      <c r="N70" s="548">
        <v>17.852799999999998</v>
      </c>
      <c r="O70" s="548">
        <v>21.192900000000002</v>
      </c>
      <c r="P70" s="548"/>
      <c r="Q70" s="552">
        <v>45490</v>
      </c>
      <c r="R70" s="4">
        <v>85.76</v>
      </c>
      <c r="S70" s="4">
        <v>19074.669999999998</v>
      </c>
      <c r="T70" s="4">
        <v>5362.4</v>
      </c>
      <c r="U70" s="4">
        <v>1.26770140428677</v>
      </c>
      <c r="V70" s="4">
        <v>1.6949070161923063</v>
      </c>
      <c r="W70" s="4">
        <v>2.2593119092500165</v>
      </c>
      <c r="Y70" s="548">
        <v>85.76</v>
      </c>
      <c r="Z70" s="4">
        <v>257.48099999999999</v>
      </c>
      <c r="AA70" s="4">
        <v>96.768000000000001</v>
      </c>
      <c r="AB70" s="4">
        <v>33390</v>
      </c>
      <c r="AC70" s="4">
        <v>14805</v>
      </c>
      <c r="AD70" s="4">
        <v>86700</v>
      </c>
      <c r="AF70" s="4">
        <v>1.26770140428677</v>
      </c>
      <c r="AG70" s="4">
        <v>1.3284885070814951</v>
      </c>
      <c r="AH70" s="4">
        <v>2.4466019417475731</v>
      </c>
      <c r="AI70" s="4">
        <v>2.5770450809233831</v>
      </c>
      <c r="AJ70" s="4">
        <v>3.6874221668742218</v>
      </c>
      <c r="AK70" s="4">
        <v>1.4546979865771812</v>
      </c>
      <c r="AM70" s="550">
        <v>45879</v>
      </c>
      <c r="AN70" s="551">
        <v>115.75</v>
      </c>
      <c r="AO70" s="551">
        <v>441531</v>
      </c>
      <c r="AP70" s="551">
        <v>132.3006</v>
      </c>
      <c r="AQ70" s="551">
        <v>15313.794450000001</v>
      </c>
      <c r="AR70" s="551">
        <v>0.95679999999999998</v>
      </c>
    </row>
    <row r="71" spans="2:44" x14ac:dyDescent="0.25">
      <c r="B71" s="552">
        <v>45483</v>
      </c>
      <c r="C71" s="548">
        <v>10.8255</v>
      </c>
      <c r="D71" s="548">
        <v>0</v>
      </c>
      <c r="E71" s="548">
        <v>31.688199999999998</v>
      </c>
      <c r="F71" s="548">
        <v>32.1511</v>
      </c>
      <c r="G71" s="548">
        <v>12.833399999999999</v>
      </c>
      <c r="H71" s="548">
        <v>7.2664</v>
      </c>
      <c r="I71" s="552">
        <v>45483</v>
      </c>
      <c r="J71" s="548">
        <v>18.903199999999998</v>
      </c>
      <c r="K71" s="548">
        <v>34.625399999999999</v>
      </c>
      <c r="L71" s="548">
        <v>37.424100000000003</v>
      </c>
      <c r="M71" s="548">
        <v>41.099299999999999</v>
      </c>
      <c r="N71" s="548">
        <v>19.945</v>
      </c>
      <c r="O71" s="548">
        <v>21.4617</v>
      </c>
      <c r="P71" s="548"/>
      <c r="Q71" s="552">
        <v>45483</v>
      </c>
      <c r="R71" s="4">
        <v>85.72</v>
      </c>
      <c r="S71" s="4">
        <v>18600.97</v>
      </c>
      <c r="T71" s="4">
        <v>5152.5129999999999</v>
      </c>
      <c r="U71" s="4">
        <v>1.267110125646711</v>
      </c>
      <c r="V71" s="4">
        <v>1.6528157268766699</v>
      </c>
      <c r="W71" s="4">
        <v>2.1708813187128024</v>
      </c>
      <c r="Y71" s="548">
        <v>85.72</v>
      </c>
      <c r="Z71" s="4">
        <v>236.726</v>
      </c>
      <c r="AA71" s="4">
        <v>112.73</v>
      </c>
      <c r="AB71" s="4">
        <v>37820</v>
      </c>
      <c r="AC71" s="4">
        <v>16540</v>
      </c>
      <c r="AD71" s="4">
        <v>87800</v>
      </c>
      <c r="AF71" s="4">
        <v>1.267110125646711</v>
      </c>
      <c r="AG71" s="4">
        <v>1.2214018522818151</v>
      </c>
      <c r="AH71" s="4">
        <v>2.8501719255663431</v>
      </c>
      <c r="AI71" s="4">
        <v>2.918953128497225</v>
      </c>
      <c r="AJ71" s="4">
        <v>4.1195516811955164</v>
      </c>
      <c r="AK71" s="4">
        <v>1.4731543624161074</v>
      </c>
      <c r="AM71" s="550">
        <v>45878</v>
      </c>
      <c r="AN71" s="551">
        <v>115.75</v>
      </c>
      <c r="AO71" s="551">
        <v>441531</v>
      </c>
      <c r="AP71" s="551">
        <v>132.3006</v>
      </c>
      <c r="AQ71" s="551">
        <v>15313.794450000001</v>
      </c>
      <c r="AR71" s="551">
        <v>0.95679999999999998</v>
      </c>
    </row>
    <row r="72" spans="2:44" x14ac:dyDescent="0.25">
      <c r="B72" s="552">
        <v>45476</v>
      </c>
      <c r="C72" s="548">
        <v>10.8208</v>
      </c>
      <c r="D72" s="548">
        <v>0</v>
      </c>
      <c r="E72" s="548">
        <v>30.4283</v>
      </c>
      <c r="F72" s="548">
        <v>32.1511</v>
      </c>
      <c r="G72" s="548">
        <v>11.9663</v>
      </c>
      <c r="H72" s="548">
        <v>6.6878000000000002</v>
      </c>
      <c r="I72" s="552">
        <v>45476</v>
      </c>
      <c r="J72" s="548">
        <v>18.895299999999999</v>
      </c>
      <c r="K72" s="548">
        <v>34.601599999999998</v>
      </c>
      <c r="L72" s="548">
        <v>35.944800000000001</v>
      </c>
      <c r="M72" s="548">
        <v>39.078000000000003</v>
      </c>
      <c r="N72" s="548">
        <v>18.709</v>
      </c>
      <c r="O72" s="548">
        <v>19.995100000000001</v>
      </c>
      <c r="P72" s="548"/>
      <c r="Q72" s="552">
        <v>45476</v>
      </c>
      <c r="R72" s="4">
        <v>89.57</v>
      </c>
      <c r="S72" s="4">
        <v>18674.189999999999</v>
      </c>
      <c r="T72" s="4">
        <v>5090.3519999999999</v>
      </c>
      <c r="U72" s="4">
        <v>1.3240206947524018</v>
      </c>
      <c r="V72" s="4">
        <v>1.6593217944377652</v>
      </c>
      <c r="W72" s="4">
        <v>2.1446913501183502</v>
      </c>
      <c r="Y72" s="548">
        <v>89.57</v>
      </c>
      <c r="Z72" s="4">
        <v>236.56299999999999</v>
      </c>
      <c r="AA72" s="4">
        <v>108.274</v>
      </c>
      <c r="AB72" s="4">
        <v>35960</v>
      </c>
      <c r="AC72" s="4">
        <v>15515</v>
      </c>
      <c r="AD72" s="4">
        <v>81800</v>
      </c>
      <c r="AF72" s="4">
        <v>1.3240206947524018</v>
      </c>
      <c r="AG72" s="4">
        <v>1.2205608441039135</v>
      </c>
      <c r="AH72" s="4">
        <v>2.7375101132686086</v>
      </c>
      <c r="AI72" s="4">
        <v>2.7753980566039189</v>
      </c>
      <c r="AJ72" s="4">
        <v>3.8642590286425902</v>
      </c>
      <c r="AK72" s="4">
        <v>1.3724832214765101</v>
      </c>
      <c r="AM72" s="550">
        <v>45877</v>
      </c>
      <c r="AN72" s="551">
        <v>114.46</v>
      </c>
      <c r="AO72" s="551">
        <v>793873</v>
      </c>
      <c r="AP72" s="551">
        <v>132.3006</v>
      </c>
      <c r="AQ72" s="551">
        <v>15143.126676</v>
      </c>
      <c r="AR72" s="551">
        <v>0.94610000000000005</v>
      </c>
    </row>
    <row r="73" spans="2:44" x14ac:dyDescent="0.25">
      <c r="B73" s="552">
        <v>45469</v>
      </c>
      <c r="C73" s="548">
        <v>10.8986</v>
      </c>
      <c r="D73" s="548">
        <v>0</v>
      </c>
      <c r="E73" s="548">
        <v>31.550699999999999</v>
      </c>
      <c r="F73" s="548">
        <v>32.1511</v>
      </c>
      <c r="G73" s="548">
        <v>12.963900000000001</v>
      </c>
      <c r="H73" s="548">
        <v>8.0129000000000001</v>
      </c>
      <c r="I73" s="552">
        <v>45469</v>
      </c>
      <c r="J73" s="548">
        <v>16.5063</v>
      </c>
      <c r="K73" s="548">
        <v>38.0062</v>
      </c>
      <c r="L73" s="548">
        <v>37.668199999999999</v>
      </c>
      <c r="M73" s="548">
        <v>45.445900000000002</v>
      </c>
      <c r="N73" s="548">
        <v>20.604800000000001</v>
      </c>
      <c r="O73" s="548">
        <v>28.034500000000001</v>
      </c>
      <c r="P73" s="548"/>
      <c r="Q73" s="552">
        <v>45469</v>
      </c>
      <c r="R73" s="4">
        <v>89.57</v>
      </c>
      <c r="S73" s="4">
        <v>18674.189999999999</v>
      </c>
      <c r="T73" s="4">
        <v>5090.3519999999999</v>
      </c>
      <c r="U73" s="4">
        <v>1.3240206947524018</v>
      </c>
      <c r="V73" s="4">
        <v>1.6593217944377652</v>
      </c>
      <c r="W73" s="4">
        <v>2.1446913501183502</v>
      </c>
      <c r="Y73" s="548">
        <v>89.57</v>
      </c>
      <c r="Z73" s="4">
        <v>236.70400000000001</v>
      </c>
      <c r="AA73" s="4">
        <v>105.57599999999999</v>
      </c>
      <c r="AB73" s="4">
        <v>35650</v>
      </c>
      <c r="AC73" s="4">
        <v>15270</v>
      </c>
      <c r="AD73" s="4">
        <v>81300</v>
      </c>
      <c r="AF73" s="4">
        <v>1.3240206947524018</v>
      </c>
      <c r="AG73" s="4">
        <v>1.2212883419755953</v>
      </c>
      <c r="AH73" s="4">
        <v>2.6692961165048543</v>
      </c>
      <c r="AI73" s="4">
        <v>2.7514722112883678</v>
      </c>
      <c r="AJ73" s="4">
        <v>3.8032378580323787</v>
      </c>
      <c r="AK73" s="4">
        <v>1.3640939597315436</v>
      </c>
      <c r="AM73" s="550">
        <v>45876</v>
      </c>
      <c r="AN73" s="551">
        <v>113.96</v>
      </c>
      <c r="AO73" s="551">
        <v>659956</v>
      </c>
      <c r="AP73" s="551">
        <v>132.3006</v>
      </c>
      <c r="AQ73" s="551">
        <v>15076.976375999999</v>
      </c>
      <c r="AR73" s="551">
        <v>0.94199999999999995</v>
      </c>
    </row>
    <row r="74" spans="2:44" x14ac:dyDescent="0.25">
      <c r="B74" s="552">
        <v>45462</v>
      </c>
      <c r="C74" s="548">
        <v>11.4634</v>
      </c>
      <c r="D74" s="548">
        <v>0</v>
      </c>
      <c r="E74" s="548">
        <v>31.717400000000001</v>
      </c>
      <c r="F74" s="548">
        <v>31.298100000000002</v>
      </c>
      <c r="G74" s="548">
        <v>12.373699999999999</v>
      </c>
      <c r="H74" s="548">
        <v>8.0013000000000005</v>
      </c>
      <c r="I74" s="552">
        <v>45462</v>
      </c>
      <c r="J74" s="548">
        <v>17.366299999999999</v>
      </c>
      <c r="K74" s="548">
        <v>39.112400000000001</v>
      </c>
      <c r="L74" s="548">
        <v>37.866199999999999</v>
      </c>
      <c r="M74" s="548">
        <v>44.273099999999999</v>
      </c>
      <c r="N74" s="548">
        <v>19.781700000000001</v>
      </c>
      <c r="O74" s="548">
        <v>28</v>
      </c>
      <c r="P74" s="548"/>
      <c r="Q74" s="552">
        <v>45462</v>
      </c>
      <c r="R74" s="4">
        <v>92</v>
      </c>
      <c r="S74" s="4">
        <v>18198.61</v>
      </c>
      <c r="T74" s="4">
        <v>4823.0879999999997</v>
      </c>
      <c r="U74" s="4">
        <v>1.359940872135994</v>
      </c>
      <c r="V74" s="4">
        <v>1.6170634550399809</v>
      </c>
      <c r="W74" s="4">
        <v>2.0320864086529995</v>
      </c>
      <c r="Y74" s="548">
        <v>92</v>
      </c>
      <c r="Z74" s="4">
        <v>243.59299999999999</v>
      </c>
      <c r="AA74" s="4">
        <v>103.76300000000001</v>
      </c>
      <c r="AB74" s="4">
        <v>34730</v>
      </c>
      <c r="AC74" s="4">
        <v>14660</v>
      </c>
      <c r="AD74" s="4">
        <v>81200</v>
      </c>
      <c r="AF74" s="4">
        <v>1.359940872135994</v>
      </c>
      <c r="AG74" s="4">
        <v>1.2568325465005288</v>
      </c>
      <c r="AH74" s="4">
        <v>2.6234577265372172</v>
      </c>
      <c r="AI74" s="4">
        <v>2.6804664768035069</v>
      </c>
      <c r="AJ74" s="4">
        <v>3.6513075965130759</v>
      </c>
      <c r="AK74" s="4">
        <v>1.3624161073825503</v>
      </c>
      <c r="AM74" s="550">
        <v>45875</v>
      </c>
      <c r="AN74" s="551">
        <v>112.86</v>
      </c>
      <c r="AO74" s="551">
        <v>807045</v>
      </c>
      <c r="AP74" s="551">
        <v>132.3006</v>
      </c>
      <c r="AQ74" s="551">
        <v>14931.445716</v>
      </c>
      <c r="AR74" s="551">
        <v>0.93289999999999995</v>
      </c>
    </row>
    <row r="75" spans="2:44" x14ac:dyDescent="0.25">
      <c r="B75" s="552">
        <v>45455</v>
      </c>
      <c r="C75" s="548">
        <v>12.2263</v>
      </c>
      <c r="D75" s="548">
        <v>0</v>
      </c>
      <c r="E75" s="548">
        <v>31.0062</v>
      </c>
      <c r="F75" s="548">
        <v>32.012099999999997</v>
      </c>
      <c r="G75" s="548">
        <v>12.93</v>
      </c>
      <c r="H75" s="548">
        <v>7.4572000000000003</v>
      </c>
      <c r="I75" s="552">
        <v>45455</v>
      </c>
      <c r="J75" s="548">
        <v>18.528099999999998</v>
      </c>
      <c r="K75" s="548">
        <v>38.659199999999998</v>
      </c>
      <c r="L75" s="548">
        <v>37.0214</v>
      </c>
      <c r="M75" s="548">
        <v>45.254600000000003</v>
      </c>
      <c r="N75" s="548">
        <v>20.557600000000001</v>
      </c>
      <c r="O75" s="548">
        <v>26.379300000000001</v>
      </c>
      <c r="P75" s="548"/>
      <c r="Q75" s="552">
        <v>45455</v>
      </c>
      <c r="R75" s="4">
        <v>96.29</v>
      </c>
      <c r="S75" s="4">
        <v>18093.57</v>
      </c>
      <c r="T75" s="4">
        <v>4820.4470000000001</v>
      </c>
      <c r="U75" s="4">
        <v>1.4233555062823355</v>
      </c>
      <c r="V75" s="4">
        <v>1.6077299759821078</v>
      </c>
      <c r="W75" s="4">
        <v>2.0309736899538482</v>
      </c>
      <c r="Y75" s="548">
        <v>96.29</v>
      </c>
      <c r="Z75" s="4">
        <v>240.77</v>
      </c>
      <c r="AA75" s="4">
        <v>103.76300000000001</v>
      </c>
      <c r="AB75" s="4">
        <v>35500</v>
      </c>
      <c r="AC75" s="4">
        <v>15235</v>
      </c>
      <c r="AD75" s="4">
        <v>76500</v>
      </c>
      <c r="AF75" s="4">
        <v>1.4233555062823355</v>
      </c>
      <c r="AG75" s="4">
        <v>1.2422671103887728</v>
      </c>
      <c r="AH75" s="4">
        <v>2.6234577265372172</v>
      </c>
      <c r="AI75" s="4">
        <v>2.7398951893614885</v>
      </c>
      <c r="AJ75" s="4">
        <v>3.7945205479452055</v>
      </c>
      <c r="AK75" s="4">
        <v>1.2835570469798658</v>
      </c>
      <c r="AM75" s="550">
        <v>45874</v>
      </c>
      <c r="AN75" s="551">
        <v>112.79</v>
      </c>
      <c r="AO75" s="551">
        <v>1045542</v>
      </c>
      <c r="AP75" s="551">
        <v>132.3006</v>
      </c>
      <c r="AQ75" s="551">
        <v>14922.184674000002</v>
      </c>
      <c r="AR75" s="551">
        <v>0.94059999999999999</v>
      </c>
    </row>
    <row r="76" spans="2:44" x14ac:dyDescent="0.25">
      <c r="B76" s="552">
        <v>45448</v>
      </c>
      <c r="C76" s="548">
        <v>11.4337</v>
      </c>
      <c r="D76" s="548">
        <v>0</v>
      </c>
      <c r="E76" s="548">
        <v>29.026599999999998</v>
      </c>
      <c r="F76" s="548">
        <v>30.194800000000001</v>
      </c>
      <c r="G76" s="548">
        <v>12.417299999999999</v>
      </c>
      <c r="H76" s="548">
        <v>7.5613999999999999</v>
      </c>
      <c r="I76" s="552">
        <v>45448</v>
      </c>
      <c r="J76" s="548">
        <v>17.321100000000001</v>
      </c>
      <c r="K76" s="548">
        <v>37.462699999999998</v>
      </c>
      <c r="L76" s="548">
        <v>34.669800000000002</v>
      </c>
      <c r="M76" s="548">
        <v>42.756100000000004</v>
      </c>
      <c r="N76" s="548">
        <v>19.842400000000001</v>
      </c>
      <c r="O76" s="548">
        <v>26.689699999999998</v>
      </c>
      <c r="P76" s="548"/>
      <c r="Q76" s="552">
        <v>45448</v>
      </c>
      <c r="R76" s="4">
        <v>93.98</v>
      </c>
      <c r="S76" s="4">
        <v>17782.72</v>
      </c>
      <c r="T76" s="4">
        <v>4765.7939999999999</v>
      </c>
      <c r="U76" s="4">
        <v>1.3892091648189209</v>
      </c>
      <c r="V76" s="4">
        <v>1.580108955750388</v>
      </c>
      <c r="W76" s="4">
        <v>2.0079470276801943</v>
      </c>
      <c r="Y76" s="548">
        <v>93.98</v>
      </c>
      <c r="Z76" s="4">
        <v>233.31899999999999</v>
      </c>
      <c r="AA76" s="4">
        <v>97.171999999999997</v>
      </c>
      <c r="AB76" s="4">
        <v>33540</v>
      </c>
      <c r="AC76" s="4">
        <v>14705</v>
      </c>
      <c r="AD76" s="4">
        <v>77400</v>
      </c>
      <c r="AF76" s="4">
        <v>1.3892091648189209</v>
      </c>
      <c r="AG76" s="4">
        <v>1.2038232334958594</v>
      </c>
      <c r="AH76" s="4">
        <v>2.4568163430420711</v>
      </c>
      <c r="AI76" s="4">
        <v>2.5886221028502625</v>
      </c>
      <c r="AJ76" s="4">
        <v>3.6625155666251556</v>
      </c>
      <c r="AK76" s="4">
        <v>1.2986577181208054</v>
      </c>
      <c r="AM76" s="550">
        <v>45873</v>
      </c>
      <c r="AN76" s="551">
        <v>112.79</v>
      </c>
      <c r="AO76" s="551">
        <v>1045542</v>
      </c>
      <c r="AP76" s="551">
        <v>132.3006</v>
      </c>
      <c r="AQ76" s="551">
        <v>14922.184674000002</v>
      </c>
      <c r="AR76" s="551">
        <v>0.94059999999999999</v>
      </c>
    </row>
    <row r="77" spans="2:44" x14ac:dyDescent="0.25">
      <c r="B77" s="552">
        <v>45441</v>
      </c>
      <c r="C77" s="548">
        <v>11.2652</v>
      </c>
      <c r="D77" s="548">
        <v>0</v>
      </c>
      <c r="E77" s="548">
        <v>28.471599999999999</v>
      </c>
      <c r="F77" s="548">
        <v>31.9008</v>
      </c>
      <c r="G77" s="548">
        <v>12.838100000000001</v>
      </c>
      <c r="H77" s="548">
        <v>7.3067000000000002</v>
      </c>
      <c r="I77" s="552">
        <v>45441</v>
      </c>
      <c r="J77" s="548">
        <v>17.064599999999999</v>
      </c>
      <c r="K77" s="548">
        <v>35.526400000000002</v>
      </c>
      <c r="L77" s="548">
        <v>34.010399999999997</v>
      </c>
      <c r="M77" s="548">
        <v>45.101700000000001</v>
      </c>
      <c r="N77" s="548">
        <v>20.429400000000001</v>
      </c>
      <c r="O77" s="548">
        <v>25.931000000000001</v>
      </c>
      <c r="P77" s="548"/>
      <c r="Q77" s="552">
        <v>45441</v>
      </c>
      <c r="R77" s="4">
        <v>92.65</v>
      </c>
      <c r="S77" s="4">
        <v>17210.89</v>
      </c>
      <c r="T77" s="4">
        <v>4381.9170000000004</v>
      </c>
      <c r="U77" s="4">
        <v>1.369549150036955</v>
      </c>
      <c r="V77" s="4">
        <v>1.5292981852851979</v>
      </c>
      <c r="W77" s="4">
        <v>1.8462101416241061</v>
      </c>
      <c r="Y77" s="548">
        <v>92.65</v>
      </c>
      <c r="Z77" s="4">
        <v>221.25899999999999</v>
      </c>
      <c r="AA77" s="4">
        <v>95.323999999999998</v>
      </c>
      <c r="AB77" s="4">
        <v>35380</v>
      </c>
      <c r="AC77" s="4">
        <v>15140</v>
      </c>
      <c r="AD77" s="4">
        <v>75200</v>
      </c>
      <c r="AF77" s="4">
        <v>1.369549150036955</v>
      </c>
      <c r="AG77" s="4">
        <v>1.1415989474498878</v>
      </c>
      <c r="AH77" s="4">
        <v>2.4100930420711975</v>
      </c>
      <c r="AI77" s="4">
        <v>2.7306335718199848</v>
      </c>
      <c r="AJ77" s="4">
        <v>3.7708592777085927</v>
      </c>
      <c r="AK77" s="4">
        <v>1.261744966442953</v>
      </c>
      <c r="AM77" s="550">
        <v>45872</v>
      </c>
      <c r="AN77" s="551">
        <v>112.79</v>
      </c>
      <c r="AO77" s="551">
        <v>1045542</v>
      </c>
      <c r="AP77" s="551">
        <v>132.3006</v>
      </c>
      <c r="AQ77" s="551">
        <v>14922.184674000002</v>
      </c>
      <c r="AR77" s="551">
        <v>0.94059999999999999</v>
      </c>
    </row>
    <row r="78" spans="2:44" x14ac:dyDescent="0.25">
      <c r="B78" s="552">
        <v>45434</v>
      </c>
      <c r="C78" s="548">
        <v>11.270200000000001</v>
      </c>
      <c r="D78" s="548">
        <v>0</v>
      </c>
      <c r="E78" s="548">
        <v>28.847899999999999</v>
      </c>
      <c r="F78" s="548">
        <v>32.642499999999998</v>
      </c>
      <c r="G78" s="548">
        <v>13.1913</v>
      </c>
      <c r="H78" s="548">
        <v>7.5960999999999999</v>
      </c>
      <c r="I78" s="552">
        <v>45434</v>
      </c>
      <c r="J78" s="548">
        <v>17.072099999999999</v>
      </c>
      <c r="K78" s="548">
        <v>34.8675</v>
      </c>
      <c r="L78" s="548">
        <v>34.457500000000003</v>
      </c>
      <c r="M78" s="548">
        <v>46.121499999999997</v>
      </c>
      <c r="N78" s="548">
        <v>20.921900000000001</v>
      </c>
      <c r="O78" s="548">
        <v>26.793099999999999</v>
      </c>
      <c r="P78" s="548"/>
      <c r="Q78" s="552">
        <v>45434</v>
      </c>
      <c r="R78" s="4">
        <v>93.69</v>
      </c>
      <c r="S78" s="4">
        <v>17706.830000000002</v>
      </c>
      <c r="T78" s="4">
        <v>4679.0969999999998</v>
      </c>
      <c r="U78" s="4">
        <v>1.3849223946784921</v>
      </c>
      <c r="V78" s="4">
        <v>1.5733656415300723</v>
      </c>
      <c r="W78" s="4">
        <v>1.971419434700139</v>
      </c>
      <c r="Y78" s="548">
        <v>93.69</v>
      </c>
      <c r="Z78" s="4">
        <v>217.15600000000001</v>
      </c>
      <c r="AA78" s="4">
        <v>96.576999999999998</v>
      </c>
      <c r="AB78" s="4">
        <v>36180</v>
      </c>
      <c r="AC78" s="4">
        <v>15505</v>
      </c>
      <c r="AD78" s="4">
        <v>77700</v>
      </c>
      <c r="AF78" s="4">
        <v>1.3849223946784921</v>
      </c>
      <c r="AG78" s="4">
        <v>1.1204292753398861</v>
      </c>
      <c r="AH78" s="4">
        <v>2.4417728559870548</v>
      </c>
      <c r="AI78" s="4">
        <v>2.7923776887633425</v>
      </c>
      <c r="AJ78" s="4">
        <v>3.8617683686176836</v>
      </c>
      <c r="AK78" s="4">
        <v>1.3036912751677852</v>
      </c>
      <c r="AM78" s="550">
        <v>45871</v>
      </c>
      <c r="AN78" s="551">
        <v>112.21</v>
      </c>
      <c r="AO78" s="551">
        <v>410391</v>
      </c>
      <c r="AP78" s="551">
        <v>132.3006</v>
      </c>
      <c r="AQ78" s="551">
        <v>14845.450326</v>
      </c>
      <c r="AR78" s="551">
        <v>0.93579999999999997</v>
      </c>
    </row>
    <row r="79" spans="2:44" x14ac:dyDescent="0.25">
      <c r="B79" s="552">
        <v>45427</v>
      </c>
      <c r="C79" s="548">
        <v>11.884499999999999</v>
      </c>
      <c r="D79" s="548">
        <v>0</v>
      </c>
      <c r="E79" s="548">
        <v>28.306699999999999</v>
      </c>
      <c r="F79" s="548">
        <v>31.761700000000001</v>
      </c>
      <c r="G79" s="548">
        <v>13.2058</v>
      </c>
      <c r="H79" s="548">
        <v>7.6539999999999999</v>
      </c>
      <c r="I79" s="552">
        <v>45427</v>
      </c>
      <c r="J79" s="548">
        <v>18.0076</v>
      </c>
      <c r="K79" s="548">
        <v>34.497599999999998</v>
      </c>
      <c r="L79" s="548">
        <v>33.814500000000002</v>
      </c>
      <c r="M79" s="548">
        <v>44.910400000000003</v>
      </c>
      <c r="N79" s="548">
        <v>20.9421</v>
      </c>
      <c r="O79" s="548">
        <v>26.965499999999999</v>
      </c>
      <c r="P79" s="548"/>
      <c r="Q79" s="552">
        <v>45427</v>
      </c>
      <c r="R79" s="4">
        <v>97.71</v>
      </c>
      <c r="S79" s="4">
        <v>18100.189999999999</v>
      </c>
      <c r="T79" s="4">
        <v>4825.3890000000001</v>
      </c>
      <c r="U79" s="4">
        <v>1.4443458980044344</v>
      </c>
      <c r="V79" s="4">
        <v>1.6083182055266918</v>
      </c>
      <c r="W79" s="4">
        <v>2.0330558769327221</v>
      </c>
      <c r="Y79" s="548">
        <v>97.71</v>
      </c>
      <c r="Z79" s="4">
        <v>214.852</v>
      </c>
      <c r="AA79" s="4">
        <v>94.775000000000006</v>
      </c>
      <c r="AB79" s="4">
        <v>35230</v>
      </c>
      <c r="AC79" s="4">
        <v>15520</v>
      </c>
      <c r="AD79" s="4">
        <v>81300</v>
      </c>
      <c r="AF79" s="4">
        <v>1.4443458980044344</v>
      </c>
      <c r="AG79" s="4">
        <v>1.1085416505430437</v>
      </c>
      <c r="AH79" s="4">
        <v>2.3962125809061492</v>
      </c>
      <c r="AI79" s="4">
        <v>2.7190565498931054</v>
      </c>
      <c r="AJ79" s="4">
        <v>3.8655043586550435</v>
      </c>
      <c r="AK79" s="4">
        <v>1.3640939597315436</v>
      </c>
      <c r="AM79" s="550">
        <v>45870</v>
      </c>
      <c r="AN79" s="551">
        <v>111.06</v>
      </c>
      <c r="AO79" s="551">
        <v>852013</v>
      </c>
      <c r="AP79" s="551">
        <v>132.3006</v>
      </c>
      <c r="AQ79" s="551">
        <v>14693.304636000001</v>
      </c>
      <c r="AR79" s="551">
        <v>0.92620000000000002</v>
      </c>
    </row>
    <row r="80" spans="2:44" x14ac:dyDescent="0.25">
      <c r="B80" s="552">
        <v>45420</v>
      </c>
      <c r="C80" s="548">
        <v>12.7217</v>
      </c>
      <c r="D80" s="548">
        <v>0</v>
      </c>
      <c r="E80" s="548">
        <v>27.2714</v>
      </c>
      <c r="F80" s="548">
        <v>32.735300000000002</v>
      </c>
      <c r="G80" s="548">
        <v>15.121499999999999</v>
      </c>
      <c r="H80" s="548">
        <v>8.0129000000000001</v>
      </c>
      <c r="I80" s="552">
        <v>45420</v>
      </c>
      <c r="J80" s="548">
        <v>19.282499999999999</v>
      </c>
      <c r="K80" s="548">
        <v>37.204599999999999</v>
      </c>
      <c r="L80" s="548">
        <v>32.584699999999998</v>
      </c>
      <c r="M80" s="548">
        <v>46.249000000000002</v>
      </c>
      <c r="N80" s="548">
        <v>23.613900000000001</v>
      </c>
      <c r="O80" s="548">
        <v>28.034500000000001</v>
      </c>
      <c r="P80" s="548"/>
      <c r="Q80" s="552">
        <v>45420</v>
      </c>
      <c r="R80" s="4">
        <v>97.74</v>
      </c>
      <c r="S80" s="4">
        <v>18293.2</v>
      </c>
      <c r="T80" s="4">
        <v>4962.1019999999999</v>
      </c>
      <c r="U80" s="4">
        <v>1.4447893569844787</v>
      </c>
      <c r="V80" s="4">
        <v>1.6254683844391071</v>
      </c>
      <c r="W80" s="4">
        <v>2.0906564492602802</v>
      </c>
      <c r="Y80" s="548">
        <v>97.74</v>
      </c>
      <c r="Z80" s="4">
        <v>231.71100000000001</v>
      </c>
      <c r="AA80" s="4">
        <v>91.328000000000003</v>
      </c>
      <c r="AB80" s="4">
        <v>36280</v>
      </c>
      <c r="AC80" s="4">
        <v>17500</v>
      </c>
      <c r="AD80" s="4">
        <v>81300</v>
      </c>
      <c r="AF80" s="4">
        <v>1.4447893569844787</v>
      </c>
      <c r="AG80" s="4">
        <v>1.1955266620230633</v>
      </c>
      <c r="AH80" s="4">
        <v>2.3090614886731391</v>
      </c>
      <c r="AI80" s="4">
        <v>2.8000957033812619</v>
      </c>
      <c r="AJ80" s="4">
        <v>4.3586550435865501</v>
      </c>
      <c r="AK80" s="4">
        <v>1.3640939597315436</v>
      </c>
      <c r="AM80" s="550">
        <v>45869</v>
      </c>
      <c r="AN80" s="551">
        <v>112.36</v>
      </c>
      <c r="AO80" s="551">
        <v>852791</v>
      </c>
      <c r="AP80" s="551">
        <v>132.3006</v>
      </c>
      <c r="AQ80" s="551">
        <v>14865.295416000001</v>
      </c>
      <c r="AR80" s="551">
        <v>0.93700000000000006</v>
      </c>
    </row>
    <row r="81" spans="2:44" x14ac:dyDescent="0.25">
      <c r="B81" s="552">
        <v>45413</v>
      </c>
      <c r="C81" s="548">
        <v>12.222799999999999</v>
      </c>
      <c r="D81" s="548">
        <v>0</v>
      </c>
      <c r="E81" s="548">
        <v>25.9145</v>
      </c>
      <c r="F81" s="548">
        <v>31.492799999999999</v>
      </c>
      <c r="G81" s="548">
        <v>14.1539</v>
      </c>
      <c r="H81" s="548">
        <v>7.6308999999999996</v>
      </c>
      <c r="I81" s="552">
        <v>45413</v>
      </c>
      <c r="J81" s="548">
        <v>18.799700000000001</v>
      </c>
      <c r="K81" s="548">
        <v>36.275700000000001</v>
      </c>
      <c r="L81" s="548">
        <v>30.9727</v>
      </c>
      <c r="M81" s="548">
        <v>44.540799999999997</v>
      </c>
      <c r="N81" s="548">
        <v>22.264500000000002</v>
      </c>
      <c r="O81" s="548">
        <v>26.896599999999999</v>
      </c>
      <c r="P81" s="548"/>
      <c r="Q81" s="552">
        <v>45413</v>
      </c>
      <c r="R81" s="4">
        <v>95.85</v>
      </c>
      <c r="S81" s="4">
        <v>18277.060000000001</v>
      </c>
      <c r="T81" s="4">
        <v>4891.4920000000002</v>
      </c>
      <c r="U81" s="4">
        <v>1.4168514412416851</v>
      </c>
      <c r="V81" s="4">
        <v>1.6240342417125833</v>
      </c>
      <c r="W81" s="4">
        <v>2.0609067077430225</v>
      </c>
      <c r="Y81" s="548">
        <v>95.85</v>
      </c>
      <c r="Z81" s="4">
        <v>225.92599999999999</v>
      </c>
      <c r="AA81" s="4">
        <v>86.81</v>
      </c>
      <c r="AB81" s="4">
        <v>34940</v>
      </c>
      <c r="AC81" s="4">
        <v>16500</v>
      </c>
      <c r="AD81" s="4">
        <v>78600</v>
      </c>
      <c r="AF81" s="4">
        <v>1.4168514412416851</v>
      </c>
      <c r="AG81" s="4">
        <v>1.1656786110466166</v>
      </c>
      <c r="AH81" s="4">
        <v>2.1948321197411005</v>
      </c>
      <c r="AI81" s="4">
        <v>2.6966743075011381</v>
      </c>
      <c r="AJ81" s="4">
        <v>4.1095890410958908</v>
      </c>
      <c r="AK81" s="4">
        <v>1.3187919463087248</v>
      </c>
      <c r="AM81" s="550">
        <v>45868</v>
      </c>
      <c r="AN81" s="551">
        <v>111.54</v>
      </c>
      <c r="AO81" s="551">
        <v>1031061</v>
      </c>
      <c r="AP81" s="551">
        <v>132.3006</v>
      </c>
      <c r="AQ81" s="551">
        <v>14756.808924000001</v>
      </c>
      <c r="AR81" s="551">
        <v>0.93020000000000003</v>
      </c>
    </row>
    <row r="82" spans="2:44" x14ac:dyDescent="0.25">
      <c r="B82" s="552">
        <v>45406</v>
      </c>
      <c r="C82" s="548">
        <v>13.799300000000001</v>
      </c>
      <c r="D82" s="548">
        <v>0</v>
      </c>
      <c r="E82" s="548">
        <v>26.493300000000001</v>
      </c>
      <c r="F82" s="548">
        <v>31.372299999999999</v>
      </c>
      <c r="G82" s="548">
        <v>14.5313</v>
      </c>
      <c r="H82" s="548">
        <v>7.7003000000000004</v>
      </c>
      <c r="I82" s="552">
        <v>45406</v>
      </c>
      <c r="J82" s="548">
        <v>21.2364</v>
      </c>
      <c r="K82" s="548">
        <v>36.275700000000001</v>
      </c>
      <c r="L82" s="548">
        <v>31.5718</v>
      </c>
      <c r="M82" s="548">
        <v>44.375</v>
      </c>
      <c r="N82" s="548">
        <v>22.790800000000001</v>
      </c>
      <c r="O82" s="548">
        <v>27.103400000000001</v>
      </c>
      <c r="P82" s="548"/>
      <c r="Q82" s="552">
        <v>45406</v>
      </c>
      <c r="R82" s="4">
        <v>91.59</v>
      </c>
      <c r="S82" s="4">
        <v>17985.009999999998</v>
      </c>
      <c r="T82" s="4">
        <v>4757.6030000000001</v>
      </c>
      <c r="U82" s="4">
        <v>1.3538802660753879</v>
      </c>
      <c r="V82" s="4">
        <v>1.598083722302341</v>
      </c>
      <c r="W82" s="4">
        <v>2.0044959565462492</v>
      </c>
      <c r="Y82" s="548">
        <v>91.59</v>
      </c>
      <c r="Z82" s="4">
        <v>225.92599999999999</v>
      </c>
      <c r="AA82" s="4">
        <v>88.489000000000004</v>
      </c>
      <c r="AB82" s="4">
        <v>34810</v>
      </c>
      <c r="AC82" s="4">
        <v>16890</v>
      </c>
      <c r="AD82" s="4">
        <v>78600</v>
      </c>
      <c r="AF82" s="4">
        <v>1.3538802660753879</v>
      </c>
      <c r="AG82" s="4">
        <v>1.1656786110466166</v>
      </c>
      <c r="AH82" s="4">
        <v>2.2372825647249193</v>
      </c>
      <c r="AI82" s="4">
        <v>2.6866408884978425</v>
      </c>
      <c r="AJ82" s="4">
        <v>4.2067247820672478</v>
      </c>
      <c r="AK82" s="4">
        <v>1.3187919463087248</v>
      </c>
      <c r="AM82" s="550">
        <v>45867</v>
      </c>
      <c r="AN82" s="551">
        <v>109.56</v>
      </c>
      <c r="AO82" s="551">
        <v>4759509</v>
      </c>
      <c r="AP82" s="551">
        <v>132.3006</v>
      </c>
      <c r="AQ82" s="551">
        <v>14494.853736000001</v>
      </c>
      <c r="AR82" s="551">
        <v>0.91369999999999996</v>
      </c>
    </row>
    <row r="83" spans="2:44" x14ac:dyDescent="0.25">
      <c r="B83" s="552">
        <v>45399</v>
      </c>
      <c r="C83" s="548">
        <v>13.6822</v>
      </c>
      <c r="D83" s="548">
        <v>0</v>
      </c>
      <c r="E83" s="548">
        <v>27.317699999999999</v>
      </c>
      <c r="F83" s="548">
        <v>33.671700000000001</v>
      </c>
      <c r="G83" s="548">
        <v>15.3537</v>
      </c>
      <c r="H83" s="548">
        <v>7.7351000000000001</v>
      </c>
      <c r="I83" s="552">
        <v>45399</v>
      </c>
      <c r="J83" s="548">
        <v>21.055299999999999</v>
      </c>
      <c r="K83" s="548">
        <v>36.959600000000002</v>
      </c>
      <c r="L83" s="548">
        <v>32.548299999999998</v>
      </c>
      <c r="M83" s="548">
        <v>47.536499999999997</v>
      </c>
      <c r="N83" s="548">
        <v>23.9377</v>
      </c>
      <c r="O83" s="548">
        <v>27.206900000000001</v>
      </c>
      <c r="P83" s="548"/>
      <c r="Q83" s="552">
        <v>45399</v>
      </c>
      <c r="R83" s="4">
        <v>91.35</v>
      </c>
      <c r="S83" s="4">
        <v>17951.689999999999</v>
      </c>
      <c r="T83" s="4">
        <v>4890.2039999999997</v>
      </c>
      <c r="U83" s="4">
        <v>1.350332594235033</v>
      </c>
      <c r="V83" s="4">
        <v>1.5951230261655518</v>
      </c>
      <c r="W83" s="4">
        <v>2.0603640414482447</v>
      </c>
      <c r="Y83" s="548">
        <v>91.35</v>
      </c>
      <c r="Z83" s="4">
        <v>230.185</v>
      </c>
      <c r="AA83" s="4">
        <v>91.225999999999999</v>
      </c>
      <c r="AB83" s="4">
        <v>37290</v>
      </c>
      <c r="AC83" s="4">
        <v>17740</v>
      </c>
      <c r="AD83" s="4">
        <v>78900</v>
      </c>
      <c r="AF83" s="4">
        <v>1.350332594235033</v>
      </c>
      <c r="AG83" s="4">
        <v>1.1876531744189047</v>
      </c>
      <c r="AH83" s="4">
        <v>2.3064826051779934</v>
      </c>
      <c r="AI83" s="4">
        <v>2.8780476510222508</v>
      </c>
      <c r="AJ83" s="4">
        <v>4.4184308841843087</v>
      </c>
      <c r="AK83" s="4">
        <v>1.3238255033557047</v>
      </c>
      <c r="AM83" s="550">
        <v>45866</v>
      </c>
      <c r="AN83" s="551">
        <v>109.56</v>
      </c>
      <c r="AO83" s="551">
        <v>4759509</v>
      </c>
      <c r="AP83" s="551">
        <v>132.3006</v>
      </c>
      <c r="AQ83" s="551">
        <v>14494.853736000001</v>
      </c>
      <c r="AR83" s="551">
        <v>0.91369999999999996</v>
      </c>
    </row>
    <row r="84" spans="2:44" x14ac:dyDescent="0.25">
      <c r="B84" s="552">
        <v>45392</v>
      </c>
      <c r="C84" s="548">
        <v>14.0238</v>
      </c>
      <c r="D84" s="548">
        <v>0</v>
      </c>
      <c r="E84" s="548">
        <v>28.8049</v>
      </c>
      <c r="F84" s="548">
        <v>35.5261</v>
      </c>
      <c r="G84" s="548">
        <v>16.4373</v>
      </c>
      <c r="H84" s="548">
        <v>8.3370999999999995</v>
      </c>
      <c r="I84" s="552">
        <v>45392</v>
      </c>
      <c r="J84" s="548">
        <v>21.583400000000001</v>
      </c>
      <c r="K84" s="548">
        <v>34.643900000000002</v>
      </c>
      <c r="L84" s="548">
        <v>34.310099999999998</v>
      </c>
      <c r="M84" s="548">
        <v>50.085999999999999</v>
      </c>
      <c r="N84" s="548">
        <v>25.449000000000002</v>
      </c>
      <c r="O84" s="548">
        <v>29</v>
      </c>
      <c r="P84" s="548"/>
      <c r="Q84" s="552">
        <v>45392</v>
      </c>
      <c r="R84" s="4">
        <v>89.81</v>
      </c>
      <c r="S84" s="4">
        <v>18226.48</v>
      </c>
      <c r="T84" s="4">
        <v>4981.9660000000003</v>
      </c>
      <c r="U84" s="4">
        <v>1.3275683665927567</v>
      </c>
      <c r="V84" s="4">
        <v>1.6195398836513948</v>
      </c>
      <c r="W84" s="4">
        <v>2.0990256443530266</v>
      </c>
      <c r="Y84" s="548">
        <v>89.81</v>
      </c>
      <c r="Z84" s="4">
        <v>215.76300000000001</v>
      </c>
      <c r="AA84" s="4">
        <v>96.164000000000001</v>
      </c>
      <c r="AB84" s="4">
        <v>39290</v>
      </c>
      <c r="AC84" s="4">
        <v>18860</v>
      </c>
      <c r="AD84" s="4">
        <v>84100</v>
      </c>
      <c r="AF84" s="4">
        <v>1.3275683665927567</v>
      </c>
      <c r="AG84" s="4">
        <v>1.1132420091324202</v>
      </c>
      <c r="AH84" s="4">
        <v>2.4313309061488675</v>
      </c>
      <c r="AI84" s="4">
        <v>3.0324079433806448</v>
      </c>
      <c r="AJ84" s="4">
        <v>4.6973848069738482</v>
      </c>
      <c r="AK84" s="4">
        <v>1.4110738255033557</v>
      </c>
      <c r="AM84" s="550">
        <v>45865</v>
      </c>
      <c r="AN84" s="551">
        <v>109.56</v>
      </c>
      <c r="AO84" s="551">
        <v>4759509</v>
      </c>
      <c r="AP84" s="551">
        <v>132.3006</v>
      </c>
      <c r="AQ84" s="551">
        <v>14494.853736000001</v>
      </c>
      <c r="AR84" s="551">
        <v>0.91369999999999996</v>
      </c>
    </row>
    <row r="85" spans="2:44" x14ac:dyDescent="0.25">
      <c r="B85" s="552">
        <v>45385</v>
      </c>
      <c r="C85" s="548">
        <v>15.292899999999999</v>
      </c>
      <c r="D85" s="548">
        <v>0</v>
      </c>
      <c r="E85" s="548">
        <v>29.308800000000002</v>
      </c>
      <c r="F85" s="548">
        <v>35.832000000000001</v>
      </c>
      <c r="G85" s="548">
        <v>16.572700000000001</v>
      </c>
      <c r="H85" s="548">
        <v>8.3370999999999995</v>
      </c>
      <c r="I85" s="552">
        <v>45385</v>
      </c>
      <c r="J85" s="548">
        <v>23.544899999999998</v>
      </c>
      <c r="K85" s="548">
        <v>35.405099999999997</v>
      </c>
      <c r="L85" s="548">
        <v>34.906999999999996</v>
      </c>
      <c r="M85" s="548">
        <v>50.506700000000002</v>
      </c>
      <c r="N85" s="548">
        <v>25.637899999999998</v>
      </c>
      <c r="O85" s="548">
        <v>29</v>
      </c>
      <c r="P85" s="548"/>
      <c r="Q85" s="552">
        <v>45385</v>
      </c>
      <c r="R85" s="4">
        <v>89.47</v>
      </c>
      <c r="S85" s="4">
        <v>17933.330000000002</v>
      </c>
      <c r="T85" s="4">
        <v>4663.4669999999996</v>
      </c>
      <c r="U85" s="4">
        <v>1.3225424981522542</v>
      </c>
      <c r="V85" s="4">
        <v>1.5934916221718112</v>
      </c>
      <c r="W85" s="4">
        <v>1.9648341286540443</v>
      </c>
      <c r="Y85" s="548">
        <v>89.47</v>
      </c>
      <c r="Z85" s="4">
        <v>220.50399999999999</v>
      </c>
      <c r="AA85" s="4">
        <v>97.837000000000003</v>
      </c>
      <c r="AB85" s="4">
        <v>39620</v>
      </c>
      <c r="AC85" s="4">
        <v>19000</v>
      </c>
      <c r="AD85" s="4">
        <v>84100</v>
      </c>
      <c r="AF85" s="4">
        <v>1.3225424981522542</v>
      </c>
      <c r="AG85" s="4">
        <v>1.1377034801227974</v>
      </c>
      <c r="AH85" s="4">
        <v>2.4736296521035599</v>
      </c>
      <c r="AI85" s="4">
        <v>3.0578773916197797</v>
      </c>
      <c r="AJ85" s="4">
        <v>4.7322540473225407</v>
      </c>
      <c r="AK85" s="4">
        <v>1.4110738255033557</v>
      </c>
      <c r="AM85" s="550">
        <v>45864</v>
      </c>
      <c r="AN85" s="551">
        <v>110.4</v>
      </c>
      <c r="AO85" s="551">
        <v>1760803</v>
      </c>
      <c r="AP85" s="551">
        <v>132.3006</v>
      </c>
      <c r="AQ85" s="551">
        <v>14605.98624</v>
      </c>
      <c r="AR85" s="551">
        <v>0.92069999999999996</v>
      </c>
    </row>
    <row r="86" spans="2:44" x14ac:dyDescent="0.25">
      <c r="B86" s="552">
        <v>45378</v>
      </c>
      <c r="C86" s="548">
        <v>16.0669</v>
      </c>
      <c r="D86" s="548">
        <v>0</v>
      </c>
      <c r="E86" s="548">
        <v>29.706199999999999</v>
      </c>
      <c r="F86" s="548">
        <v>13.749599999999999</v>
      </c>
      <c r="G86" s="548">
        <v>18.665700000000001</v>
      </c>
      <c r="H86" s="548">
        <v>9.0029000000000003</v>
      </c>
      <c r="I86" s="552">
        <v>45378</v>
      </c>
      <c r="J86" s="548">
        <v>25.918800000000001</v>
      </c>
      <c r="K86" s="548">
        <v>41.816200000000002</v>
      </c>
      <c r="L86" s="548">
        <v>35.4651</v>
      </c>
      <c r="M86" s="548">
        <v>51.449300000000001</v>
      </c>
      <c r="N86" s="548">
        <v>30.592600000000001</v>
      </c>
      <c r="O86" s="548">
        <v>37.447200000000002</v>
      </c>
      <c r="P86" s="548"/>
      <c r="Q86" s="552">
        <v>45378</v>
      </c>
      <c r="R86" s="4">
        <v>90.17</v>
      </c>
      <c r="S86" s="4">
        <v>17882.66</v>
      </c>
      <c r="T86" s="4">
        <v>4560.0389999999998</v>
      </c>
      <c r="U86" s="4">
        <v>1.3328898743532889</v>
      </c>
      <c r="V86" s="4">
        <v>1.5889892670322219</v>
      </c>
      <c r="W86" s="4">
        <v>1.9212573510638029</v>
      </c>
      <c r="Y86" s="548">
        <v>90.17</v>
      </c>
      <c r="Z86" s="4">
        <v>228.55600000000001</v>
      </c>
      <c r="AA86" s="4">
        <v>96.566999999999993</v>
      </c>
      <c r="AB86" s="4">
        <v>39510</v>
      </c>
      <c r="AC86" s="4">
        <v>19435</v>
      </c>
      <c r="AD86" s="4">
        <v>79800</v>
      </c>
      <c r="AF86" s="4">
        <v>1.3328898743532889</v>
      </c>
      <c r="AG86" s="4">
        <v>1.1792482521992622</v>
      </c>
      <c r="AH86" s="4">
        <v>2.4415200242718447</v>
      </c>
      <c r="AI86" s="4">
        <v>3.0493875755400679</v>
      </c>
      <c r="AJ86" s="4">
        <v>4.8405977584059778</v>
      </c>
      <c r="AK86" s="4">
        <v>1.3389261744966443</v>
      </c>
      <c r="AM86" s="550">
        <v>45863</v>
      </c>
      <c r="AN86" s="551">
        <v>110.4</v>
      </c>
      <c r="AO86" s="551">
        <v>1760803</v>
      </c>
      <c r="AP86" s="551">
        <v>132.3006</v>
      </c>
      <c r="AQ86" s="551">
        <v>14605.98624</v>
      </c>
      <c r="AR86" s="551">
        <v>0.92069999999999996</v>
      </c>
    </row>
    <row r="87" spans="2:44" x14ac:dyDescent="0.25">
      <c r="B87" s="552">
        <v>45371</v>
      </c>
      <c r="C87" s="548">
        <v>16.362400000000001</v>
      </c>
      <c r="D87" s="548">
        <v>0</v>
      </c>
      <c r="E87" s="548">
        <v>29.193200000000001</v>
      </c>
      <c r="F87" s="548">
        <v>13.749599999999999</v>
      </c>
      <c r="G87" s="548">
        <v>18.074400000000001</v>
      </c>
      <c r="H87" s="548">
        <v>8.6201000000000008</v>
      </c>
      <c r="I87" s="552">
        <v>45371</v>
      </c>
      <c r="J87" s="548">
        <v>26.388400000000001</v>
      </c>
      <c r="K87" s="548">
        <v>40.142400000000002</v>
      </c>
      <c r="L87" s="548">
        <v>34.855800000000002</v>
      </c>
      <c r="M87" s="548">
        <v>51.228000000000002</v>
      </c>
      <c r="N87" s="548">
        <v>29.7347</v>
      </c>
      <c r="O87" s="548">
        <v>36.086300000000001</v>
      </c>
      <c r="P87" s="548"/>
      <c r="Q87" s="552">
        <v>45371</v>
      </c>
      <c r="R87" s="4">
        <v>90.17</v>
      </c>
      <c r="S87" s="4">
        <v>17882.66</v>
      </c>
      <c r="T87" s="4">
        <v>4560.0389999999998</v>
      </c>
      <c r="U87" s="4">
        <v>1.3328898743532889</v>
      </c>
      <c r="V87" s="4">
        <v>1.5889892670322219</v>
      </c>
      <c r="W87" s="4">
        <v>1.9212573510638029</v>
      </c>
      <c r="Y87" s="548">
        <v>90.17</v>
      </c>
      <c r="Z87" s="4">
        <v>219.40700000000001</v>
      </c>
      <c r="AA87" s="4">
        <v>94.908000000000001</v>
      </c>
      <c r="AB87" s="4">
        <v>37390</v>
      </c>
      <c r="AC87" s="4">
        <v>18085</v>
      </c>
      <c r="AD87" s="4">
        <v>76900</v>
      </c>
      <c r="AF87" s="4">
        <v>1.3328898743532889</v>
      </c>
      <c r="AG87" s="4">
        <v>1.132043443489926</v>
      </c>
      <c r="AH87" s="4">
        <v>2.3995752427184467</v>
      </c>
      <c r="AI87" s="4">
        <v>2.8857656656401707</v>
      </c>
      <c r="AJ87" s="4">
        <v>4.5043586550435863</v>
      </c>
      <c r="AK87" s="4">
        <v>1.2902684563758389</v>
      </c>
      <c r="AM87" s="550">
        <v>45862</v>
      </c>
      <c r="AN87" s="551">
        <v>112.19</v>
      </c>
      <c r="AO87" s="551">
        <v>1246411</v>
      </c>
      <c r="AP87" s="551">
        <v>132.3006</v>
      </c>
      <c r="AQ87" s="551">
        <v>14842.804314000001</v>
      </c>
      <c r="AR87" s="551">
        <v>0.93559999999999999</v>
      </c>
    </row>
    <row r="88" spans="2:44" x14ac:dyDescent="0.25">
      <c r="B88" s="552">
        <v>45364</v>
      </c>
      <c r="C88" s="548">
        <v>16.095300000000002</v>
      </c>
      <c r="D88" s="548">
        <v>0</v>
      </c>
      <c r="E88" s="548">
        <v>28.5015</v>
      </c>
      <c r="F88" s="548">
        <v>13.749599999999999</v>
      </c>
      <c r="G88" s="548">
        <v>17.201000000000001</v>
      </c>
      <c r="H88" s="548">
        <v>8.2506000000000004</v>
      </c>
      <c r="I88" s="552">
        <v>45364</v>
      </c>
      <c r="J88" s="548">
        <v>25.963899999999999</v>
      </c>
      <c r="K88" s="548">
        <v>39.640999999999998</v>
      </c>
      <c r="L88" s="548">
        <v>34.034199999999998</v>
      </c>
      <c r="M88" s="548">
        <v>48.688699999999997</v>
      </c>
      <c r="N88" s="548">
        <v>28.467500000000001</v>
      </c>
      <c r="O88" s="548">
        <v>34.772399999999998</v>
      </c>
      <c r="P88" s="548"/>
      <c r="Q88" s="552">
        <v>45364</v>
      </c>
      <c r="R88" s="4">
        <v>88.75</v>
      </c>
      <c r="S88" s="4">
        <v>17613.04</v>
      </c>
      <c r="T88" s="4">
        <v>4388.0959999999995</v>
      </c>
      <c r="U88" s="4">
        <v>1.3118994826311898</v>
      </c>
      <c r="V88" s="4">
        <v>1.5650317972722854</v>
      </c>
      <c r="W88" s="4">
        <v>1.8488135073348426</v>
      </c>
      <c r="Y88" s="548">
        <v>88.75</v>
      </c>
      <c r="Z88" s="4">
        <v>216.667</v>
      </c>
      <c r="AA88" s="4">
        <v>92.671000000000006</v>
      </c>
      <c r="AB88" s="4">
        <v>37390</v>
      </c>
      <c r="AC88" s="4">
        <v>18085</v>
      </c>
      <c r="AD88" s="4">
        <v>74100</v>
      </c>
      <c r="AF88" s="4">
        <v>1.3118994826311898</v>
      </c>
      <c r="AG88" s="4">
        <v>1.1179062508061812</v>
      </c>
      <c r="AH88" s="4">
        <v>2.3430167880258903</v>
      </c>
      <c r="AI88" s="4">
        <v>2.8857656656401707</v>
      </c>
      <c r="AJ88" s="4">
        <v>4.5043586550435863</v>
      </c>
      <c r="AK88" s="4">
        <v>1.2432885906040267</v>
      </c>
      <c r="AM88" s="550">
        <v>45861</v>
      </c>
      <c r="AN88" s="551">
        <v>113.06</v>
      </c>
      <c r="AO88" s="551">
        <v>882621</v>
      </c>
      <c r="AP88" s="551">
        <v>132.3006</v>
      </c>
      <c r="AQ88" s="551">
        <v>14957.905836</v>
      </c>
      <c r="AR88" s="551">
        <v>0.94289999999999996</v>
      </c>
    </row>
    <row r="89" spans="2:44" x14ac:dyDescent="0.25">
      <c r="B89" s="552">
        <v>45357</v>
      </c>
      <c r="C89" s="548">
        <v>17.0671</v>
      </c>
      <c r="D89" s="548">
        <v>0</v>
      </c>
      <c r="E89" s="548">
        <v>30.206800000000001</v>
      </c>
      <c r="F89" s="548">
        <v>13.749599999999999</v>
      </c>
      <c r="G89" s="548">
        <v>19.3276</v>
      </c>
      <c r="H89" s="548">
        <v>8.0922000000000001</v>
      </c>
      <c r="I89" s="552">
        <v>45357</v>
      </c>
      <c r="J89" s="548">
        <v>27.508199999999999</v>
      </c>
      <c r="K89" s="548">
        <v>39.4377</v>
      </c>
      <c r="L89" s="548">
        <v>36.059699999999999</v>
      </c>
      <c r="M89" s="548">
        <v>51.566499999999998</v>
      </c>
      <c r="N89" s="548">
        <v>31.552800000000001</v>
      </c>
      <c r="O89" s="548">
        <v>34.209299999999999</v>
      </c>
      <c r="P89" s="548"/>
      <c r="Q89" s="552">
        <v>45357</v>
      </c>
      <c r="R89" s="4">
        <v>89.62</v>
      </c>
      <c r="S89" s="4">
        <v>17596.27</v>
      </c>
      <c r="T89" s="4">
        <v>4388.2749999999996</v>
      </c>
      <c r="U89" s="4">
        <v>1.3247597930524759</v>
      </c>
      <c r="V89" s="4">
        <v>1.5635416749969566</v>
      </c>
      <c r="W89" s="4">
        <v>1.8488889244674243</v>
      </c>
      <c r="Y89" s="548">
        <v>89.62</v>
      </c>
      <c r="Z89" s="4">
        <v>215.55600000000001</v>
      </c>
      <c r="AA89" s="4">
        <v>98.186000000000007</v>
      </c>
      <c r="AB89" s="4">
        <v>39600</v>
      </c>
      <c r="AC89" s="4">
        <v>20045</v>
      </c>
      <c r="AD89" s="4">
        <v>72900</v>
      </c>
      <c r="AF89" s="4">
        <v>1.3247597930524759</v>
      </c>
      <c r="AG89" s="4">
        <v>1.1121739803420789</v>
      </c>
      <c r="AH89" s="4">
        <v>2.4824534789644015</v>
      </c>
      <c r="AI89" s="4">
        <v>3.0563337886961954</v>
      </c>
      <c r="AJ89" s="4">
        <v>4.9925280199252802</v>
      </c>
      <c r="AK89" s="4">
        <v>1.2231543624161074</v>
      </c>
      <c r="AM89" s="550">
        <v>45860</v>
      </c>
      <c r="AN89" s="551">
        <v>111.99</v>
      </c>
      <c r="AO89" s="551">
        <v>574961</v>
      </c>
      <c r="AP89" s="551">
        <v>132.3006</v>
      </c>
      <c r="AQ89" s="551">
        <v>14816.344193999999</v>
      </c>
      <c r="AR89" s="551">
        <v>0.93389999999999995</v>
      </c>
    </row>
    <row r="90" spans="2:44" x14ac:dyDescent="0.25">
      <c r="B90" s="552">
        <v>45350</v>
      </c>
      <c r="C90" s="548">
        <v>17.1921</v>
      </c>
      <c r="D90" s="548">
        <v>0</v>
      </c>
      <c r="E90" s="548">
        <v>28.3766</v>
      </c>
      <c r="F90" s="548">
        <v>13.749599999999999</v>
      </c>
      <c r="G90" s="548">
        <v>18.0853</v>
      </c>
      <c r="H90" s="548">
        <v>8.1318000000000001</v>
      </c>
      <c r="I90" s="552">
        <v>45350</v>
      </c>
      <c r="J90" s="548">
        <v>27.706900000000001</v>
      </c>
      <c r="K90" s="548">
        <v>35.430199999999999</v>
      </c>
      <c r="L90" s="548">
        <v>33.885899999999999</v>
      </c>
      <c r="M90" s="548">
        <v>47.5167</v>
      </c>
      <c r="N90" s="548">
        <v>29.750399999999999</v>
      </c>
      <c r="O90" s="548">
        <v>34.350099999999998</v>
      </c>
      <c r="P90" s="548"/>
      <c r="Q90" s="552">
        <v>45350</v>
      </c>
      <c r="R90" s="4">
        <v>88.78</v>
      </c>
      <c r="S90" s="4">
        <v>17330.38</v>
      </c>
      <c r="T90" s="4">
        <v>4386.6030000000001</v>
      </c>
      <c r="U90" s="4">
        <v>1.3123429416112342</v>
      </c>
      <c r="V90" s="4">
        <v>1.5399156397085154</v>
      </c>
      <c r="W90" s="4">
        <v>1.8481844694636453</v>
      </c>
      <c r="Y90" s="548">
        <v>88.78</v>
      </c>
      <c r="Z90" s="4">
        <v>193.65199999999999</v>
      </c>
      <c r="AA90" s="4">
        <v>92.266999999999996</v>
      </c>
      <c r="AB90" s="4">
        <v>36490</v>
      </c>
      <c r="AC90" s="4">
        <v>18900</v>
      </c>
      <c r="AD90" s="4">
        <v>73200</v>
      </c>
      <c r="AF90" s="4">
        <v>1.3123429416112342</v>
      </c>
      <c r="AG90" s="4">
        <v>0.99915899182209833</v>
      </c>
      <c r="AH90" s="4">
        <v>2.3328023867313914</v>
      </c>
      <c r="AI90" s="4">
        <v>2.8163035340788936</v>
      </c>
      <c r="AJ90" s="4">
        <v>4.7073474470734746</v>
      </c>
      <c r="AK90" s="4">
        <v>1.2281879194630871</v>
      </c>
      <c r="AM90" s="550">
        <v>45859</v>
      </c>
      <c r="AN90" s="551">
        <v>111.99</v>
      </c>
      <c r="AO90" s="551">
        <v>574961</v>
      </c>
      <c r="AP90" s="551">
        <v>132.3006</v>
      </c>
      <c r="AQ90" s="551">
        <v>14816.344193999999</v>
      </c>
      <c r="AR90" s="551">
        <v>0.93389999999999995</v>
      </c>
    </row>
    <row r="91" spans="2:44" x14ac:dyDescent="0.25">
      <c r="B91" s="552">
        <v>45343</v>
      </c>
      <c r="C91" s="548">
        <v>10.5419</v>
      </c>
      <c r="D91" s="548">
        <v>0</v>
      </c>
      <c r="E91" s="548">
        <v>27.735199999999999</v>
      </c>
      <c r="F91" s="548">
        <v>13.749599999999999</v>
      </c>
      <c r="G91" s="548">
        <v>17.1739</v>
      </c>
      <c r="H91" s="548">
        <v>8.1053999999999995</v>
      </c>
      <c r="I91" s="552">
        <v>45343</v>
      </c>
      <c r="J91" s="548">
        <v>17.276199999999999</v>
      </c>
      <c r="K91" s="548">
        <v>35.304200000000002</v>
      </c>
      <c r="L91" s="548">
        <v>33.124200000000002</v>
      </c>
      <c r="M91" s="548">
        <v>44.9514</v>
      </c>
      <c r="N91" s="548">
        <v>28.4282</v>
      </c>
      <c r="O91" s="548">
        <v>34.2562</v>
      </c>
      <c r="P91" s="548"/>
      <c r="Q91" s="552">
        <v>45343</v>
      </c>
      <c r="R91" s="4">
        <v>89.06</v>
      </c>
      <c r="S91" s="4">
        <v>16649.88</v>
      </c>
      <c r="T91" s="4">
        <v>4062.4780000000001</v>
      </c>
      <c r="U91" s="4">
        <v>1.3164818920916481</v>
      </c>
      <c r="V91" s="4">
        <v>1.4794488413566245</v>
      </c>
      <c r="W91" s="4">
        <v>1.7116225806478795</v>
      </c>
      <c r="Y91" s="548">
        <v>89.06</v>
      </c>
      <c r="Z91" s="4">
        <v>192.96299999999999</v>
      </c>
      <c r="AA91" s="4">
        <v>90.192999999999998</v>
      </c>
      <c r="AB91" s="4">
        <v>34520</v>
      </c>
      <c r="AC91" s="4">
        <v>18060</v>
      </c>
      <c r="AD91" s="4">
        <v>73000</v>
      </c>
      <c r="AF91" s="4">
        <v>1.3164818920916481</v>
      </c>
      <c r="AG91" s="4">
        <v>0.9956040554136677</v>
      </c>
      <c r="AH91" s="4">
        <v>2.2803650889967639</v>
      </c>
      <c r="AI91" s="4">
        <v>2.6642586461058757</v>
      </c>
      <c r="AJ91" s="4">
        <v>4.4981320049813203</v>
      </c>
      <c r="AK91" s="4">
        <v>1.2248322147651007</v>
      </c>
      <c r="AM91" s="550">
        <v>45858</v>
      </c>
      <c r="AN91" s="551">
        <v>111.99</v>
      </c>
      <c r="AO91" s="551">
        <v>574961</v>
      </c>
      <c r="AP91" s="551">
        <v>132.3006</v>
      </c>
      <c r="AQ91" s="551">
        <v>14816.344193999999</v>
      </c>
      <c r="AR91" s="551">
        <v>0.93389999999999995</v>
      </c>
    </row>
    <row r="92" spans="2:44" x14ac:dyDescent="0.25">
      <c r="B92" s="552">
        <v>45336</v>
      </c>
      <c r="C92" s="548">
        <v>10.908300000000001</v>
      </c>
      <c r="D92" s="548">
        <v>0</v>
      </c>
      <c r="E92" s="548">
        <v>28.161000000000001</v>
      </c>
      <c r="F92" s="548">
        <v>13.749599999999999</v>
      </c>
      <c r="G92" s="548">
        <v>17.4071</v>
      </c>
      <c r="H92" s="548">
        <v>8.2373999999999992</v>
      </c>
      <c r="I92" s="552">
        <v>45336</v>
      </c>
      <c r="J92" s="548">
        <v>17.863199999999999</v>
      </c>
      <c r="K92" s="548">
        <v>33.760599999999997</v>
      </c>
      <c r="L92" s="548">
        <v>33.629899999999999</v>
      </c>
      <c r="M92" s="548">
        <v>43.662300000000002</v>
      </c>
      <c r="N92" s="548">
        <v>28.7666</v>
      </c>
      <c r="O92" s="548">
        <v>34.725499999999997</v>
      </c>
      <c r="P92" s="548"/>
      <c r="Q92" s="552">
        <v>45336</v>
      </c>
      <c r="R92" s="4">
        <v>89.06</v>
      </c>
      <c r="S92" s="4">
        <v>16649.88</v>
      </c>
      <c r="T92" s="4">
        <v>4062.4780000000001</v>
      </c>
      <c r="U92" s="4">
        <v>1.3164818920916481</v>
      </c>
      <c r="V92" s="4">
        <v>1.4794488413566245</v>
      </c>
      <c r="W92" s="4">
        <v>1.7116225806478795</v>
      </c>
      <c r="Y92" s="548">
        <v>89.06</v>
      </c>
      <c r="Z92" s="4">
        <v>184.52600000000001</v>
      </c>
      <c r="AA92" s="4">
        <v>91.57</v>
      </c>
      <c r="AB92" s="4">
        <v>33530</v>
      </c>
      <c r="AC92" s="4">
        <v>18275</v>
      </c>
      <c r="AD92" s="4">
        <v>74000</v>
      </c>
      <c r="AF92" s="4">
        <v>1.3164818920916481</v>
      </c>
      <c r="AG92" s="4">
        <v>0.95207285297835575</v>
      </c>
      <c r="AH92" s="4">
        <v>2.3151800161812295</v>
      </c>
      <c r="AI92" s="4">
        <v>2.5878503013884706</v>
      </c>
      <c r="AJ92" s="4">
        <v>4.5516811955168119</v>
      </c>
      <c r="AK92" s="4">
        <v>1.2416107382550337</v>
      </c>
      <c r="AM92" s="550">
        <v>45857</v>
      </c>
      <c r="AN92" s="551">
        <v>112.13</v>
      </c>
      <c r="AO92" s="551">
        <v>480957</v>
      </c>
      <c r="AP92" s="551">
        <v>132.3006</v>
      </c>
      <c r="AQ92" s="551">
        <v>14834.866278</v>
      </c>
      <c r="AR92" s="551">
        <v>0.93510000000000004</v>
      </c>
    </row>
    <row r="93" spans="2:44" x14ac:dyDescent="0.25">
      <c r="B93" s="552">
        <v>45329</v>
      </c>
      <c r="C93" s="548">
        <v>8.9408999999999992</v>
      </c>
      <c r="D93" s="548">
        <v>0</v>
      </c>
      <c r="E93" s="548">
        <v>26.084299999999999</v>
      </c>
      <c r="F93" s="548">
        <v>13.749599999999999</v>
      </c>
      <c r="G93" s="548">
        <v>15.3131</v>
      </c>
      <c r="H93" s="548">
        <v>8.3694000000000006</v>
      </c>
      <c r="I93" s="552">
        <v>45329</v>
      </c>
      <c r="J93" s="548">
        <v>14.711399999999999</v>
      </c>
      <c r="K93" s="548">
        <v>33.760599999999997</v>
      </c>
      <c r="L93" s="548">
        <v>31.163399999999999</v>
      </c>
      <c r="M93" s="548">
        <v>37.086199999999998</v>
      </c>
      <c r="N93" s="548">
        <v>25.7286</v>
      </c>
      <c r="O93" s="548">
        <v>35.194699999999997</v>
      </c>
      <c r="P93" s="548"/>
      <c r="Q93" s="552">
        <v>45329</v>
      </c>
      <c r="R93" s="4">
        <v>92.91</v>
      </c>
      <c r="S93" s="4">
        <v>16729.8</v>
      </c>
      <c r="T93" s="4">
        <v>4103.7879999999996</v>
      </c>
      <c r="U93" s="4">
        <v>1.3733924611973392</v>
      </c>
      <c r="V93" s="4">
        <v>1.4865502469764378</v>
      </c>
      <c r="W93" s="4">
        <v>1.7290275066084788</v>
      </c>
      <c r="Y93" s="548">
        <v>92.91</v>
      </c>
      <c r="Z93" s="4">
        <v>184.52600000000001</v>
      </c>
      <c r="AA93" s="4">
        <v>84.853999999999999</v>
      </c>
      <c r="AB93" s="4">
        <v>28480</v>
      </c>
      <c r="AC93" s="4">
        <v>16345</v>
      </c>
      <c r="AD93" s="4">
        <v>75000</v>
      </c>
      <c r="AF93" s="4">
        <v>1.3733924611973392</v>
      </c>
      <c r="AG93" s="4">
        <v>0.95207285297835575</v>
      </c>
      <c r="AH93" s="4">
        <v>2.1453782362459548</v>
      </c>
      <c r="AI93" s="4">
        <v>2.1980905631835266</v>
      </c>
      <c r="AJ93" s="4">
        <v>4.0709838107098379</v>
      </c>
      <c r="AK93" s="4">
        <v>1.2583892617449663</v>
      </c>
      <c r="AM93" s="550">
        <v>45856</v>
      </c>
      <c r="AN93" s="551">
        <v>112.2</v>
      </c>
      <c r="AO93" s="551">
        <v>636919</v>
      </c>
      <c r="AP93" s="551">
        <v>132.3006</v>
      </c>
      <c r="AQ93" s="551">
        <v>14844.127320000001</v>
      </c>
      <c r="AR93" s="551">
        <v>0.93569999999999998</v>
      </c>
    </row>
    <row r="94" spans="2:44" x14ac:dyDescent="0.25">
      <c r="B94" s="552">
        <v>45322</v>
      </c>
      <c r="C94" s="548">
        <v>9.4651999999999994</v>
      </c>
      <c r="D94" s="548">
        <v>0</v>
      </c>
      <c r="E94" s="548">
        <v>25.361699999999999</v>
      </c>
      <c r="F94" s="548">
        <v>13.749599999999999</v>
      </c>
      <c r="G94" s="548">
        <v>13.495699999999999</v>
      </c>
      <c r="H94" s="548">
        <v>8.0657999999999994</v>
      </c>
      <c r="I94" s="552">
        <v>45322</v>
      </c>
      <c r="J94" s="548">
        <v>15.551299999999999</v>
      </c>
      <c r="K94" s="548">
        <v>30.867100000000001</v>
      </c>
      <c r="L94" s="548">
        <v>30.305099999999999</v>
      </c>
      <c r="M94" s="548">
        <v>36.285400000000003</v>
      </c>
      <c r="N94" s="548">
        <v>23.091999999999999</v>
      </c>
      <c r="O94" s="548">
        <v>34.115400000000001</v>
      </c>
      <c r="P94" s="548"/>
      <c r="Q94" s="552">
        <v>45322</v>
      </c>
      <c r="R94" s="4">
        <v>92.91</v>
      </c>
      <c r="S94" s="4">
        <v>16729.8</v>
      </c>
      <c r="T94" s="4">
        <v>4103.7879999999996</v>
      </c>
      <c r="U94" s="4">
        <v>1.3733924611973392</v>
      </c>
      <c r="V94" s="4">
        <v>1.4865502469764378</v>
      </c>
      <c r="W94" s="4">
        <v>1.7290275066084788</v>
      </c>
      <c r="Y94" s="548">
        <v>92.91</v>
      </c>
      <c r="Z94" s="4">
        <v>168.71100000000001</v>
      </c>
      <c r="AA94" s="4">
        <v>82.516999999999996</v>
      </c>
      <c r="AB94" s="4">
        <v>27865</v>
      </c>
      <c r="AC94" s="4">
        <v>14670</v>
      </c>
      <c r="AD94" s="4">
        <v>72700</v>
      </c>
      <c r="AF94" s="4">
        <v>1.3733924611973392</v>
      </c>
      <c r="AG94" s="4">
        <v>0.87047442148440535</v>
      </c>
      <c r="AH94" s="4">
        <v>2.0862914644012944</v>
      </c>
      <c r="AI94" s="4">
        <v>2.1506247732833206</v>
      </c>
      <c r="AJ94" s="4">
        <v>3.6537982565379825</v>
      </c>
      <c r="AK94" s="4">
        <v>1.2197986577181208</v>
      </c>
      <c r="AM94" s="550">
        <v>45855</v>
      </c>
      <c r="AN94" s="551">
        <v>111.03</v>
      </c>
      <c r="AO94" s="551">
        <v>678163</v>
      </c>
      <c r="AP94" s="551">
        <v>132.3006</v>
      </c>
      <c r="AQ94" s="551">
        <v>14689.335618000001</v>
      </c>
      <c r="AR94" s="551">
        <v>0.92589999999999995</v>
      </c>
    </row>
    <row r="95" spans="2:44" x14ac:dyDescent="0.25">
      <c r="B95" s="552">
        <v>45315</v>
      </c>
      <c r="C95" s="548">
        <v>11.3819</v>
      </c>
      <c r="D95" s="548">
        <v>0</v>
      </c>
      <c r="E95" s="548">
        <v>26.2104</v>
      </c>
      <c r="F95" s="548">
        <v>13.749599999999999</v>
      </c>
      <c r="G95" s="548">
        <v>13.4198</v>
      </c>
      <c r="H95" s="548">
        <v>8.2373999999999992</v>
      </c>
      <c r="I95" s="552">
        <v>45315</v>
      </c>
      <c r="J95" s="548">
        <v>18.6218</v>
      </c>
      <c r="K95" s="548">
        <v>34.168500000000002</v>
      </c>
      <c r="L95" s="548">
        <v>31.1494</v>
      </c>
      <c r="M95" s="548">
        <v>36.9495</v>
      </c>
      <c r="N95" s="548">
        <v>22.9818</v>
      </c>
      <c r="O95" s="548">
        <v>34.725499999999997</v>
      </c>
      <c r="P95" s="548"/>
      <c r="Q95" s="552">
        <v>45315</v>
      </c>
      <c r="R95" s="4">
        <v>92.91</v>
      </c>
      <c r="S95" s="4">
        <v>16729.8</v>
      </c>
      <c r="T95" s="4">
        <v>4103.7879999999996</v>
      </c>
      <c r="U95" s="4">
        <v>1.3733924611973392</v>
      </c>
      <c r="V95" s="4">
        <v>1.4865502469764378</v>
      </c>
      <c r="W95" s="4">
        <v>1.7290275066084788</v>
      </c>
      <c r="Y95" s="548">
        <v>92.91</v>
      </c>
      <c r="Z95" s="4">
        <v>186.756</v>
      </c>
      <c r="AA95" s="4">
        <v>84.816000000000003</v>
      </c>
      <c r="AB95" s="4">
        <v>28375</v>
      </c>
      <c r="AC95" s="4">
        <v>14600</v>
      </c>
      <c r="AD95" s="4">
        <v>74000</v>
      </c>
      <c r="AF95" s="4">
        <v>1.3733924611973392</v>
      </c>
      <c r="AG95" s="4">
        <v>0.96357867038154943</v>
      </c>
      <c r="AH95" s="4">
        <v>2.1444174757281553</v>
      </c>
      <c r="AI95" s="4">
        <v>2.189986647834711</v>
      </c>
      <c r="AJ95" s="4">
        <v>3.6363636363636362</v>
      </c>
      <c r="AK95" s="4">
        <v>1.2416107382550337</v>
      </c>
      <c r="AM95" s="550">
        <v>45854</v>
      </c>
      <c r="AN95" s="551">
        <v>110.93</v>
      </c>
      <c r="AO95" s="551">
        <v>565297</v>
      </c>
      <c r="AP95" s="551">
        <v>132.3006</v>
      </c>
      <c r="AQ95" s="551">
        <v>14676.105558000001</v>
      </c>
      <c r="AR95" s="551">
        <v>0.92510000000000003</v>
      </c>
    </row>
    <row r="96" spans="2:44" x14ac:dyDescent="0.25">
      <c r="B96" s="552">
        <v>45308</v>
      </c>
      <c r="C96" s="548">
        <v>10.9703</v>
      </c>
      <c r="D96" s="548">
        <v>0</v>
      </c>
      <c r="E96" s="548">
        <v>23.249300000000002</v>
      </c>
      <c r="F96" s="548">
        <v>13.749599999999999</v>
      </c>
      <c r="G96" s="548">
        <v>11.4885</v>
      </c>
      <c r="H96" s="548">
        <v>7.8414999999999999</v>
      </c>
      <c r="I96" s="552">
        <v>45308</v>
      </c>
      <c r="J96" s="548">
        <v>17.962499999999999</v>
      </c>
      <c r="K96" s="548">
        <v>32.837600000000002</v>
      </c>
      <c r="L96" s="548">
        <v>27.6509</v>
      </c>
      <c r="M96" s="548">
        <v>34.364699999999999</v>
      </c>
      <c r="N96" s="548">
        <v>20.1799</v>
      </c>
      <c r="O96" s="548">
        <v>33.317700000000002</v>
      </c>
      <c r="P96" s="548"/>
      <c r="Q96" s="552">
        <v>45308</v>
      </c>
      <c r="R96" s="4">
        <v>91.59</v>
      </c>
      <c r="S96" s="4">
        <v>16221.73</v>
      </c>
      <c r="T96" s="4">
        <v>3902.3850000000002</v>
      </c>
      <c r="U96" s="4">
        <v>1.3538802660753879</v>
      </c>
      <c r="V96" s="4">
        <v>1.4414049622760039</v>
      </c>
      <c r="W96" s="4">
        <v>1.6441714353607764</v>
      </c>
      <c r="Y96" s="548">
        <v>91.59</v>
      </c>
      <c r="Z96" s="4">
        <v>179.48099999999999</v>
      </c>
      <c r="AA96" s="4">
        <v>75.290000000000006</v>
      </c>
      <c r="AB96" s="4">
        <v>26390</v>
      </c>
      <c r="AC96" s="4">
        <v>12820</v>
      </c>
      <c r="AD96" s="4">
        <v>71000</v>
      </c>
      <c r="AF96" s="4">
        <v>1.3538802660753879</v>
      </c>
      <c r="AG96" s="4">
        <v>0.92604287593839485</v>
      </c>
      <c r="AH96" s="4">
        <v>1.9035699838187703</v>
      </c>
      <c r="AI96" s="4">
        <v>2.0367840576690051</v>
      </c>
      <c r="AJ96" s="4">
        <v>3.1930261519302614</v>
      </c>
      <c r="AK96" s="4">
        <v>1.1912751677852349</v>
      </c>
      <c r="AM96" s="550">
        <v>45853</v>
      </c>
      <c r="AN96" s="551">
        <v>111.35</v>
      </c>
      <c r="AO96" s="551">
        <v>505886</v>
      </c>
      <c r="AP96" s="551">
        <v>132.3006</v>
      </c>
      <c r="AQ96" s="551">
        <v>14731.67181</v>
      </c>
      <c r="AR96" s="551">
        <v>0.92859999999999998</v>
      </c>
    </row>
    <row r="97" spans="2:44" x14ac:dyDescent="0.25">
      <c r="B97" s="552">
        <v>45301</v>
      </c>
      <c r="C97" s="548">
        <v>11.6806</v>
      </c>
      <c r="D97" s="548">
        <v>0</v>
      </c>
      <c r="E97" s="548">
        <v>23.1495</v>
      </c>
      <c r="F97" s="548">
        <v>13.749599999999999</v>
      </c>
      <c r="G97" s="548">
        <v>10.4414</v>
      </c>
      <c r="H97" s="548">
        <v>8.1845999999999997</v>
      </c>
      <c r="I97" s="552">
        <v>45301</v>
      </c>
      <c r="J97" s="548">
        <v>19.1004</v>
      </c>
      <c r="K97" s="548">
        <v>30.736999999999998</v>
      </c>
      <c r="L97" s="548">
        <v>27.533000000000001</v>
      </c>
      <c r="M97" s="548">
        <v>33.055999999999997</v>
      </c>
      <c r="N97" s="548">
        <v>18.660900000000002</v>
      </c>
      <c r="O97" s="548">
        <v>34.537799999999997</v>
      </c>
      <c r="P97" s="548"/>
      <c r="Q97" s="552">
        <v>45301</v>
      </c>
      <c r="R97" s="4">
        <v>90.6</v>
      </c>
      <c r="S97" s="4">
        <v>15839.67</v>
      </c>
      <c r="T97" s="4">
        <v>3693.444</v>
      </c>
      <c r="U97" s="4">
        <v>1.3392461197339245</v>
      </c>
      <c r="V97" s="4">
        <v>1.4074564759008041</v>
      </c>
      <c r="W97" s="4">
        <v>1.5561394180493844</v>
      </c>
      <c r="Y97" s="548">
        <v>90.6</v>
      </c>
      <c r="Z97" s="4">
        <v>168</v>
      </c>
      <c r="AA97" s="4">
        <v>74.968999999999994</v>
      </c>
      <c r="AB97" s="4">
        <v>25385</v>
      </c>
      <c r="AC97" s="4">
        <v>11855</v>
      </c>
      <c r="AD97" s="4">
        <v>73600</v>
      </c>
      <c r="AF97" s="4">
        <v>1.3392461197339245</v>
      </c>
      <c r="AG97" s="4">
        <v>0.86680597476975463</v>
      </c>
      <c r="AH97" s="4">
        <v>1.8954540857605178</v>
      </c>
      <c r="AI97" s="4">
        <v>1.9592180107589123</v>
      </c>
      <c r="AJ97" s="4">
        <v>2.9526774595267744</v>
      </c>
      <c r="AK97" s="4">
        <v>1.2348993288590604</v>
      </c>
      <c r="AM97" s="550">
        <v>45852</v>
      </c>
      <c r="AN97" s="551">
        <v>111.35</v>
      </c>
      <c r="AO97" s="551">
        <v>505886</v>
      </c>
      <c r="AP97" s="551">
        <v>132.3006</v>
      </c>
      <c r="AQ97" s="551">
        <v>14731.67181</v>
      </c>
      <c r="AR97" s="551">
        <v>0.92859999999999998</v>
      </c>
    </row>
    <row r="98" spans="2:44" x14ac:dyDescent="0.25">
      <c r="B98" s="552">
        <v>45294</v>
      </c>
      <c r="C98" s="548">
        <v>9.7132000000000005</v>
      </c>
      <c r="D98" s="548">
        <v>0</v>
      </c>
      <c r="E98" s="548">
        <v>22.7529</v>
      </c>
      <c r="F98" s="548">
        <v>13.749599999999999</v>
      </c>
      <c r="G98" s="548">
        <v>10.2841</v>
      </c>
      <c r="H98" s="548">
        <v>8.6333000000000002</v>
      </c>
      <c r="I98" s="552">
        <v>45294</v>
      </c>
      <c r="J98" s="548">
        <v>15.948600000000001</v>
      </c>
      <c r="K98" s="548">
        <v>32.591000000000001</v>
      </c>
      <c r="L98" s="548">
        <v>27.064399999999999</v>
      </c>
      <c r="M98" s="548">
        <v>31.259</v>
      </c>
      <c r="N98" s="548">
        <v>18.432700000000001</v>
      </c>
      <c r="O98" s="548">
        <v>36.133299999999998</v>
      </c>
      <c r="P98" s="548"/>
      <c r="Q98" s="552">
        <v>45294</v>
      </c>
      <c r="R98" s="4">
        <v>88.62</v>
      </c>
      <c r="S98" s="4">
        <v>15961.98</v>
      </c>
      <c r="T98" s="4">
        <v>3739.3110000000001</v>
      </c>
      <c r="U98" s="4">
        <v>1.3099778270509976</v>
      </c>
      <c r="V98" s="4">
        <v>1.4183245054473432</v>
      </c>
      <c r="W98" s="4">
        <v>1.5754643209550927</v>
      </c>
      <c r="Y98" s="548">
        <v>88.62</v>
      </c>
      <c r="Z98" s="4">
        <v>178.13300000000001</v>
      </c>
      <c r="AA98" s="4">
        <v>73.692999999999998</v>
      </c>
      <c r="AB98" s="4">
        <v>25620</v>
      </c>
      <c r="AC98" s="4">
        <v>11830</v>
      </c>
      <c r="AD98" s="4">
        <v>77000</v>
      </c>
      <c r="AF98" s="4">
        <v>1.3099778270509976</v>
      </c>
      <c r="AG98" s="4">
        <v>0.91908778990274231</v>
      </c>
      <c r="AH98" s="4">
        <v>1.8631927588996764</v>
      </c>
      <c r="AI98" s="4">
        <v>1.9773553451110235</v>
      </c>
      <c r="AJ98" s="4">
        <v>2.9464508094645079</v>
      </c>
      <c r="AK98" s="4">
        <v>1.2919463087248322</v>
      </c>
      <c r="AM98" s="550">
        <v>45851</v>
      </c>
      <c r="AN98" s="551">
        <v>111.35</v>
      </c>
      <c r="AO98" s="551">
        <v>505886</v>
      </c>
      <c r="AP98" s="551">
        <v>132.3006</v>
      </c>
      <c r="AQ98" s="551">
        <v>14731.67181</v>
      </c>
      <c r="AR98" s="551">
        <v>0.92859999999999998</v>
      </c>
    </row>
    <row r="99" spans="2:44" x14ac:dyDescent="0.25">
      <c r="B99" s="552">
        <v>45287</v>
      </c>
      <c r="C99" s="548">
        <v>11.3443</v>
      </c>
      <c r="D99" s="548">
        <v>0</v>
      </c>
      <c r="E99" s="548">
        <v>24.555800000000001</v>
      </c>
      <c r="F99" s="548">
        <v>13.749599999999999</v>
      </c>
      <c r="G99" s="548">
        <v>11.8034</v>
      </c>
      <c r="H99" s="548">
        <v>8.4445999999999994</v>
      </c>
      <c r="I99" s="552">
        <v>45287</v>
      </c>
      <c r="J99" s="548">
        <v>19.383299999999998</v>
      </c>
      <c r="K99" s="548">
        <v>35.485399999999998</v>
      </c>
      <c r="L99" s="548">
        <v>29.194500000000001</v>
      </c>
      <c r="M99" s="548">
        <v>35.0306</v>
      </c>
      <c r="N99" s="548">
        <v>20.717300000000002</v>
      </c>
      <c r="O99" s="548">
        <v>16.581600000000002</v>
      </c>
      <c r="P99" s="548"/>
      <c r="Q99" s="552">
        <v>45287</v>
      </c>
      <c r="R99" s="4">
        <v>86.86</v>
      </c>
      <c r="S99" s="4">
        <v>16027.06</v>
      </c>
      <c r="T99" s="4">
        <v>3805.8049999999998</v>
      </c>
      <c r="U99" s="4">
        <v>1.2839615668883961</v>
      </c>
      <c r="V99" s="4">
        <v>1.4241072816953093</v>
      </c>
      <c r="W99" s="4">
        <v>1.603479889747736</v>
      </c>
      <c r="Y99" s="548">
        <v>86.86</v>
      </c>
      <c r="Z99" s="4">
        <v>176.74100000000001</v>
      </c>
      <c r="AA99" s="4">
        <v>79.492999999999995</v>
      </c>
      <c r="AB99" s="4">
        <v>25620</v>
      </c>
      <c r="AC99" s="4">
        <v>11830</v>
      </c>
      <c r="AD99" s="4">
        <v>78000</v>
      </c>
      <c r="AF99" s="4">
        <v>1.2839615668883961</v>
      </c>
      <c r="AG99" s="4">
        <v>0.91190568325465016</v>
      </c>
      <c r="AH99" s="4">
        <v>2.0098351537216828</v>
      </c>
      <c r="AI99" s="4">
        <v>1.9773553451110235</v>
      </c>
      <c r="AJ99" s="4">
        <v>2.9464508094645079</v>
      </c>
      <c r="AK99" s="4">
        <v>1.3087248322147651</v>
      </c>
      <c r="AM99" s="550">
        <v>45850</v>
      </c>
      <c r="AN99" s="551">
        <v>110.64</v>
      </c>
      <c r="AO99" s="551">
        <v>578872</v>
      </c>
      <c r="AP99" s="551">
        <v>132.3006</v>
      </c>
      <c r="AQ99" s="551">
        <v>14637.738384</v>
      </c>
      <c r="AR99" s="551">
        <v>0.92269999999999996</v>
      </c>
    </row>
    <row r="100" spans="2:44" x14ac:dyDescent="0.25">
      <c r="B100" s="552">
        <v>45280</v>
      </c>
      <c r="C100" s="548">
        <v>10.135</v>
      </c>
      <c r="D100" s="548">
        <v>0</v>
      </c>
      <c r="E100" s="548">
        <v>20.4482</v>
      </c>
      <c r="F100" s="548">
        <v>13.749599999999999</v>
      </c>
      <c r="G100" s="548">
        <v>11.6739</v>
      </c>
      <c r="H100" s="548">
        <v>8.0340000000000007</v>
      </c>
      <c r="I100" s="552">
        <v>45280</v>
      </c>
      <c r="J100" s="548">
        <v>17.434200000000001</v>
      </c>
      <c r="K100" s="548">
        <v>34.1023</v>
      </c>
      <c r="L100" s="548">
        <v>24.8169</v>
      </c>
      <c r="M100" s="548">
        <v>34.531599999999997</v>
      </c>
      <c r="N100" s="548">
        <v>20.524699999999999</v>
      </c>
      <c r="O100" s="548">
        <v>15.901400000000001</v>
      </c>
      <c r="P100" s="548"/>
      <c r="Q100" s="552">
        <v>45280</v>
      </c>
      <c r="R100" s="4">
        <v>80.47</v>
      </c>
      <c r="S100" s="4">
        <v>15482.79</v>
      </c>
      <c r="T100" s="4">
        <v>3556.7449999999999</v>
      </c>
      <c r="U100" s="4">
        <v>1.1895048041389504</v>
      </c>
      <c r="V100" s="4">
        <v>1.3757453943492643</v>
      </c>
      <c r="W100" s="4">
        <v>1.4985447442685087</v>
      </c>
      <c r="Y100" s="548">
        <v>80.47</v>
      </c>
      <c r="Z100" s="4">
        <v>169.852</v>
      </c>
      <c r="AA100" s="4">
        <v>75.492999999999995</v>
      </c>
      <c r="AB100" s="4">
        <v>25255</v>
      </c>
      <c r="AC100" s="4">
        <v>11720</v>
      </c>
      <c r="AD100" s="4">
        <v>74800</v>
      </c>
      <c r="AF100" s="4">
        <v>1.1895048041389504</v>
      </c>
      <c r="AG100" s="4">
        <v>0.87636147872971648</v>
      </c>
      <c r="AH100" s="4">
        <v>1.9087024676375404</v>
      </c>
      <c r="AI100" s="4">
        <v>1.9491845917556168</v>
      </c>
      <c r="AJ100" s="4">
        <v>2.9190535491905356</v>
      </c>
      <c r="AK100" s="4">
        <v>1.2550335570469799</v>
      </c>
      <c r="AM100" s="550">
        <v>45849</v>
      </c>
      <c r="AN100" s="551">
        <v>110.8</v>
      </c>
      <c r="AO100" s="551">
        <v>827570</v>
      </c>
      <c r="AP100" s="551">
        <v>132.3006</v>
      </c>
      <c r="AQ100" s="551">
        <v>14658.90648</v>
      </c>
      <c r="AR100" s="551">
        <v>0.92400000000000004</v>
      </c>
    </row>
    <row r="101" spans="2:44" x14ac:dyDescent="0.25">
      <c r="B101" s="552">
        <v>45273</v>
      </c>
      <c r="C101" s="548">
        <v>10.055999999999999</v>
      </c>
      <c r="D101" s="548">
        <v>0</v>
      </c>
      <c r="E101" s="548">
        <v>19.898</v>
      </c>
      <c r="F101" s="548">
        <v>13.749599999999999</v>
      </c>
      <c r="G101" s="548">
        <v>11.6622</v>
      </c>
      <c r="H101" s="548">
        <v>7.7774000000000001</v>
      </c>
      <c r="I101" s="552">
        <v>45273</v>
      </c>
      <c r="J101" s="548">
        <v>17.306799999999999</v>
      </c>
      <c r="K101" s="548">
        <v>33.717100000000002</v>
      </c>
      <c r="L101" s="548">
        <v>24.150300000000001</v>
      </c>
      <c r="M101" s="548">
        <v>33.423999999999999</v>
      </c>
      <c r="N101" s="548">
        <v>20.507200000000001</v>
      </c>
      <c r="O101" s="548">
        <v>15.4762</v>
      </c>
      <c r="P101" s="548"/>
      <c r="Q101" s="552">
        <v>45273</v>
      </c>
      <c r="R101" s="4">
        <v>78.900000000000006</v>
      </c>
      <c r="S101" s="4">
        <v>15154.93</v>
      </c>
      <c r="T101" s="4">
        <v>3444.893</v>
      </c>
      <c r="U101" s="4">
        <v>1.1662971175166297</v>
      </c>
      <c r="V101" s="4">
        <v>1.3466129262998139</v>
      </c>
      <c r="W101" s="4">
        <v>1.4514187268745371</v>
      </c>
      <c r="Y101" s="548">
        <v>78.900000000000006</v>
      </c>
      <c r="Z101" s="4">
        <v>167.93299999999999</v>
      </c>
      <c r="AA101" s="4">
        <v>73.465000000000003</v>
      </c>
      <c r="AB101" s="4">
        <v>24445</v>
      </c>
      <c r="AC101" s="4">
        <v>11710</v>
      </c>
      <c r="AD101" s="4">
        <v>72800</v>
      </c>
      <c r="AF101" s="4">
        <v>1.1662971175166297</v>
      </c>
      <c r="AG101" s="4">
        <v>0.86646028429172151</v>
      </c>
      <c r="AH101" s="4">
        <v>1.8574281957928804</v>
      </c>
      <c r="AI101" s="4">
        <v>1.8866686733504672</v>
      </c>
      <c r="AJ101" s="4">
        <v>2.916562889165629</v>
      </c>
      <c r="AK101" s="4">
        <v>1.2214765100671141</v>
      </c>
      <c r="AM101" s="550">
        <v>45848</v>
      </c>
      <c r="AN101" s="551">
        <v>110.69</v>
      </c>
      <c r="AO101" s="551">
        <v>837925</v>
      </c>
      <c r="AP101" s="551">
        <v>132.3006</v>
      </c>
      <c r="AQ101" s="551">
        <v>14644.353413999999</v>
      </c>
      <c r="AR101" s="551">
        <v>0.92310000000000003</v>
      </c>
    </row>
    <row r="102" spans="2:44" x14ac:dyDescent="0.25">
      <c r="B102" s="552">
        <v>45266</v>
      </c>
      <c r="C102" s="548">
        <v>8.9562000000000008</v>
      </c>
      <c r="D102" s="548">
        <v>0</v>
      </c>
      <c r="E102" s="548">
        <v>18.8186</v>
      </c>
      <c r="F102" s="548">
        <v>13.749599999999999</v>
      </c>
      <c r="G102" s="548">
        <v>10.7912</v>
      </c>
      <c r="H102" s="548">
        <v>7.6363000000000003</v>
      </c>
      <c r="I102" s="552">
        <v>45266</v>
      </c>
      <c r="J102" s="548">
        <v>15.534000000000001</v>
      </c>
      <c r="K102" s="548">
        <v>33.165300000000002</v>
      </c>
      <c r="L102" s="548">
        <v>22.842600000000001</v>
      </c>
      <c r="M102" s="548">
        <v>31.817399999999999</v>
      </c>
      <c r="N102" s="548">
        <v>19.211200000000002</v>
      </c>
      <c r="O102" s="548">
        <v>15.2423</v>
      </c>
      <c r="P102" s="548"/>
      <c r="Q102" s="552">
        <v>45266</v>
      </c>
      <c r="R102" s="4">
        <v>75.55</v>
      </c>
      <c r="S102" s="4">
        <v>14335.51</v>
      </c>
      <c r="T102" s="4">
        <v>3185.181</v>
      </c>
      <c r="U102" s="4">
        <v>1.1167775314116777</v>
      </c>
      <c r="V102" s="4">
        <v>1.2738021931543231</v>
      </c>
      <c r="W102" s="4">
        <v>1.3419956300195579</v>
      </c>
      <c r="Y102" s="548">
        <v>75.55</v>
      </c>
      <c r="Z102" s="4">
        <v>165.185</v>
      </c>
      <c r="AA102" s="4">
        <v>69.486999999999995</v>
      </c>
      <c r="AB102" s="4">
        <v>23270</v>
      </c>
      <c r="AC102" s="4">
        <v>10970</v>
      </c>
      <c r="AD102" s="4">
        <v>71700</v>
      </c>
      <c r="AF102" s="4">
        <v>1.1167775314116777</v>
      </c>
      <c r="AG102" s="4">
        <v>0.85228181513298762</v>
      </c>
      <c r="AH102" s="4">
        <v>1.7568517394822005</v>
      </c>
      <c r="AI102" s="4">
        <v>1.7959820015899108</v>
      </c>
      <c r="AJ102" s="4">
        <v>2.7322540473225403</v>
      </c>
      <c r="AK102" s="4">
        <v>1.2030201342281879</v>
      </c>
      <c r="AM102" s="550">
        <v>45847</v>
      </c>
      <c r="AN102" s="551">
        <v>109.09</v>
      </c>
      <c r="AO102" s="551">
        <v>940238</v>
      </c>
      <c r="AP102" s="551">
        <v>132.3006</v>
      </c>
      <c r="AQ102" s="551">
        <v>14432.672454000001</v>
      </c>
      <c r="AR102" s="551">
        <v>0.90969999999999995</v>
      </c>
    </row>
    <row r="103" spans="2:44" x14ac:dyDescent="0.25">
      <c r="B103" s="552">
        <v>45259</v>
      </c>
      <c r="C103" s="548">
        <v>9.4665999999999997</v>
      </c>
      <c r="D103" s="548">
        <v>0</v>
      </c>
      <c r="E103" s="548">
        <v>19.337399999999999</v>
      </c>
      <c r="F103" s="548">
        <v>13.749599999999999</v>
      </c>
      <c r="G103" s="548">
        <v>10.4617</v>
      </c>
      <c r="H103" s="548">
        <v>7.7645999999999997</v>
      </c>
      <c r="I103" s="552">
        <v>45259</v>
      </c>
      <c r="J103" s="548">
        <v>16.3568</v>
      </c>
      <c r="K103" s="548">
        <v>35.101700000000001</v>
      </c>
      <c r="L103" s="548">
        <v>23.4711</v>
      </c>
      <c r="M103" s="548">
        <v>32.753999999999998</v>
      </c>
      <c r="N103" s="548">
        <v>18.7209</v>
      </c>
      <c r="O103" s="548">
        <v>15.4549</v>
      </c>
      <c r="P103" s="548"/>
      <c r="Q103" s="552">
        <v>45259</v>
      </c>
      <c r="R103" s="4">
        <v>76.7</v>
      </c>
      <c r="S103" s="4">
        <v>14604.85</v>
      </c>
      <c r="T103" s="4">
        <v>3298.5419999999999</v>
      </c>
      <c r="U103" s="4">
        <v>1.1337767923133777</v>
      </c>
      <c r="V103" s="4">
        <v>1.297734783114791</v>
      </c>
      <c r="W103" s="4">
        <v>1.3897574264809356</v>
      </c>
      <c r="Y103" s="548">
        <v>76.7</v>
      </c>
      <c r="Z103" s="4">
        <v>174.83</v>
      </c>
      <c r="AA103" s="4">
        <v>71.399000000000001</v>
      </c>
      <c r="AB103" s="4">
        <v>23955</v>
      </c>
      <c r="AC103" s="4">
        <v>10690</v>
      </c>
      <c r="AD103" s="4">
        <v>72700</v>
      </c>
      <c r="AF103" s="4">
        <v>1.1337767923133777</v>
      </c>
      <c r="AG103" s="4">
        <v>0.90204576529164415</v>
      </c>
      <c r="AH103" s="4">
        <v>1.8051931634304208</v>
      </c>
      <c r="AI103" s="4">
        <v>1.8488504017226608</v>
      </c>
      <c r="AJ103" s="4">
        <v>2.6625155666251556</v>
      </c>
      <c r="AK103" s="4">
        <v>1.2197986577181208</v>
      </c>
      <c r="AM103" s="550">
        <v>45846</v>
      </c>
      <c r="AN103" s="551">
        <v>109.85</v>
      </c>
      <c r="AO103" s="551">
        <v>2196955</v>
      </c>
      <c r="AP103" s="551">
        <v>132.3006</v>
      </c>
      <c r="AQ103" s="551">
        <v>14533.22091</v>
      </c>
      <c r="AR103" s="551">
        <v>0.91610000000000003</v>
      </c>
    </row>
    <row r="104" spans="2:44" x14ac:dyDescent="0.25">
      <c r="B104" s="552">
        <v>45252</v>
      </c>
      <c r="C104" s="548">
        <v>10.025700000000001</v>
      </c>
      <c r="D104" s="548">
        <v>0</v>
      </c>
      <c r="E104" s="548">
        <v>19.4316</v>
      </c>
      <c r="F104" s="548">
        <v>13.749599999999999</v>
      </c>
      <c r="G104" s="548">
        <v>9.5259999999999998</v>
      </c>
      <c r="H104" s="548">
        <v>7.7774000000000001</v>
      </c>
      <c r="I104" s="552">
        <v>45252</v>
      </c>
      <c r="J104" s="548">
        <v>17.257899999999999</v>
      </c>
      <c r="K104" s="548">
        <v>35.039299999999997</v>
      </c>
      <c r="L104" s="548">
        <v>23.5852</v>
      </c>
      <c r="M104" s="548">
        <v>32.740400000000001</v>
      </c>
      <c r="N104" s="548">
        <v>17.328600000000002</v>
      </c>
      <c r="O104" s="548">
        <v>15.4762</v>
      </c>
      <c r="P104" s="548"/>
      <c r="Q104" s="552">
        <v>45252</v>
      </c>
      <c r="R104" s="4">
        <v>82.28</v>
      </c>
      <c r="S104" s="4">
        <v>15172.73</v>
      </c>
      <c r="T104" s="4">
        <v>3502.5120000000002</v>
      </c>
      <c r="U104" s="4">
        <v>1.2162601626016258</v>
      </c>
      <c r="V104" s="4">
        <v>1.3481945706946172</v>
      </c>
      <c r="W104" s="4">
        <v>1.4756950383953258</v>
      </c>
      <c r="Y104" s="548">
        <v>82.28</v>
      </c>
      <c r="Z104" s="4">
        <v>174.51900000000001</v>
      </c>
      <c r="AA104" s="4">
        <v>71.745999999999995</v>
      </c>
      <c r="AB104" s="4">
        <v>23945</v>
      </c>
      <c r="AC104" s="4">
        <v>9895</v>
      </c>
      <c r="AD104" s="4">
        <v>72800</v>
      </c>
      <c r="AF104" s="4">
        <v>1.2162601626016258</v>
      </c>
      <c r="AG104" s="4">
        <v>0.90044114232644534</v>
      </c>
      <c r="AH104" s="4">
        <v>1.8139664239482201</v>
      </c>
      <c r="AI104" s="4">
        <v>1.8480786002608689</v>
      </c>
      <c r="AJ104" s="4">
        <v>2.464508094645081</v>
      </c>
      <c r="AK104" s="4">
        <v>1.2214765100671141</v>
      </c>
      <c r="AM104" s="550">
        <v>45845</v>
      </c>
      <c r="AN104" s="551">
        <v>109.85</v>
      </c>
      <c r="AO104" s="551">
        <v>2196955</v>
      </c>
      <c r="AP104" s="551">
        <v>132.3006</v>
      </c>
      <c r="AQ104" s="551">
        <v>14533.22091</v>
      </c>
      <c r="AR104" s="551">
        <v>0.91610000000000003</v>
      </c>
    </row>
    <row r="105" spans="2:44" x14ac:dyDescent="0.25">
      <c r="B105" s="552">
        <v>45245</v>
      </c>
      <c r="C105" s="548">
        <v>10.4024</v>
      </c>
      <c r="D105" s="548">
        <v>0</v>
      </c>
      <c r="E105" s="548">
        <v>18.9008</v>
      </c>
      <c r="F105" s="548">
        <v>13.749599999999999</v>
      </c>
      <c r="G105" s="548">
        <v>9.3553999999999995</v>
      </c>
      <c r="H105" s="548">
        <v>7.7004000000000001</v>
      </c>
      <c r="I105" s="552">
        <v>45245</v>
      </c>
      <c r="J105" s="548">
        <v>17.865100000000002</v>
      </c>
      <c r="K105" s="548">
        <v>37.746000000000002</v>
      </c>
      <c r="L105" s="548">
        <v>22.9422</v>
      </c>
      <c r="M105" s="548">
        <v>32.972799999999999</v>
      </c>
      <c r="N105" s="548">
        <v>17.0747</v>
      </c>
      <c r="O105" s="548">
        <v>15.348599999999999</v>
      </c>
      <c r="P105" s="548"/>
      <c r="Q105" s="552">
        <v>45245</v>
      </c>
      <c r="R105" s="4">
        <v>82.58</v>
      </c>
      <c r="S105" s="4">
        <v>15047.15</v>
      </c>
      <c r="T105" s="4">
        <v>3467.3519999999999</v>
      </c>
      <c r="U105" s="4">
        <v>1.2206947524020693</v>
      </c>
      <c r="V105" s="4">
        <v>1.3370359806328531</v>
      </c>
      <c r="W105" s="4">
        <v>1.4608812597273355</v>
      </c>
      <c r="Y105" s="548">
        <v>82.58</v>
      </c>
      <c r="Z105" s="4">
        <v>188</v>
      </c>
      <c r="AA105" s="4">
        <v>69.790000000000006</v>
      </c>
      <c r="AB105" s="4">
        <v>24115</v>
      </c>
      <c r="AC105" s="4">
        <v>9750</v>
      </c>
      <c r="AD105" s="4">
        <v>72200</v>
      </c>
      <c r="AF105" s="4">
        <v>1.2206947524020693</v>
      </c>
      <c r="AG105" s="4">
        <v>0.96999716224234456</v>
      </c>
      <c r="AH105" s="4">
        <v>1.7645125404530746</v>
      </c>
      <c r="AI105" s="4">
        <v>1.8611992251113323</v>
      </c>
      <c r="AJ105" s="4">
        <v>2.4283935242839352</v>
      </c>
      <c r="AK105" s="4">
        <v>1.2114093959731544</v>
      </c>
      <c r="AM105" s="550">
        <v>45844</v>
      </c>
      <c r="AN105" s="551">
        <v>109.85</v>
      </c>
      <c r="AO105" s="551">
        <v>2196955</v>
      </c>
      <c r="AP105" s="551">
        <v>132.3006</v>
      </c>
      <c r="AQ105" s="551">
        <v>14533.22091</v>
      </c>
      <c r="AR105" s="551">
        <v>0.91610000000000003</v>
      </c>
    </row>
    <row r="106" spans="2:44" x14ac:dyDescent="0.25">
      <c r="B106" s="552">
        <v>45238</v>
      </c>
      <c r="C106" s="548">
        <v>10.065099999999999</v>
      </c>
      <c r="D106" s="548">
        <v>0</v>
      </c>
      <c r="E106" s="548">
        <v>17.535499999999999</v>
      </c>
      <c r="F106" s="548">
        <v>13.749599999999999</v>
      </c>
      <c r="G106" s="548">
        <v>8.1537000000000006</v>
      </c>
      <c r="H106" s="548">
        <v>7.4053000000000004</v>
      </c>
      <c r="I106" s="552">
        <v>45238</v>
      </c>
      <c r="J106" s="548">
        <v>17.3215</v>
      </c>
      <c r="K106" s="548">
        <v>38.663699999999999</v>
      </c>
      <c r="L106" s="548">
        <v>21.288</v>
      </c>
      <c r="M106" s="548">
        <v>29.069099999999999</v>
      </c>
      <c r="N106" s="548">
        <v>15.2867</v>
      </c>
      <c r="O106" s="548">
        <v>14.8597</v>
      </c>
      <c r="P106" s="548"/>
      <c r="Q106" s="552">
        <v>45238</v>
      </c>
      <c r="R106" s="4">
        <v>81.06</v>
      </c>
      <c r="S106" s="4">
        <v>14837.57</v>
      </c>
      <c r="T106" s="4">
        <v>3448.8530000000001</v>
      </c>
      <c r="U106" s="4">
        <v>1.1982261640798226</v>
      </c>
      <c r="V106" s="4">
        <v>1.3184134507304441</v>
      </c>
      <c r="W106" s="4">
        <v>1.4530871729361197</v>
      </c>
      <c r="Y106" s="548">
        <v>81.06</v>
      </c>
      <c r="Z106" s="4">
        <v>192.57</v>
      </c>
      <c r="AA106" s="4">
        <v>64.757999999999996</v>
      </c>
      <c r="AB106" s="4">
        <v>21260</v>
      </c>
      <c r="AC106" s="4">
        <v>8729</v>
      </c>
      <c r="AD106" s="4">
        <v>69900</v>
      </c>
      <c r="AF106" s="4">
        <v>1.1982261640798226</v>
      </c>
      <c r="AG106" s="4">
        <v>0.99357634857983124</v>
      </c>
      <c r="AH106" s="4">
        <v>1.6372876213592231</v>
      </c>
      <c r="AI106" s="4">
        <v>1.6408499077697252</v>
      </c>
      <c r="AJ106" s="4">
        <v>2.1740971357409715</v>
      </c>
      <c r="AK106" s="4">
        <v>1.1728187919463087</v>
      </c>
      <c r="AM106" s="550">
        <v>45843</v>
      </c>
      <c r="AN106" s="551">
        <v>108.79</v>
      </c>
      <c r="AO106" s="551">
        <v>879678</v>
      </c>
      <c r="AP106" s="551">
        <v>132.3006</v>
      </c>
      <c r="AQ106" s="551">
        <v>14392.982274000002</v>
      </c>
      <c r="AR106" s="551">
        <v>0.90720000000000001</v>
      </c>
    </row>
    <row r="107" spans="2:44" x14ac:dyDescent="0.25">
      <c r="B107" s="552">
        <v>45231</v>
      </c>
      <c r="C107" s="548">
        <v>7.4909999999999997</v>
      </c>
      <c r="D107" s="548">
        <v>0</v>
      </c>
      <c r="E107" s="548">
        <v>16.4252</v>
      </c>
      <c r="F107" s="548">
        <v>13.749599999999999</v>
      </c>
      <c r="G107" s="548">
        <v>6.6378000000000004</v>
      </c>
      <c r="H107" s="548">
        <v>7.2385000000000002</v>
      </c>
      <c r="I107" s="552">
        <v>45231</v>
      </c>
      <c r="J107" s="548">
        <v>13.3009</v>
      </c>
      <c r="K107" s="548">
        <v>37.545299999999997</v>
      </c>
      <c r="L107" s="548">
        <v>19.942799999999998</v>
      </c>
      <c r="M107" s="548">
        <v>27.8796</v>
      </c>
      <c r="N107" s="548">
        <v>13.0311</v>
      </c>
      <c r="O107" s="548">
        <v>14.583299999999999</v>
      </c>
      <c r="P107" s="548"/>
      <c r="Q107" s="552">
        <v>45231</v>
      </c>
      <c r="R107" s="4">
        <v>81.98</v>
      </c>
      <c r="S107" s="4">
        <v>14768.9</v>
      </c>
      <c r="T107" s="4">
        <v>3389.4630000000002</v>
      </c>
      <c r="U107" s="4">
        <v>1.2118255728011824</v>
      </c>
      <c r="V107" s="4">
        <v>1.3123116799107171</v>
      </c>
      <c r="W107" s="4">
        <v>1.4280646952600122</v>
      </c>
      <c r="Y107" s="548">
        <v>81.98</v>
      </c>
      <c r="Z107" s="4">
        <v>187</v>
      </c>
      <c r="AA107" s="4">
        <v>60.665999999999997</v>
      </c>
      <c r="AB107" s="4">
        <v>20390</v>
      </c>
      <c r="AC107" s="4">
        <v>7441</v>
      </c>
      <c r="AD107" s="4">
        <v>68600</v>
      </c>
      <c r="AF107" s="4">
        <v>1.2118255728011824</v>
      </c>
      <c r="AG107" s="4">
        <v>0.96483760286871501</v>
      </c>
      <c r="AH107" s="4">
        <v>1.5338288834951455</v>
      </c>
      <c r="AI107" s="4">
        <v>1.573703180593824</v>
      </c>
      <c r="AJ107" s="4">
        <v>1.8533001245330012</v>
      </c>
      <c r="AK107" s="4">
        <v>1.151006711409396</v>
      </c>
      <c r="AM107" s="550">
        <v>45842</v>
      </c>
      <c r="AN107" s="551">
        <v>108.15</v>
      </c>
      <c r="AO107" s="551">
        <v>742914</v>
      </c>
      <c r="AP107" s="551">
        <v>132.3006</v>
      </c>
      <c r="AQ107" s="551">
        <v>14308.30989</v>
      </c>
      <c r="AR107" s="551">
        <v>0.90190000000000003</v>
      </c>
    </row>
    <row r="108" spans="2:44" x14ac:dyDescent="0.25">
      <c r="B108" s="552">
        <v>45224</v>
      </c>
      <c r="C108" s="548">
        <v>10.2773</v>
      </c>
      <c r="D108" s="548">
        <v>0</v>
      </c>
      <c r="E108" s="548">
        <v>15.792400000000001</v>
      </c>
      <c r="F108" s="548">
        <v>13.749599999999999</v>
      </c>
      <c r="G108" s="548">
        <v>6.6931000000000003</v>
      </c>
      <c r="H108" s="548">
        <v>7.1616</v>
      </c>
      <c r="I108" s="552">
        <v>45224</v>
      </c>
      <c r="J108" s="548">
        <v>17.835699999999999</v>
      </c>
      <c r="K108" s="548">
        <v>36.884900000000002</v>
      </c>
      <c r="L108" s="548">
        <v>19.176200000000001</v>
      </c>
      <c r="M108" s="548">
        <v>27.845400000000001</v>
      </c>
      <c r="N108" s="548">
        <v>13.1134</v>
      </c>
      <c r="O108" s="548">
        <v>14.4558</v>
      </c>
      <c r="P108" s="548"/>
      <c r="Q108" s="552">
        <v>45224</v>
      </c>
      <c r="R108" s="4">
        <v>84.72</v>
      </c>
      <c r="S108" s="4">
        <v>15225.37</v>
      </c>
      <c r="T108" s="4">
        <v>3492.4679999999998</v>
      </c>
      <c r="U108" s="4">
        <v>1.2523281596452327</v>
      </c>
      <c r="V108" s="4">
        <v>1.3528719729947547</v>
      </c>
      <c r="W108" s="4">
        <v>1.4714632524754936</v>
      </c>
      <c r="Y108" s="548">
        <v>84.72</v>
      </c>
      <c r="Z108" s="4">
        <v>183.71100000000001</v>
      </c>
      <c r="AA108" s="4">
        <v>58.334000000000003</v>
      </c>
      <c r="AB108" s="4">
        <v>20365</v>
      </c>
      <c r="AC108" s="4">
        <v>7488</v>
      </c>
      <c r="AD108" s="4">
        <v>68000</v>
      </c>
      <c r="AF108" s="4">
        <v>1.2523281596452327</v>
      </c>
      <c r="AG108" s="4">
        <v>0.94786781208884774</v>
      </c>
      <c r="AH108" s="4">
        <v>1.4748685275080906</v>
      </c>
      <c r="AI108" s="4">
        <v>1.571773676939344</v>
      </c>
      <c r="AJ108" s="4">
        <v>1.8650062266500622</v>
      </c>
      <c r="AK108" s="4">
        <v>1.1409395973154361</v>
      </c>
      <c r="AM108" s="550">
        <v>45841</v>
      </c>
      <c r="AN108" s="551">
        <v>109.37</v>
      </c>
      <c r="AO108" s="551">
        <v>689076</v>
      </c>
      <c r="AP108" s="551">
        <v>132.3006</v>
      </c>
      <c r="AQ108" s="551">
        <v>14469.716622000002</v>
      </c>
      <c r="AR108" s="551">
        <v>0.91210000000000002</v>
      </c>
    </row>
    <row r="109" spans="2:44" x14ac:dyDescent="0.25">
      <c r="B109" s="552">
        <v>45217</v>
      </c>
      <c r="C109" s="548">
        <v>10.8972</v>
      </c>
      <c r="D109" s="548">
        <v>0</v>
      </c>
      <c r="E109" s="548">
        <v>17.427600000000002</v>
      </c>
      <c r="F109" s="548">
        <v>13.749599999999999</v>
      </c>
      <c r="G109" s="548">
        <v>6.9931999999999999</v>
      </c>
      <c r="H109" s="548">
        <v>7.4823000000000004</v>
      </c>
      <c r="I109" s="552">
        <v>45217</v>
      </c>
      <c r="J109" s="548">
        <v>18.8446</v>
      </c>
      <c r="K109" s="548">
        <v>36.322699999999998</v>
      </c>
      <c r="L109" s="548">
        <v>21.112400000000001</v>
      </c>
      <c r="M109" s="548">
        <v>28.9529</v>
      </c>
      <c r="N109" s="548">
        <v>13.559900000000001</v>
      </c>
      <c r="O109" s="548">
        <v>14.9872</v>
      </c>
      <c r="P109" s="548"/>
      <c r="Q109" s="552">
        <v>45217</v>
      </c>
      <c r="R109" s="4">
        <v>85.28</v>
      </c>
      <c r="S109" s="4">
        <v>15461.87</v>
      </c>
      <c r="T109" s="4">
        <v>3569.23</v>
      </c>
      <c r="U109" s="4">
        <v>1.2606060606060605</v>
      </c>
      <c r="V109" s="4">
        <v>1.3738865179032371</v>
      </c>
      <c r="W109" s="4">
        <v>1.5038049839348868</v>
      </c>
      <c r="Y109" s="548">
        <v>85.28</v>
      </c>
      <c r="Z109" s="4">
        <v>180.911</v>
      </c>
      <c r="AA109" s="4">
        <v>64.224000000000004</v>
      </c>
      <c r="AB109" s="4">
        <v>21175</v>
      </c>
      <c r="AC109" s="4">
        <v>7743</v>
      </c>
      <c r="AD109" s="4">
        <v>70500</v>
      </c>
      <c r="AF109" s="4">
        <v>1.2606060606060605</v>
      </c>
      <c r="AG109" s="4">
        <v>0.93342104584268504</v>
      </c>
      <c r="AH109" s="4">
        <v>1.6237864077669903</v>
      </c>
      <c r="AI109" s="4">
        <v>1.6342895953444936</v>
      </c>
      <c r="AJ109" s="4">
        <v>1.9285180572851806</v>
      </c>
      <c r="AK109" s="4">
        <v>1.1828859060402686</v>
      </c>
      <c r="AM109" s="550">
        <v>45840</v>
      </c>
      <c r="AN109" s="551">
        <v>107.6</v>
      </c>
      <c r="AO109" s="551">
        <v>537047</v>
      </c>
      <c r="AP109" s="551">
        <v>132.3006</v>
      </c>
      <c r="AQ109" s="551">
        <v>14235.54456</v>
      </c>
      <c r="AR109" s="551">
        <v>0.89729999999999999</v>
      </c>
    </row>
    <row r="110" spans="2:44" x14ac:dyDescent="0.25">
      <c r="B110" s="552">
        <v>45210</v>
      </c>
      <c r="C110" s="548">
        <v>11.396599999999999</v>
      </c>
      <c r="D110" s="548">
        <v>0</v>
      </c>
      <c r="E110" s="548">
        <v>17.471800000000002</v>
      </c>
      <c r="F110" s="548">
        <v>13.749599999999999</v>
      </c>
      <c r="G110" s="548">
        <v>6.5731000000000002</v>
      </c>
      <c r="H110" s="548">
        <v>7.1871999999999998</v>
      </c>
      <c r="I110" s="552">
        <v>45210</v>
      </c>
      <c r="J110" s="548">
        <v>19.657499999999999</v>
      </c>
      <c r="K110" s="548">
        <v>36.331699999999998</v>
      </c>
      <c r="L110" s="548">
        <v>21.095700000000001</v>
      </c>
      <c r="M110" s="548">
        <v>28.111999999999998</v>
      </c>
      <c r="N110" s="548">
        <v>12.934699999999999</v>
      </c>
      <c r="O110" s="548">
        <v>14.4983</v>
      </c>
      <c r="P110" s="548"/>
      <c r="Q110" s="552">
        <v>45210</v>
      </c>
      <c r="R110" s="4">
        <v>88.12</v>
      </c>
      <c r="S110" s="4">
        <v>15052.46</v>
      </c>
      <c r="T110" s="4">
        <v>3537.8690000000001</v>
      </c>
      <c r="U110" s="4">
        <v>1.3025868440502586</v>
      </c>
      <c r="V110" s="4">
        <v>1.3375078082584939</v>
      </c>
      <c r="W110" s="4">
        <v>1.490591818041632</v>
      </c>
      <c r="Y110" s="548">
        <v>88.12</v>
      </c>
      <c r="Z110" s="4">
        <v>180.95599999999999</v>
      </c>
      <c r="AA110" s="4">
        <v>64.173000000000002</v>
      </c>
      <c r="AB110" s="4">
        <v>20560</v>
      </c>
      <c r="AC110" s="4">
        <v>7386</v>
      </c>
      <c r="AD110" s="4">
        <v>68200</v>
      </c>
      <c r="AF110" s="4">
        <v>1.3025868440502586</v>
      </c>
      <c r="AG110" s="4">
        <v>0.93365322601449829</v>
      </c>
      <c r="AH110" s="4">
        <v>1.6224969660194175</v>
      </c>
      <c r="AI110" s="4">
        <v>1.5868238054442874</v>
      </c>
      <c r="AJ110" s="4">
        <v>1.8396014943960148</v>
      </c>
      <c r="AK110" s="4">
        <v>1.1442953020134228</v>
      </c>
      <c r="AM110" s="550">
        <v>45839</v>
      </c>
      <c r="AN110" s="551">
        <v>107.6</v>
      </c>
      <c r="AO110" s="551">
        <v>537047</v>
      </c>
      <c r="AP110" s="551">
        <v>132.3006</v>
      </c>
      <c r="AQ110" s="551">
        <v>14235.54456</v>
      </c>
      <c r="AR110" s="551">
        <v>0.89729999999999999</v>
      </c>
    </row>
    <row r="111" spans="2:44" x14ac:dyDescent="0.25">
      <c r="B111" s="552">
        <v>45203</v>
      </c>
      <c r="C111" s="548">
        <v>10.1509</v>
      </c>
      <c r="D111" s="548">
        <v>0</v>
      </c>
      <c r="E111" s="548">
        <v>17.216799999999999</v>
      </c>
      <c r="F111" s="548">
        <v>13.749599999999999</v>
      </c>
      <c r="G111" s="548">
        <v>6.1306000000000003</v>
      </c>
      <c r="H111" s="548">
        <v>7.0974000000000004</v>
      </c>
      <c r="I111" s="552">
        <v>45203</v>
      </c>
      <c r="J111" s="548">
        <v>17.630099999999999</v>
      </c>
      <c r="K111" s="548">
        <v>36.197400000000002</v>
      </c>
      <c r="L111" s="548">
        <v>20.7883</v>
      </c>
      <c r="M111" s="548">
        <v>26.4712</v>
      </c>
      <c r="N111" s="548">
        <v>12.276300000000001</v>
      </c>
      <c r="O111" s="548">
        <v>14.349500000000001</v>
      </c>
      <c r="P111" s="548"/>
      <c r="Q111" s="552">
        <v>45203</v>
      </c>
      <c r="R111" s="4">
        <v>88.12</v>
      </c>
      <c r="S111" s="4">
        <v>15052.46</v>
      </c>
      <c r="T111" s="4">
        <v>3537.8690000000001</v>
      </c>
      <c r="U111" s="4">
        <v>1.3025868440502586</v>
      </c>
      <c r="V111" s="4">
        <v>1.3375078082584939</v>
      </c>
      <c r="W111" s="4">
        <v>1.490591818041632</v>
      </c>
      <c r="Y111" s="548">
        <v>88.12</v>
      </c>
      <c r="Z111" s="4">
        <v>172.55600000000001</v>
      </c>
      <c r="AA111" s="4">
        <v>63.238</v>
      </c>
      <c r="AB111" s="4">
        <v>19360</v>
      </c>
      <c r="AC111" s="4">
        <v>7010</v>
      </c>
      <c r="AD111" s="4">
        <v>67500</v>
      </c>
      <c r="AF111" s="4">
        <v>1.3025868440502586</v>
      </c>
      <c r="AG111" s="4">
        <v>0.89031292727601075</v>
      </c>
      <c r="AH111" s="4">
        <v>1.5988572006472492</v>
      </c>
      <c r="AI111" s="4">
        <v>1.4942076300292513</v>
      </c>
      <c r="AJ111" s="4">
        <v>1.7459526774595269</v>
      </c>
      <c r="AK111" s="4">
        <v>1.1325503355704698</v>
      </c>
      <c r="AM111" s="550">
        <v>45838</v>
      </c>
      <c r="AN111" s="551">
        <v>107.6</v>
      </c>
      <c r="AO111" s="551">
        <v>537047</v>
      </c>
      <c r="AP111" s="551">
        <v>132.3006</v>
      </c>
      <c r="AQ111" s="551">
        <v>14235.54456</v>
      </c>
      <c r="AR111" s="551">
        <v>0.89729999999999999</v>
      </c>
    </row>
    <row r="112" spans="2:44" x14ac:dyDescent="0.25">
      <c r="B112" s="552">
        <v>45196</v>
      </c>
      <c r="C112" s="548">
        <v>10.353899999999999</v>
      </c>
      <c r="D112" s="548">
        <v>0</v>
      </c>
      <c r="E112" s="548">
        <v>16.713100000000001</v>
      </c>
      <c r="F112" s="548">
        <v>13.749599999999999</v>
      </c>
      <c r="G112" s="548">
        <v>7.2389999999999999</v>
      </c>
      <c r="H112" s="548">
        <v>5.9965000000000002</v>
      </c>
      <c r="I112" s="552">
        <v>45196</v>
      </c>
      <c r="J112" s="548">
        <v>16.2089</v>
      </c>
      <c r="K112" s="548">
        <v>36.197400000000002</v>
      </c>
      <c r="L112" s="548">
        <v>20.1815</v>
      </c>
      <c r="M112" s="548">
        <v>21.218699999999998</v>
      </c>
      <c r="N112" s="548">
        <v>13.6319</v>
      </c>
      <c r="O112" s="548">
        <v>13.0534</v>
      </c>
      <c r="P112" s="548"/>
      <c r="Q112" s="552">
        <v>45196</v>
      </c>
      <c r="R112" s="4">
        <v>86.86</v>
      </c>
      <c r="S112" s="4">
        <v>14936.69</v>
      </c>
      <c r="T112" s="4">
        <v>3560.7429999999999</v>
      </c>
      <c r="U112" s="4">
        <v>1.2839615668883961</v>
      </c>
      <c r="V112" s="4">
        <v>1.3272208997424051</v>
      </c>
      <c r="W112" s="4">
        <v>1.5002292006710862</v>
      </c>
      <c r="Y112" s="548">
        <v>86.86</v>
      </c>
      <c r="Z112" s="4">
        <v>172.55600000000001</v>
      </c>
      <c r="AA112" s="4">
        <v>61.392000000000003</v>
      </c>
      <c r="AB112" s="4">
        <v>20300</v>
      </c>
      <c r="AC112" s="4">
        <v>7307.5</v>
      </c>
      <c r="AD112" s="4">
        <v>68400</v>
      </c>
      <c r="AF112" s="4">
        <v>1.2839615668883961</v>
      </c>
      <c r="AG112" s="4">
        <v>0.89031292727601075</v>
      </c>
      <c r="AH112" s="4">
        <v>1.5521844660194175</v>
      </c>
      <c r="AI112" s="4">
        <v>1.5667569674376962</v>
      </c>
      <c r="AJ112" s="4">
        <v>1.8200498132004981</v>
      </c>
      <c r="AK112" s="4">
        <v>1.1476510067114094</v>
      </c>
      <c r="AM112" s="550">
        <v>45837</v>
      </c>
      <c r="AN112" s="551">
        <v>107.6</v>
      </c>
      <c r="AO112" s="551">
        <v>537047</v>
      </c>
      <c r="AP112" s="551">
        <v>132.3006</v>
      </c>
      <c r="AQ112" s="551">
        <v>14235.54456</v>
      </c>
      <c r="AR112" s="551">
        <v>0.89729999999999999</v>
      </c>
    </row>
    <row r="113" spans="2:44" x14ac:dyDescent="0.25">
      <c r="B113" s="552">
        <v>45189</v>
      </c>
      <c r="C113" s="548">
        <v>9.2157</v>
      </c>
      <c r="D113" s="548">
        <v>0</v>
      </c>
      <c r="E113" s="548">
        <v>14.8407</v>
      </c>
      <c r="F113" s="548">
        <v>13.749599999999999</v>
      </c>
      <c r="G113" s="548">
        <v>6.9349999999999996</v>
      </c>
      <c r="H113" s="548">
        <v>6.1265000000000001</v>
      </c>
      <c r="I113" s="552">
        <v>45189</v>
      </c>
      <c r="J113" s="548">
        <v>14.507099999999999</v>
      </c>
      <c r="K113" s="548">
        <v>36.357399999999998</v>
      </c>
      <c r="L113" s="548">
        <v>18.213699999999999</v>
      </c>
      <c r="M113" s="548">
        <v>21.6629</v>
      </c>
      <c r="N113" s="548">
        <v>13.179500000000001</v>
      </c>
      <c r="O113" s="548">
        <v>13.282400000000001</v>
      </c>
      <c r="P113" s="548"/>
      <c r="Q113" s="552">
        <v>45189</v>
      </c>
      <c r="R113" s="4">
        <v>89.86</v>
      </c>
      <c r="S113" s="4">
        <v>15205.59</v>
      </c>
      <c r="T113" s="4">
        <v>3615.45</v>
      </c>
      <c r="U113" s="4">
        <v>1.3283074648928306</v>
      </c>
      <c r="V113" s="4">
        <v>1.3511143928751361</v>
      </c>
      <c r="W113" s="4">
        <v>1.5232786144819432</v>
      </c>
      <c r="Y113" s="548">
        <v>89.86</v>
      </c>
      <c r="Z113" s="4">
        <v>173.31899999999999</v>
      </c>
      <c r="AA113" s="4">
        <v>61.886000000000003</v>
      </c>
      <c r="AB113" s="4">
        <v>20725</v>
      </c>
      <c r="AC113" s="4">
        <v>7065</v>
      </c>
      <c r="AD113" s="4">
        <v>69600</v>
      </c>
      <c r="AF113" s="4">
        <v>1.3283074648928306</v>
      </c>
      <c r="AG113" s="4">
        <v>0.89424967107808984</v>
      </c>
      <c r="AH113" s="4">
        <v>1.5646743527508091</v>
      </c>
      <c r="AI113" s="4">
        <v>1.5995585295638548</v>
      </c>
      <c r="AJ113" s="4">
        <v>1.759651307596513</v>
      </c>
      <c r="AK113" s="4">
        <v>1.1677852348993289</v>
      </c>
      <c r="AM113" s="550">
        <v>45836</v>
      </c>
      <c r="AN113" s="551">
        <v>107.37</v>
      </c>
      <c r="AO113" s="551">
        <v>630517</v>
      </c>
      <c r="AP113" s="551">
        <v>132.3006</v>
      </c>
      <c r="AQ113" s="551">
        <v>14205.115422000001</v>
      </c>
      <c r="AR113" s="551">
        <v>0.89539999999999997</v>
      </c>
    </row>
    <row r="114" spans="2:44" x14ac:dyDescent="0.25">
      <c r="B114" s="552">
        <v>45182</v>
      </c>
      <c r="C114" s="548">
        <v>10.3354</v>
      </c>
      <c r="D114" s="548">
        <v>0</v>
      </c>
      <c r="E114" s="548">
        <v>15.7966</v>
      </c>
      <c r="F114" s="548">
        <v>13.749599999999999</v>
      </c>
      <c r="G114" s="548">
        <v>6.8502999999999998</v>
      </c>
      <c r="H114" s="548">
        <v>6.2674000000000003</v>
      </c>
      <c r="I114" s="552">
        <v>45182</v>
      </c>
      <c r="J114" s="548">
        <v>16.1813</v>
      </c>
      <c r="K114" s="548">
        <v>40.346200000000003</v>
      </c>
      <c r="L114" s="548">
        <v>19.385000000000002</v>
      </c>
      <c r="M114" s="548">
        <v>21.5427</v>
      </c>
      <c r="N114" s="548">
        <v>13.053599999999999</v>
      </c>
      <c r="O114" s="548">
        <v>13.5305</v>
      </c>
      <c r="P114" s="548"/>
      <c r="Q114" s="552">
        <v>45182</v>
      </c>
      <c r="R114" s="4">
        <v>87.05</v>
      </c>
      <c r="S114" s="4">
        <v>15407.85</v>
      </c>
      <c r="T114" s="4">
        <v>3739.4079999999999</v>
      </c>
      <c r="U114" s="4">
        <v>1.2867701404286769</v>
      </c>
      <c r="V114" s="4">
        <v>1.369086493734289</v>
      </c>
      <c r="W114" s="4">
        <v>1.5755051894571062</v>
      </c>
      <c r="Y114" s="548">
        <v>87.05</v>
      </c>
      <c r="Z114" s="4">
        <v>192.333</v>
      </c>
      <c r="AA114" s="4">
        <v>65.866</v>
      </c>
      <c r="AB114" s="4">
        <v>20610</v>
      </c>
      <c r="AC114" s="4">
        <v>6997.5</v>
      </c>
      <c r="AD114" s="4">
        <v>70900</v>
      </c>
      <c r="AF114" s="4">
        <v>1.2867701404286769</v>
      </c>
      <c r="AG114" s="4">
        <v>0.99235353300828111</v>
      </c>
      <c r="AH114" s="4">
        <v>1.6653013754045307</v>
      </c>
      <c r="AI114" s="4">
        <v>1.5906828127532473</v>
      </c>
      <c r="AJ114" s="4">
        <v>1.7428393524283936</v>
      </c>
      <c r="AK114" s="4">
        <v>1.1895973154362416</v>
      </c>
      <c r="AM114" s="550">
        <v>45835</v>
      </c>
      <c r="AN114" s="551">
        <v>107.44</v>
      </c>
      <c r="AO114" s="551">
        <v>648012</v>
      </c>
      <c r="AP114" s="551">
        <v>132.3006</v>
      </c>
      <c r="AQ114" s="551">
        <v>14214.376464000001</v>
      </c>
      <c r="AR114" s="551">
        <v>0.89600000000000002</v>
      </c>
    </row>
    <row r="115" spans="2:44" x14ac:dyDescent="0.25">
      <c r="B115" s="552">
        <v>45175</v>
      </c>
      <c r="C115" s="548">
        <v>11.412000000000001</v>
      </c>
      <c r="D115" s="548">
        <v>0</v>
      </c>
      <c r="E115" s="548">
        <v>16.699200000000001</v>
      </c>
      <c r="F115" s="548">
        <v>13.749599999999999</v>
      </c>
      <c r="G115" s="548">
        <v>7.4991000000000003</v>
      </c>
      <c r="H115" s="548">
        <v>6.1699000000000002</v>
      </c>
      <c r="I115" s="552">
        <v>45175</v>
      </c>
      <c r="J115" s="548">
        <v>17.7912</v>
      </c>
      <c r="K115" s="548">
        <v>43.570500000000003</v>
      </c>
      <c r="L115" s="548">
        <v>20.491</v>
      </c>
      <c r="M115" s="548">
        <v>23.1158</v>
      </c>
      <c r="N115" s="548">
        <v>14.019</v>
      </c>
      <c r="O115" s="548">
        <v>13.3588</v>
      </c>
      <c r="P115" s="548"/>
      <c r="Q115" s="552">
        <v>45175</v>
      </c>
      <c r="R115" s="4">
        <v>87</v>
      </c>
      <c r="S115" s="4">
        <v>15757</v>
      </c>
      <c r="T115" s="4">
        <v>3861.6309999999999</v>
      </c>
      <c r="U115" s="4">
        <v>1.286031042128603</v>
      </c>
      <c r="V115" s="4">
        <v>1.4001107151076362</v>
      </c>
      <c r="W115" s="4">
        <v>1.6270007659684191</v>
      </c>
      <c r="Y115" s="548">
        <v>87</v>
      </c>
      <c r="Z115" s="4">
        <v>207.70400000000001</v>
      </c>
      <c r="AA115" s="4">
        <v>69.623999999999995</v>
      </c>
      <c r="AB115" s="4">
        <v>22115</v>
      </c>
      <c r="AC115" s="4">
        <v>7515</v>
      </c>
      <c r="AD115" s="4">
        <v>70000</v>
      </c>
      <c r="AF115" s="4">
        <v>1.286031042128603</v>
      </c>
      <c r="AG115" s="4">
        <v>1.0716611201403401</v>
      </c>
      <c r="AH115" s="4">
        <v>1.7603155339805825</v>
      </c>
      <c r="AI115" s="4">
        <v>1.7068389327529385</v>
      </c>
      <c r="AJ115" s="4">
        <v>1.87173100871731</v>
      </c>
      <c r="AK115" s="4">
        <v>1.174496644295302</v>
      </c>
      <c r="AM115" s="550">
        <v>45834</v>
      </c>
      <c r="AN115" s="551">
        <v>108.96</v>
      </c>
      <c r="AO115" s="551">
        <v>808013</v>
      </c>
      <c r="AP115" s="551">
        <v>132.3006</v>
      </c>
      <c r="AQ115" s="551">
        <v>14415.473376</v>
      </c>
      <c r="AR115" s="551">
        <v>0.90869999999999995</v>
      </c>
    </row>
    <row r="116" spans="2:44" x14ac:dyDescent="0.25">
      <c r="B116" s="552">
        <v>45168</v>
      </c>
      <c r="C116" s="548">
        <v>10.113899999999999</v>
      </c>
      <c r="D116" s="548">
        <v>0</v>
      </c>
      <c r="E116" s="548">
        <v>16.466000000000001</v>
      </c>
      <c r="F116" s="548">
        <v>13.749599999999999</v>
      </c>
      <c r="G116" s="548">
        <v>7.3141999999999996</v>
      </c>
      <c r="H116" s="548">
        <v>5.8555999999999999</v>
      </c>
      <c r="I116" s="552">
        <v>45168</v>
      </c>
      <c r="J116" s="548">
        <v>15.850199999999999</v>
      </c>
      <c r="K116" s="548">
        <v>41.667000000000002</v>
      </c>
      <c r="L116" s="548">
        <v>20.205200000000001</v>
      </c>
      <c r="M116" s="548">
        <v>22.2744</v>
      </c>
      <c r="N116" s="548">
        <v>13.7438</v>
      </c>
      <c r="O116" s="548">
        <v>12.805300000000001</v>
      </c>
      <c r="P116" s="548"/>
      <c r="Q116" s="552">
        <v>45168</v>
      </c>
      <c r="R116" s="4">
        <v>87.86</v>
      </c>
      <c r="S116" s="4">
        <v>15448.02</v>
      </c>
      <c r="T116" s="4">
        <v>3692.3209999999999</v>
      </c>
      <c r="U116" s="4">
        <v>1.2987435328898742</v>
      </c>
      <c r="V116" s="4">
        <v>1.3726558563937974</v>
      </c>
      <c r="W116" s="4">
        <v>1.5556662703405062</v>
      </c>
      <c r="Y116" s="548">
        <v>87.86</v>
      </c>
      <c r="Z116" s="4">
        <v>198.63</v>
      </c>
      <c r="AA116" s="4">
        <v>68.653000000000006</v>
      </c>
      <c r="AB116" s="4">
        <v>21310</v>
      </c>
      <c r="AC116" s="4">
        <v>7367.5</v>
      </c>
      <c r="AD116" s="4">
        <v>67100</v>
      </c>
      <c r="AF116" s="4">
        <v>1.2987435328898742</v>
      </c>
      <c r="AG116" s="4">
        <v>1.024843278384026</v>
      </c>
      <c r="AH116" s="4">
        <v>1.7357655744336571</v>
      </c>
      <c r="AI116" s="4">
        <v>1.6447089150786851</v>
      </c>
      <c r="AJ116" s="4">
        <v>1.8349937733499377</v>
      </c>
      <c r="AK116" s="4">
        <v>1.1258389261744965</v>
      </c>
      <c r="AM116" s="550">
        <v>45833</v>
      </c>
      <c r="AN116" s="551">
        <v>108.93</v>
      </c>
      <c r="AO116" s="551">
        <v>661841</v>
      </c>
      <c r="AP116" s="551">
        <v>132.3006</v>
      </c>
      <c r="AQ116" s="551">
        <v>14411.504358000002</v>
      </c>
      <c r="AR116" s="551">
        <v>0.90839999999999999</v>
      </c>
    </row>
    <row r="117" spans="2:44" x14ac:dyDescent="0.25">
      <c r="B117" s="552">
        <v>45161</v>
      </c>
      <c r="C117" s="548">
        <v>9.5786999999999995</v>
      </c>
      <c r="D117" s="548">
        <v>0</v>
      </c>
      <c r="E117" s="548">
        <v>16.263300000000001</v>
      </c>
      <c r="F117" s="548">
        <v>13.749599999999999</v>
      </c>
      <c r="G117" s="548">
        <v>7.0635000000000003</v>
      </c>
      <c r="H117" s="548">
        <v>5.8555999999999999</v>
      </c>
      <c r="I117" s="552">
        <v>45161</v>
      </c>
      <c r="J117" s="548">
        <v>15.049799999999999</v>
      </c>
      <c r="K117" s="548">
        <v>39.020800000000001</v>
      </c>
      <c r="L117" s="548">
        <v>19.956800000000001</v>
      </c>
      <c r="M117" s="548">
        <v>22.0183</v>
      </c>
      <c r="N117" s="548">
        <v>13.370699999999999</v>
      </c>
      <c r="O117" s="548">
        <v>12.805300000000001</v>
      </c>
      <c r="P117" s="548"/>
      <c r="Q117" s="552">
        <v>45161</v>
      </c>
      <c r="R117" s="4">
        <v>87.32</v>
      </c>
      <c r="S117" s="4">
        <v>15713.28</v>
      </c>
      <c r="T117" s="4">
        <v>3837.3130000000001</v>
      </c>
      <c r="U117" s="4">
        <v>1.2907612712490759</v>
      </c>
      <c r="V117" s="4">
        <v>1.3962259121334339</v>
      </c>
      <c r="W117" s="4">
        <v>1.6167549903811558</v>
      </c>
      <c r="Y117" s="548">
        <v>87.32</v>
      </c>
      <c r="Z117" s="4">
        <v>186.01499999999999</v>
      </c>
      <c r="AA117" s="4">
        <v>67.808999999999997</v>
      </c>
      <c r="AB117" s="4">
        <v>21065</v>
      </c>
      <c r="AC117" s="4">
        <v>7167.5</v>
      </c>
      <c r="AD117" s="4">
        <v>67100</v>
      </c>
      <c r="AF117" s="4">
        <v>1.2907612712490759</v>
      </c>
      <c r="AG117" s="4">
        <v>0.95975543688568987</v>
      </c>
      <c r="AH117" s="4">
        <v>1.7144265776699028</v>
      </c>
      <c r="AI117" s="4">
        <v>1.6257997792647818</v>
      </c>
      <c r="AJ117" s="4">
        <v>1.7851805728518058</v>
      </c>
      <c r="AK117" s="4">
        <v>1.1258389261744965</v>
      </c>
      <c r="AM117" s="550">
        <v>45832</v>
      </c>
      <c r="AN117" s="551">
        <v>109.37</v>
      </c>
      <c r="AO117" s="551">
        <v>713329</v>
      </c>
      <c r="AP117" s="551">
        <v>132.3006</v>
      </c>
      <c r="AQ117" s="551">
        <v>14469.716622000002</v>
      </c>
      <c r="AR117" s="551">
        <v>0.91210000000000002</v>
      </c>
    </row>
    <row r="118" spans="2:44" x14ac:dyDescent="0.25">
      <c r="B118" s="552">
        <v>45154</v>
      </c>
      <c r="C118" s="548">
        <v>7.4992000000000001</v>
      </c>
      <c r="D118" s="548">
        <v>0</v>
      </c>
      <c r="E118" s="548">
        <v>15.499499999999999</v>
      </c>
      <c r="F118" s="548">
        <v>13.749599999999999</v>
      </c>
      <c r="G118" s="548">
        <v>7.0509000000000004</v>
      </c>
      <c r="H118" s="548">
        <v>5.8448000000000002</v>
      </c>
      <c r="I118" s="552">
        <v>45154</v>
      </c>
      <c r="J118" s="548">
        <v>11.9405</v>
      </c>
      <c r="K118" s="548">
        <v>40.641500000000001</v>
      </c>
      <c r="L118" s="548">
        <v>19.020900000000001</v>
      </c>
      <c r="M118" s="548">
        <v>21.2971</v>
      </c>
      <c r="N118" s="548">
        <v>13.3521</v>
      </c>
      <c r="O118" s="548">
        <v>12.786300000000001</v>
      </c>
      <c r="P118" s="548"/>
      <c r="Q118" s="552">
        <v>45154</v>
      </c>
      <c r="R118" s="4">
        <v>86.49</v>
      </c>
      <c r="S118" s="4">
        <v>15045.64</v>
      </c>
      <c r="T118" s="4">
        <v>3651.6</v>
      </c>
      <c r="U118" s="4">
        <v>1.2784922394678491</v>
      </c>
      <c r="V118" s="4">
        <v>1.3369018074285748</v>
      </c>
      <c r="W118" s="4">
        <v>1.5385095046653292</v>
      </c>
      <c r="Y118" s="548">
        <v>86.49</v>
      </c>
      <c r="Z118" s="4">
        <v>193.74100000000001</v>
      </c>
      <c r="AA118" s="4">
        <v>64.629000000000005</v>
      </c>
      <c r="AB118" s="4">
        <v>20375</v>
      </c>
      <c r="AC118" s="4">
        <v>7157.5</v>
      </c>
      <c r="AD118" s="4">
        <v>67000</v>
      </c>
      <c r="AF118" s="4">
        <v>1.2784922394678491</v>
      </c>
      <c r="AG118" s="4">
        <v>0.99961819260635154</v>
      </c>
      <c r="AH118" s="4">
        <v>1.6340260922330099</v>
      </c>
      <c r="AI118" s="4">
        <v>1.5725454784011359</v>
      </c>
      <c r="AJ118" s="4">
        <v>1.7826899128268991</v>
      </c>
      <c r="AK118" s="4">
        <v>1.1241610738255035</v>
      </c>
      <c r="AM118" s="550">
        <v>45831</v>
      </c>
      <c r="AN118" s="551">
        <v>109.37</v>
      </c>
      <c r="AO118" s="551">
        <v>713329</v>
      </c>
      <c r="AP118" s="551">
        <v>132.3006</v>
      </c>
      <c r="AQ118" s="551">
        <v>14469.716622000002</v>
      </c>
      <c r="AR118" s="551">
        <v>0.91210000000000002</v>
      </c>
    </row>
    <row r="119" spans="2:44" x14ac:dyDescent="0.25">
      <c r="B119" s="552">
        <v>45147</v>
      </c>
      <c r="C119" s="548">
        <v>7.6592000000000002</v>
      </c>
      <c r="D119" s="548">
        <v>0</v>
      </c>
      <c r="E119" s="548">
        <v>16.552099999999999</v>
      </c>
      <c r="F119" s="548">
        <v>13.749599999999999</v>
      </c>
      <c r="G119" s="548">
        <v>7.2671999999999999</v>
      </c>
      <c r="H119" s="548">
        <v>6.0507</v>
      </c>
      <c r="I119" s="552">
        <v>45147</v>
      </c>
      <c r="J119" s="548">
        <v>12.1797</v>
      </c>
      <c r="K119" s="548">
        <v>43.589199999999998</v>
      </c>
      <c r="L119" s="548">
        <v>20.191099999999999</v>
      </c>
      <c r="M119" s="548">
        <v>21.6995</v>
      </c>
      <c r="N119" s="548">
        <v>13.6738</v>
      </c>
      <c r="O119" s="548">
        <v>13.148899999999999</v>
      </c>
      <c r="P119" s="548"/>
      <c r="Q119" s="552">
        <v>45147</v>
      </c>
      <c r="R119" s="4">
        <v>85.72</v>
      </c>
      <c r="S119" s="4">
        <v>15208.69</v>
      </c>
      <c r="T119" s="4">
        <v>3703.6170000000002</v>
      </c>
      <c r="U119" s="4">
        <v>1.267110125646711</v>
      </c>
      <c r="V119" s="4">
        <v>1.3513898477978268</v>
      </c>
      <c r="W119" s="4">
        <v>1.5604255548636468</v>
      </c>
      <c r="Y119" s="548">
        <v>85.72</v>
      </c>
      <c r="Z119" s="4">
        <v>207.79300000000001</v>
      </c>
      <c r="AA119" s="4">
        <v>68.605000000000004</v>
      </c>
      <c r="AB119" s="4">
        <v>20760</v>
      </c>
      <c r="AC119" s="4">
        <v>7330</v>
      </c>
      <c r="AD119" s="4">
        <v>68900</v>
      </c>
      <c r="AF119" s="4">
        <v>1.267110125646711</v>
      </c>
      <c r="AG119" s="4">
        <v>1.0721203209245931</v>
      </c>
      <c r="AH119" s="4">
        <v>1.7345519822006474</v>
      </c>
      <c r="AI119" s="4">
        <v>1.6022598346801269</v>
      </c>
      <c r="AJ119" s="4">
        <v>1.825653798256538</v>
      </c>
      <c r="AK119" s="4">
        <v>1.1560402684563758</v>
      </c>
      <c r="AM119" s="550">
        <v>45830</v>
      </c>
      <c r="AN119" s="551">
        <v>109.37</v>
      </c>
      <c r="AO119" s="551">
        <v>713329</v>
      </c>
      <c r="AP119" s="551">
        <v>132.3006</v>
      </c>
      <c r="AQ119" s="551">
        <v>14469.716622000002</v>
      </c>
      <c r="AR119" s="551">
        <v>0.91210000000000002</v>
      </c>
    </row>
    <row r="120" spans="2:44" x14ac:dyDescent="0.25">
      <c r="B120" s="552">
        <v>45140</v>
      </c>
      <c r="C120" s="548">
        <v>6.8719999999999999</v>
      </c>
      <c r="D120" s="548">
        <v>0</v>
      </c>
      <c r="E120" s="548">
        <v>16.547999999999998</v>
      </c>
      <c r="F120" s="548">
        <v>13.749599999999999</v>
      </c>
      <c r="G120" s="548">
        <v>7.5805999999999996</v>
      </c>
      <c r="H120" s="548">
        <v>6.1589999999999998</v>
      </c>
      <c r="I120" s="552">
        <v>45140</v>
      </c>
      <c r="J120" s="548">
        <v>11.0298</v>
      </c>
      <c r="K120" s="548">
        <v>44.019599999999997</v>
      </c>
      <c r="L120" s="548">
        <v>20.1861</v>
      </c>
      <c r="M120" s="548">
        <v>22.101900000000001</v>
      </c>
      <c r="N120" s="548">
        <v>14.1402</v>
      </c>
      <c r="O120" s="548">
        <v>13.339700000000001</v>
      </c>
      <c r="P120" s="548"/>
      <c r="Q120" s="552">
        <v>45140</v>
      </c>
      <c r="R120" s="4">
        <v>85.08</v>
      </c>
      <c r="S120" s="4">
        <v>14689.02</v>
      </c>
      <c r="T120" s="4">
        <v>3515.7719999999999</v>
      </c>
      <c r="U120" s="4">
        <v>1.2576496674057649</v>
      </c>
      <c r="V120" s="4">
        <v>1.3052138285479704</v>
      </c>
      <c r="W120" s="4">
        <v>1.4812818047530489</v>
      </c>
      <c r="Y120" s="548">
        <v>85.08</v>
      </c>
      <c r="Z120" s="4">
        <v>209.84399999999999</v>
      </c>
      <c r="AA120" s="4">
        <v>68.587999999999994</v>
      </c>
      <c r="AB120" s="4">
        <v>21145</v>
      </c>
      <c r="AC120" s="4">
        <v>7580</v>
      </c>
      <c r="AD120" s="4">
        <v>69900</v>
      </c>
      <c r="AF120" s="4">
        <v>1.2576496674057649</v>
      </c>
      <c r="AG120" s="4">
        <v>1.082702577199907</v>
      </c>
      <c r="AH120" s="4">
        <v>1.7341221682847896</v>
      </c>
      <c r="AI120" s="4">
        <v>1.6319741909591177</v>
      </c>
      <c r="AJ120" s="4">
        <v>1.887920298879203</v>
      </c>
      <c r="AK120" s="4">
        <v>1.1728187919463087</v>
      </c>
      <c r="AM120" s="550">
        <v>45829</v>
      </c>
      <c r="AN120" s="551">
        <v>108.28</v>
      </c>
      <c r="AO120" s="551">
        <v>911394</v>
      </c>
      <c r="AP120" s="551">
        <v>132.3006</v>
      </c>
      <c r="AQ120" s="551">
        <v>14325.508968</v>
      </c>
      <c r="AR120" s="551">
        <v>0.90300000000000002</v>
      </c>
    </row>
    <row r="121" spans="2:44" x14ac:dyDescent="0.25">
      <c r="B121" s="552">
        <v>45133</v>
      </c>
      <c r="C121" s="548">
        <v>7.0621999999999998</v>
      </c>
      <c r="D121" s="548">
        <v>0</v>
      </c>
      <c r="E121" s="548">
        <v>15.4968</v>
      </c>
      <c r="F121" s="548">
        <v>13.749599999999999</v>
      </c>
      <c r="G121" s="548">
        <v>7.7748999999999997</v>
      </c>
      <c r="H121" s="548">
        <v>6.1482000000000001</v>
      </c>
      <c r="I121" s="552">
        <v>45133</v>
      </c>
      <c r="J121" s="548">
        <v>11.315</v>
      </c>
      <c r="K121" s="548">
        <v>43.160299999999999</v>
      </c>
      <c r="L121" s="548">
        <v>18.9056</v>
      </c>
      <c r="M121" s="548">
        <v>20.758800000000001</v>
      </c>
      <c r="N121" s="548">
        <v>14.429399999999999</v>
      </c>
      <c r="O121" s="548">
        <v>13.320600000000001</v>
      </c>
      <c r="P121" s="548"/>
      <c r="Q121" s="552">
        <v>45133</v>
      </c>
      <c r="R121" s="4">
        <v>84.95</v>
      </c>
      <c r="S121" s="4">
        <v>14784.3</v>
      </c>
      <c r="T121" s="4">
        <v>3641.6640000000002</v>
      </c>
      <c r="U121" s="4">
        <v>1.2557280118255727</v>
      </c>
      <c r="V121" s="4">
        <v>1.3136800688815018</v>
      </c>
      <c r="W121" s="4">
        <v>1.5343232218199041</v>
      </c>
      <c r="Y121" s="548">
        <v>84.95</v>
      </c>
      <c r="Z121" s="4">
        <v>205.74799999999999</v>
      </c>
      <c r="AA121" s="4">
        <v>64.236999999999995</v>
      </c>
      <c r="AB121" s="4">
        <v>19860</v>
      </c>
      <c r="AC121" s="4">
        <v>7735</v>
      </c>
      <c r="AD121" s="4">
        <v>69800</v>
      </c>
      <c r="AF121" s="4">
        <v>1.2557280118255727</v>
      </c>
      <c r="AG121" s="4">
        <v>1.0615690220055207</v>
      </c>
      <c r="AH121" s="4">
        <v>1.6241150889967637</v>
      </c>
      <c r="AI121" s="4">
        <v>1.5327977031188496</v>
      </c>
      <c r="AJ121" s="4">
        <v>1.9265255292652552</v>
      </c>
      <c r="AK121" s="4">
        <v>1.1711409395973154</v>
      </c>
      <c r="AM121" s="550">
        <v>45828</v>
      </c>
      <c r="AN121" s="551">
        <v>107.07</v>
      </c>
      <c r="AO121" s="551">
        <v>854684</v>
      </c>
      <c r="AP121" s="551">
        <v>132.3006</v>
      </c>
      <c r="AQ121" s="551">
        <v>14165.425241999999</v>
      </c>
      <c r="AR121" s="551">
        <v>0.89290000000000003</v>
      </c>
    </row>
    <row r="122" spans="2:44" x14ac:dyDescent="0.25">
      <c r="B122" s="552">
        <v>45126</v>
      </c>
      <c r="C122" s="548">
        <v>7.6207000000000003</v>
      </c>
      <c r="D122" s="548">
        <v>0</v>
      </c>
      <c r="E122" s="548">
        <v>15.5633</v>
      </c>
      <c r="F122" s="548">
        <v>13.749599999999999</v>
      </c>
      <c r="G122" s="548">
        <v>8.0945</v>
      </c>
      <c r="H122" s="548">
        <v>6.3540000000000001</v>
      </c>
      <c r="I122" s="552">
        <v>45126</v>
      </c>
      <c r="J122" s="548">
        <v>12.152100000000001</v>
      </c>
      <c r="K122" s="548">
        <v>42.984699999999997</v>
      </c>
      <c r="L122" s="548">
        <v>18.839099999999998</v>
      </c>
      <c r="M122" s="548">
        <v>21.6629</v>
      </c>
      <c r="N122" s="548">
        <v>14.904999999999999</v>
      </c>
      <c r="O122" s="548">
        <v>13.683199999999999</v>
      </c>
      <c r="P122" s="548"/>
      <c r="Q122" s="552">
        <v>45126</v>
      </c>
      <c r="R122" s="4">
        <v>84.95</v>
      </c>
      <c r="S122" s="4">
        <v>14784.3</v>
      </c>
      <c r="T122" s="4">
        <v>3641.6640000000002</v>
      </c>
      <c r="U122" s="4">
        <v>1.2557280118255727</v>
      </c>
      <c r="V122" s="4">
        <v>1.3136800688815018</v>
      </c>
      <c r="W122" s="4">
        <v>1.5343232218199041</v>
      </c>
      <c r="Y122" s="548">
        <v>84.95</v>
      </c>
      <c r="Z122" s="4">
        <v>204.911</v>
      </c>
      <c r="AA122" s="4">
        <v>64.010999999999996</v>
      </c>
      <c r="AB122" s="4">
        <v>20725</v>
      </c>
      <c r="AC122" s="4">
        <v>7990</v>
      </c>
      <c r="AD122" s="4">
        <v>71700</v>
      </c>
      <c r="AF122" s="4">
        <v>1.2557280118255727</v>
      </c>
      <c r="AG122" s="4">
        <v>1.057250470809793</v>
      </c>
      <c r="AH122" s="4">
        <v>1.6184010922330097</v>
      </c>
      <c r="AI122" s="4">
        <v>1.5995585295638548</v>
      </c>
      <c r="AJ122" s="4">
        <v>1.9900373599003736</v>
      </c>
      <c r="AK122" s="4">
        <v>1.2030201342281879</v>
      </c>
      <c r="AM122" s="550">
        <v>45827</v>
      </c>
      <c r="AN122" s="551">
        <v>106.68</v>
      </c>
      <c r="AO122" s="551">
        <v>749548</v>
      </c>
      <c r="AP122" s="551">
        <v>132.3006</v>
      </c>
      <c r="AQ122" s="551">
        <v>14113.828008</v>
      </c>
      <c r="AR122" s="551">
        <v>0.88970000000000005</v>
      </c>
    </row>
    <row r="123" spans="2:44" x14ac:dyDescent="0.25">
      <c r="B123" s="552">
        <v>45119</v>
      </c>
      <c r="C123" s="548">
        <v>7.5961999999999996</v>
      </c>
      <c r="D123" s="548">
        <v>0</v>
      </c>
      <c r="E123" s="548">
        <v>15.136900000000001</v>
      </c>
      <c r="F123" s="548">
        <v>13.749599999999999</v>
      </c>
      <c r="G123" s="548">
        <v>7.6087999999999996</v>
      </c>
      <c r="H123" s="548">
        <v>6.3757000000000001</v>
      </c>
      <c r="I123" s="552">
        <v>45119</v>
      </c>
      <c r="J123" s="548">
        <v>12.1153</v>
      </c>
      <c r="K123" s="548">
        <v>44.247999999999998</v>
      </c>
      <c r="L123" s="548">
        <v>18.323699999999999</v>
      </c>
      <c r="M123" s="548">
        <v>20.324999999999999</v>
      </c>
      <c r="N123" s="548">
        <v>14.1822</v>
      </c>
      <c r="O123" s="548">
        <v>13.721399999999999</v>
      </c>
      <c r="P123" s="548"/>
      <c r="Q123" s="552">
        <v>45119</v>
      </c>
      <c r="R123" s="4">
        <v>81.93</v>
      </c>
      <c r="S123" s="4">
        <v>14556.5</v>
      </c>
      <c r="T123" s="4">
        <v>3444.116</v>
      </c>
      <c r="U123" s="4">
        <v>1.2110864745011087</v>
      </c>
      <c r="V123" s="4">
        <v>1.2934385748850863</v>
      </c>
      <c r="W123" s="4">
        <v>1.4510913575336659</v>
      </c>
      <c r="Y123" s="548">
        <v>81.93</v>
      </c>
      <c r="Z123" s="4">
        <v>210.93299999999999</v>
      </c>
      <c r="AA123" s="4">
        <v>62.26</v>
      </c>
      <c r="AB123" s="4">
        <v>19445</v>
      </c>
      <c r="AC123" s="4">
        <v>7602.5</v>
      </c>
      <c r="AD123" s="4">
        <v>71900</v>
      </c>
      <c r="AF123" s="4">
        <v>1.2110864745011087</v>
      </c>
      <c r="AG123" s="4">
        <v>1.0883213373577896</v>
      </c>
      <c r="AH123" s="4">
        <v>1.5741302588996764</v>
      </c>
      <c r="AI123" s="4">
        <v>1.5007679424544829</v>
      </c>
      <c r="AJ123" s="4">
        <v>1.8935242839352429</v>
      </c>
      <c r="AK123" s="4">
        <v>1.2063758389261745</v>
      </c>
      <c r="AM123" s="550">
        <v>45826</v>
      </c>
      <c r="AN123" s="551">
        <v>106.33</v>
      </c>
      <c r="AO123" s="551">
        <v>743904</v>
      </c>
      <c r="AP123" s="551">
        <v>132.3006</v>
      </c>
      <c r="AQ123" s="551">
        <v>14067.522798</v>
      </c>
      <c r="AR123" s="551">
        <v>0.88670000000000004</v>
      </c>
    </row>
    <row r="124" spans="2:44" x14ac:dyDescent="0.25">
      <c r="B124" s="552">
        <v>45112</v>
      </c>
      <c r="C124" s="548">
        <v>8.0257000000000005</v>
      </c>
      <c r="D124" s="548">
        <v>0</v>
      </c>
      <c r="E124" s="548">
        <v>15.282500000000001</v>
      </c>
      <c r="F124" s="548">
        <v>13.749599999999999</v>
      </c>
      <c r="G124" s="548">
        <v>8.2888999999999999</v>
      </c>
      <c r="H124" s="548">
        <v>6.3864999999999998</v>
      </c>
      <c r="I124" s="552">
        <v>45112</v>
      </c>
      <c r="J124" s="548">
        <v>12.7592</v>
      </c>
      <c r="K124" s="548">
        <v>45.839199999999998</v>
      </c>
      <c r="L124" s="548">
        <v>18.499700000000001</v>
      </c>
      <c r="M124" s="548">
        <v>22.279599999999999</v>
      </c>
      <c r="N124" s="548">
        <v>15.1942</v>
      </c>
      <c r="O124" s="548">
        <v>13.740500000000001</v>
      </c>
      <c r="P124" s="548"/>
      <c r="Q124" s="552">
        <v>45112</v>
      </c>
      <c r="R124" s="4">
        <v>79.400000000000006</v>
      </c>
      <c r="S124" s="4">
        <v>13849.74</v>
      </c>
      <c r="T124" s="4">
        <v>3215.0360000000001</v>
      </c>
      <c r="U124" s="4">
        <v>1.1736881005173687</v>
      </c>
      <c r="V124" s="4">
        <v>1.230638406768727</v>
      </c>
      <c r="W124" s="4">
        <v>1.3545742808196959</v>
      </c>
      <c r="Y124" s="548">
        <v>79.400000000000006</v>
      </c>
      <c r="Z124" s="4">
        <v>218.51900000000001</v>
      </c>
      <c r="AA124" s="4">
        <v>62.857999999999997</v>
      </c>
      <c r="AB124" s="4">
        <v>21315</v>
      </c>
      <c r="AC124" s="4">
        <v>8145</v>
      </c>
      <c r="AD124" s="4">
        <v>72000</v>
      </c>
      <c r="AF124" s="4">
        <v>1.1736881005173687</v>
      </c>
      <c r="AG124" s="4">
        <v>1.127461754766143</v>
      </c>
      <c r="AH124" s="4">
        <v>1.5892495954692556</v>
      </c>
      <c r="AI124" s="4">
        <v>1.6450948158095811</v>
      </c>
      <c r="AJ124" s="4">
        <v>2.028642590286426</v>
      </c>
      <c r="AK124" s="4">
        <v>1.2080536912751678</v>
      </c>
      <c r="AM124" s="550">
        <v>45825</v>
      </c>
      <c r="AN124" s="551">
        <v>104.65</v>
      </c>
      <c r="AO124" s="551">
        <v>559752</v>
      </c>
      <c r="AP124" s="551">
        <v>132.3006</v>
      </c>
      <c r="AQ124" s="551">
        <v>13845.257790000001</v>
      </c>
      <c r="AR124" s="551">
        <v>0.87270000000000003</v>
      </c>
    </row>
    <row r="125" spans="2:44" x14ac:dyDescent="0.25">
      <c r="B125" s="552">
        <v>45105</v>
      </c>
      <c r="C125" s="548">
        <v>8.3849</v>
      </c>
      <c r="D125" s="548">
        <v>0</v>
      </c>
      <c r="E125" s="548">
        <v>15.6137</v>
      </c>
      <c r="F125" s="548">
        <v>13.749599999999999</v>
      </c>
      <c r="G125" s="548">
        <v>7.7679</v>
      </c>
      <c r="H125" s="548">
        <v>5.0233999999999996</v>
      </c>
      <c r="I125" s="552">
        <v>45105</v>
      </c>
      <c r="J125" s="548">
        <v>14.7128</v>
      </c>
      <c r="K125" s="548">
        <v>60.544899999999998</v>
      </c>
      <c r="L125" s="548">
        <v>18.899999999999999</v>
      </c>
      <c r="M125" s="548">
        <v>20.0839</v>
      </c>
      <c r="N125" s="548">
        <v>13.087400000000001</v>
      </c>
      <c r="O125" s="548">
        <v>10.973599999999999</v>
      </c>
      <c r="P125" s="548"/>
      <c r="Q125" s="552">
        <v>45105</v>
      </c>
      <c r="R125" s="4">
        <v>79.400000000000006</v>
      </c>
      <c r="S125" s="4">
        <v>13849.74</v>
      </c>
      <c r="T125" s="4">
        <v>3215.0360000000001</v>
      </c>
      <c r="U125" s="4">
        <v>1.1736881005173687</v>
      </c>
      <c r="V125" s="4">
        <v>1.230638406768727</v>
      </c>
      <c r="W125" s="4">
        <v>1.3545742808196959</v>
      </c>
      <c r="Y125" s="548">
        <v>79.400000000000006</v>
      </c>
      <c r="Z125" s="4">
        <v>232.61500000000001</v>
      </c>
      <c r="AA125" s="4">
        <v>64.218000000000004</v>
      </c>
      <c r="AB125" s="4">
        <v>20240</v>
      </c>
      <c r="AC125" s="4">
        <v>7962.5</v>
      </c>
      <c r="AD125" s="4">
        <v>72700</v>
      </c>
      <c r="AF125" s="4">
        <v>1.1736881005173687</v>
      </c>
      <c r="AG125" s="4">
        <v>1.2001909036968244</v>
      </c>
      <c r="AH125" s="4">
        <v>1.6236347087378642</v>
      </c>
      <c r="AI125" s="4">
        <v>1.5621261586669444</v>
      </c>
      <c r="AJ125" s="4">
        <v>1.9831880448318804</v>
      </c>
      <c r="AK125" s="4">
        <v>1.2197986577181208</v>
      </c>
      <c r="AM125" s="550">
        <v>45824</v>
      </c>
      <c r="AN125" s="551">
        <v>104.65</v>
      </c>
      <c r="AO125" s="551">
        <v>559752</v>
      </c>
      <c r="AP125" s="551">
        <v>132.3006</v>
      </c>
      <c r="AQ125" s="551">
        <v>13845.257790000001</v>
      </c>
      <c r="AR125" s="551">
        <v>0.87270000000000003</v>
      </c>
    </row>
    <row r="126" spans="2:44" x14ac:dyDescent="0.25">
      <c r="B126" s="552">
        <v>45098</v>
      </c>
      <c r="C126" s="548">
        <v>7.6516000000000002</v>
      </c>
      <c r="D126" s="548">
        <v>0</v>
      </c>
      <c r="E126" s="548">
        <v>13.1945</v>
      </c>
      <c r="F126" s="548">
        <v>13.978</v>
      </c>
      <c r="G126" s="548">
        <v>7.9318</v>
      </c>
      <c r="H126" s="548">
        <v>4.8326000000000002</v>
      </c>
      <c r="I126" s="552">
        <v>45098</v>
      </c>
      <c r="J126" s="548">
        <v>13.5106</v>
      </c>
      <c r="K126" s="548">
        <v>56.8566</v>
      </c>
      <c r="L126" s="548">
        <v>16.470800000000001</v>
      </c>
      <c r="M126" s="548">
        <v>20.401399999999999</v>
      </c>
      <c r="N126" s="548">
        <v>13.3134</v>
      </c>
      <c r="O126" s="548">
        <v>10.641500000000001</v>
      </c>
      <c r="P126" s="548"/>
      <c r="Q126" s="552">
        <v>45098</v>
      </c>
      <c r="R126" s="4">
        <v>79.45</v>
      </c>
      <c r="S126" s="4">
        <v>13413.51</v>
      </c>
      <c r="T126" s="4">
        <v>3052.6439999999998</v>
      </c>
      <c r="U126" s="4">
        <v>1.1744271988174426</v>
      </c>
      <c r="V126" s="4">
        <v>1.191876567760578</v>
      </c>
      <c r="W126" s="4">
        <v>1.2861545099023959</v>
      </c>
      <c r="Y126" s="548">
        <v>79.45</v>
      </c>
      <c r="Z126" s="4">
        <v>218.44399999999999</v>
      </c>
      <c r="AA126" s="4">
        <v>60.58</v>
      </c>
      <c r="AB126" s="4">
        <v>20560</v>
      </c>
      <c r="AC126" s="4">
        <v>8100</v>
      </c>
      <c r="AD126" s="4">
        <v>70500</v>
      </c>
      <c r="AF126" s="4">
        <v>1.1744271988174426</v>
      </c>
      <c r="AG126" s="4">
        <v>1.1270747878131206</v>
      </c>
      <c r="AH126" s="4">
        <v>1.5316545307443366</v>
      </c>
      <c r="AI126" s="4">
        <v>1.5868238054442874</v>
      </c>
      <c r="AJ126" s="4">
        <v>2.0174346201743463</v>
      </c>
      <c r="AK126" s="4">
        <v>1.1828859060402686</v>
      </c>
      <c r="AM126" s="550">
        <v>45823</v>
      </c>
      <c r="AN126" s="551">
        <v>104.65</v>
      </c>
      <c r="AO126" s="551">
        <v>559752</v>
      </c>
      <c r="AP126" s="551">
        <v>132.3006</v>
      </c>
      <c r="AQ126" s="551">
        <v>13845.257790000001</v>
      </c>
      <c r="AR126" s="551">
        <v>0.87270000000000003</v>
      </c>
    </row>
    <row r="127" spans="2:44" x14ac:dyDescent="0.25">
      <c r="B127" s="552">
        <v>45091</v>
      </c>
      <c r="C127" s="548">
        <v>7.3792</v>
      </c>
      <c r="D127" s="548">
        <v>0</v>
      </c>
      <c r="E127" s="548">
        <v>13.7247</v>
      </c>
      <c r="F127" s="548">
        <v>13.5069</v>
      </c>
      <c r="G127" s="548">
        <v>7.7351000000000001</v>
      </c>
      <c r="H127" s="548">
        <v>4.9539999999999997</v>
      </c>
      <c r="I127" s="552">
        <v>45091</v>
      </c>
      <c r="J127" s="548">
        <v>13.0641</v>
      </c>
      <c r="K127" s="548">
        <v>61.040399999999998</v>
      </c>
      <c r="L127" s="548">
        <v>17.1296</v>
      </c>
      <c r="M127" s="548">
        <v>19.746500000000001</v>
      </c>
      <c r="N127" s="548">
        <v>13.042199999999999</v>
      </c>
      <c r="O127" s="548">
        <v>10.8528</v>
      </c>
      <c r="P127" s="548"/>
      <c r="Q127" s="552">
        <v>45091</v>
      </c>
      <c r="R127" s="4">
        <v>82.5</v>
      </c>
      <c r="S127" s="4">
        <v>13291.64</v>
      </c>
      <c r="T127" s="4">
        <v>3024.4090000000001</v>
      </c>
      <c r="U127" s="4">
        <v>1.2195121951219512</v>
      </c>
      <c r="V127" s="4">
        <v>1.1810476350417758</v>
      </c>
      <c r="W127" s="4">
        <v>1.2742584052183601</v>
      </c>
      <c r="Y127" s="548">
        <v>82.5</v>
      </c>
      <c r="Z127" s="4">
        <v>234.51900000000001</v>
      </c>
      <c r="AA127" s="4">
        <v>63.003</v>
      </c>
      <c r="AB127" s="4">
        <v>19900</v>
      </c>
      <c r="AC127" s="4">
        <v>7935</v>
      </c>
      <c r="AD127" s="4">
        <v>71900</v>
      </c>
      <c r="AF127" s="4">
        <v>1.2195121951219512</v>
      </c>
      <c r="AG127" s="4">
        <v>1.2100147047442149</v>
      </c>
      <c r="AH127" s="4">
        <v>1.5929156553398058</v>
      </c>
      <c r="AI127" s="4">
        <v>1.5358849089660176</v>
      </c>
      <c r="AJ127" s="4">
        <v>1.9763387297633872</v>
      </c>
      <c r="AK127" s="4">
        <v>1.2063758389261745</v>
      </c>
      <c r="AM127" s="550">
        <v>45822</v>
      </c>
      <c r="AN127" s="551">
        <v>104.37</v>
      </c>
      <c r="AO127" s="551">
        <v>855123</v>
      </c>
      <c r="AP127" s="551">
        <v>132.3006</v>
      </c>
      <c r="AQ127" s="551">
        <v>13808.213622000001</v>
      </c>
      <c r="AR127" s="551">
        <v>0.87039999999999995</v>
      </c>
    </row>
    <row r="128" spans="2:44" x14ac:dyDescent="0.25">
      <c r="B128" s="552">
        <v>45084</v>
      </c>
      <c r="C128" s="548">
        <v>7.0229999999999997</v>
      </c>
      <c r="D128" s="548">
        <v>0</v>
      </c>
      <c r="E128" s="548">
        <v>13.3035</v>
      </c>
      <c r="F128" s="548">
        <v>12.7325</v>
      </c>
      <c r="G128" s="548">
        <v>7.1571999999999996</v>
      </c>
      <c r="H128" s="548">
        <v>4.8758999999999997</v>
      </c>
      <c r="I128" s="552">
        <v>45084</v>
      </c>
      <c r="J128" s="548">
        <v>12.4801</v>
      </c>
      <c r="K128" s="548">
        <v>59.382300000000001</v>
      </c>
      <c r="L128" s="548">
        <v>16.606200000000001</v>
      </c>
      <c r="M128" s="548">
        <v>18.669899999999998</v>
      </c>
      <c r="N128" s="548">
        <v>12.244999999999999</v>
      </c>
      <c r="O128" s="548">
        <v>10.717000000000001</v>
      </c>
      <c r="P128" s="548"/>
      <c r="Q128" s="552">
        <v>45084</v>
      </c>
      <c r="R128" s="4">
        <v>83.61</v>
      </c>
      <c r="S128" s="4">
        <v>13231.47</v>
      </c>
      <c r="T128" s="4">
        <v>3019.09</v>
      </c>
      <c r="U128" s="4">
        <v>1.2359201773835919</v>
      </c>
      <c r="V128" s="4">
        <v>1.1757011438487805</v>
      </c>
      <c r="W128" s="4">
        <v>1.2720173788038254</v>
      </c>
      <c r="Y128" s="548">
        <v>83.61</v>
      </c>
      <c r="Z128" s="4">
        <v>228.148</v>
      </c>
      <c r="AA128" s="4">
        <v>61.078000000000003</v>
      </c>
      <c r="AB128" s="4">
        <v>18815</v>
      </c>
      <c r="AC128" s="4">
        <v>7450</v>
      </c>
      <c r="AD128" s="4">
        <v>71000</v>
      </c>
      <c r="AF128" s="4">
        <v>1.2359201773835919</v>
      </c>
      <c r="AG128" s="4">
        <v>1.1771431519748214</v>
      </c>
      <c r="AH128" s="4">
        <v>1.5442455501618124</v>
      </c>
      <c r="AI128" s="4">
        <v>1.452144450361589</v>
      </c>
      <c r="AJ128" s="4">
        <v>1.8555417185554173</v>
      </c>
      <c r="AK128" s="4">
        <v>1.1912751677852349</v>
      </c>
      <c r="AM128" s="550">
        <v>45821</v>
      </c>
      <c r="AN128" s="551">
        <v>101.5</v>
      </c>
      <c r="AO128" s="551">
        <v>1255738</v>
      </c>
      <c r="AP128" s="551">
        <v>132.3006</v>
      </c>
      <c r="AQ128" s="551">
        <v>13428.510900000001</v>
      </c>
      <c r="AR128" s="551">
        <v>0.84650000000000003</v>
      </c>
    </row>
    <row r="129" spans="2:44" x14ac:dyDescent="0.25">
      <c r="B129" s="552">
        <v>45077</v>
      </c>
      <c r="C129" s="548">
        <v>6.4711999999999996</v>
      </c>
      <c r="D129" s="548">
        <v>0</v>
      </c>
      <c r="E129" s="548">
        <v>13.433</v>
      </c>
      <c r="F129" s="548">
        <v>13.089399999999999</v>
      </c>
      <c r="G129" s="548">
        <v>6.9725000000000001</v>
      </c>
      <c r="H129" s="548">
        <v>4.9105999999999996</v>
      </c>
      <c r="I129" s="552">
        <v>45077</v>
      </c>
      <c r="J129" s="548">
        <v>11.5756</v>
      </c>
      <c r="K129" s="548">
        <v>58.505099999999999</v>
      </c>
      <c r="L129" s="548">
        <v>16.767199999999999</v>
      </c>
      <c r="M129" s="548">
        <v>19.166</v>
      </c>
      <c r="N129" s="548">
        <v>11.9903</v>
      </c>
      <c r="O129" s="548">
        <v>10.7774</v>
      </c>
      <c r="P129" s="548"/>
      <c r="Q129" s="552">
        <v>45077</v>
      </c>
      <c r="R129" s="4">
        <v>82.9</v>
      </c>
      <c r="S129" s="4">
        <v>12969.76</v>
      </c>
      <c r="T129" s="4">
        <v>3007.5120000000002</v>
      </c>
      <c r="U129" s="4">
        <v>1.2254249815225424</v>
      </c>
      <c r="V129" s="4">
        <v>1.1524465284238381</v>
      </c>
      <c r="W129" s="4">
        <v>1.2671392806975117</v>
      </c>
      <c r="Y129" s="548">
        <v>82.9</v>
      </c>
      <c r="Z129" s="4">
        <v>224.77799999999999</v>
      </c>
      <c r="AA129" s="4">
        <v>61.67</v>
      </c>
      <c r="AB129" s="4">
        <v>19315</v>
      </c>
      <c r="AC129" s="4">
        <v>7295</v>
      </c>
      <c r="AD129" s="4">
        <v>71400</v>
      </c>
      <c r="AF129" s="4">
        <v>1.2254249815225424</v>
      </c>
      <c r="AG129" s="4">
        <v>1.1597554368856899</v>
      </c>
      <c r="AH129" s="4">
        <v>1.5592131877022655</v>
      </c>
      <c r="AI129" s="4">
        <v>1.4907345234511873</v>
      </c>
      <c r="AJ129" s="4">
        <v>1.8169364881693648</v>
      </c>
      <c r="AK129" s="4">
        <v>1.1979865771812082</v>
      </c>
      <c r="AM129" s="550">
        <v>45820</v>
      </c>
      <c r="AN129" s="551">
        <v>102.93</v>
      </c>
      <c r="AO129" s="551">
        <v>1148145</v>
      </c>
      <c r="AP129" s="551">
        <v>132.68965</v>
      </c>
      <c r="AQ129" s="551">
        <v>13657.745674500002</v>
      </c>
      <c r="AR129" s="551">
        <v>0.85840000000000005</v>
      </c>
    </row>
    <row r="130" spans="2:44" x14ac:dyDescent="0.25">
      <c r="B130" s="552">
        <v>45070</v>
      </c>
      <c r="C130" s="548">
        <v>5.8566000000000003</v>
      </c>
      <c r="D130" s="548">
        <v>0</v>
      </c>
      <c r="E130" s="548">
        <v>12.3209</v>
      </c>
      <c r="F130" s="548">
        <v>12.3293</v>
      </c>
      <c r="G130" s="548">
        <v>6.0667999999999997</v>
      </c>
      <c r="H130" s="548">
        <v>4.6589999999999998</v>
      </c>
      <c r="I130" s="552">
        <v>45070</v>
      </c>
      <c r="J130" s="548">
        <v>10.568099999999999</v>
      </c>
      <c r="K130" s="548">
        <v>57.359900000000003</v>
      </c>
      <c r="L130" s="548">
        <v>15.385199999999999</v>
      </c>
      <c r="M130" s="548">
        <v>18.109200000000001</v>
      </c>
      <c r="N130" s="548">
        <v>10.741099999999999</v>
      </c>
      <c r="O130" s="548">
        <v>10.339600000000001</v>
      </c>
      <c r="P130" s="548"/>
      <c r="Q130" s="552">
        <v>45070</v>
      </c>
      <c r="R130" s="4">
        <v>83.47</v>
      </c>
      <c r="S130" s="4">
        <v>13087.71</v>
      </c>
      <c r="T130" s="4">
        <v>3066.6790000000001</v>
      </c>
      <c r="U130" s="4">
        <v>1.2338507021433849</v>
      </c>
      <c r="V130" s="4">
        <v>1.1629271439500768</v>
      </c>
      <c r="W130" s="4">
        <v>1.2920678029514643</v>
      </c>
      <c r="Y130" s="548">
        <v>83.47</v>
      </c>
      <c r="Z130" s="4">
        <v>220.37799999999999</v>
      </c>
      <c r="AA130" s="4">
        <v>56.587000000000003</v>
      </c>
      <c r="AB130" s="4">
        <v>18250</v>
      </c>
      <c r="AC130" s="4">
        <v>6535</v>
      </c>
      <c r="AD130" s="4">
        <v>68500</v>
      </c>
      <c r="AF130" s="4">
        <v>1.2338507021433849</v>
      </c>
      <c r="AG130" s="4">
        <v>1.13705337564172</v>
      </c>
      <c r="AH130" s="4">
        <v>1.4306988268608416</v>
      </c>
      <c r="AI130" s="4">
        <v>1.4085376677703427</v>
      </c>
      <c r="AJ130" s="4">
        <v>1.6276463262764633</v>
      </c>
      <c r="AK130" s="4">
        <v>1.1493288590604027</v>
      </c>
      <c r="AM130" s="550">
        <v>45819</v>
      </c>
      <c r="AN130" s="551">
        <v>102.18</v>
      </c>
      <c r="AO130" s="551">
        <v>706732</v>
      </c>
      <c r="AP130" s="551">
        <v>132.68965</v>
      </c>
      <c r="AQ130" s="551">
        <v>13558.228437000002</v>
      </c>
      <c r="AR130" s="551">
        <v>0.85209999999999997</v>
      </c>
    </row>
    <row r="131" spans="2:44" x14ac:dyDescent="0.25">
      <c r="B131" s="552">
        <v>45063</v>
      </c>
      <c r="C131" s="548">
        <v>6.3663999999999996</v>
      </c>
      <c r="D131" s="548">
        <v>0</v>
      </c>
      <c r="E131" s="548">
        <v>12.501200000000001</v>
      </c>
      <c r="F131" s="548">
        <v>11.7369</v>
      </c>
      <c r="G131" s="548">
        <v>5.7748999999999997</v>
      </c>
      <c r="H131" s="548">
        <v>4.3554000000000004</v>
      </c>
      <c r="I131" s="552">
        <v>45063</v>
      </c>
      <c r="J131" s="548">
        <v>11.4039</v>
      </c>
      <c r="K131" s="548">
        <v>57.986400000000003</v>
      </c>
      <c r="L131" s="548">
        <v>15.6092</v>
      </c>
      <c r="M131" s="548">
        <v>17.285599999999999</v>
      </c>
      <c r="N131" s="548">
        <v>10.3384</v>
      </c>
      <c r="O131" s="548">
        <v>9.8112999999999992</v>
      </c>
      <c r="P131" s="548"/>
      <c r="Q131" s="552">
        <v>45063</v>
      </c>
      <c r="R131" s="4">
        <v>81.33</v>
      </c>
      <c r="S131" s="4">
        <v>13051.23</v>
      </c>
      <c r="T131" s="4">
        <v>3126.971</v>
      </c>
      <c r="U131" s="4">
        <v>1.2022172949002217</v>
      </c>
      <c r="V131" s="4">
        <v>1.1596856615049966</v>
      </c>
      <c r="W131" s="4">
        <v>1.317470315563821</v>
      </c>
      <c r="Y131" s="548">
        <v>81.33</v>
      </c>
      <c r="Z131" s="4">
        <v>222.785</v>
      </c>
      <c r="AA131" s="4">
        <v>57.411000000000001</v>
      </c>
      <c r="AB131" s="4">
        <v>17420</v>
      </c>
      <c r="AC131" s="4">
        <v>6290</v>
      </c>
      <c r="AD131" s="4">
        <v>65000</v>
      </c>
      <c r="AF131" s="4">
        <v>1.2022172949002217</v>
      </c>
      <c r="AG131" s="4">
        <v>1.1494724350540464</v>
      </c>
      <c r="AH131" s="4">
        <v>1.4515321601941749</v>
      </c>
      <c r="AI131" s="4">
        <v>1.3444781464416093</v>
      </c>
      <c r="AJ131" s="4">
        <v>1.5666251556662516</v>
      </c>
      <c r="AK131" s="4">
        <v>1.0906040268456376</v>
      </c>
      <c r="AM131" s="550">
        <v>45818</v>
      </c>
      <c r="AN131" s="551">
        <v>102.35</v>
      </c>
      <c r="AO131" s="551">
        <v>1324823</v>
      </c>
      <c r="AP131" s="551">
        <v>132.68965</v>
      </c>
      <c r="AQ131" s="551">
        <v>13580.7856775</v>
      </c>
      <c r="AR131" s="551">
        <v>0.85350000000000004</v>
      </c>
    </row>
    <row r="132" spans="2:44" x14ac:dyDescent="0.25">
      <c r="B132" s="552">
        <v>45056</v>
      </c>
      <c r="C132" s="548">
        <v>6.0102000000000002</v>
      </c>
      <c r="D132" s="548">
        <v>0</v>
      </c>
      <c r="E132" s="548">
        <v>11.4771</v>
      </c>
      <c r="F132" s="548">
        <v>10.4594</v>
      </c>
      <c r="G132" s="548">
        <v>5.0837000000000003</v>
      </c>
      <c r="H132" s="548">
        <v>4.3207000000000004</v>
      </c>
      <c r="I132" s="552">
        <v>45056</v>
      </c>
      <c r="J132" s="548">
        <v>10.819900000000001</v>
      </c>
      <c r="K132" s="548">
        <v>55.8155</v>
      </c>
      <c r="L132" s="548">
        <v>14.336499999999999</v>
      </c>
      <c r="M132" s="548">
        <v>15.509399999999999</v>
      </c>
      <c r="N132" s="548">
        <v>9.3850999999999996</v>
      </c>
      <c r="O132" s="548">
        <v>9.7508999999999997</v>
      </c>
      <c r="P132" s="548"/>
      <c r="Q132" s="552">
        <v>45056</v>
      </c>
      <c r="R132" s="4">
        <v>84.5</v>
      </c>
      <c r="S132" s="4">
        <v>13148.35</v>
      </c>
      <c r="T132" s="4">
        <v>3200.4270000000001</v>
      </c>
      <c r="U132" s="4">
        <v>1.2490761271249076</v>
      </c>
      <c r="V132" s="4">
        <v>1.1683153976636091</v>
      </c>
      <c r="W132" s="4">
        <v>1.3484191473566507</v>
      </c>
      <c r="Y132" s="548">
        <v>84.5</v>
      </c>
      <c r="Z132" s="4">
        <v>214.44399999999999</v>
      </c>
      <c r="AA132" s="4">
        <v>52.73</v>
      </c>
      <c r="AB132" s="4">
        <v>15630</v>
      </c>
      <c r="AC132" s="4">
        <v>5710</v>
      </c>
      <c r="AD132" s="4">
        <v>64600</v>
      </c>
      <c r="AF132" s="4">
        <v>1.2490761271249076</v>
      </c>
      <c r="AG132" s="4">
        <v>1.1064365503186027</v>
      </c>
      <c r="AH132" s="4">
        <v>1.3331816343042071</v>
      </c>
      <c r="AI132" s="4">
        <v>1.206325684780847</v>
      </c>
      <c r="AJ132" s="4">
        <v>1.4221668742216687</v>
      </c>
      <c r="AK132" s="4">
        <v>1.0838926174496644</v>
      </c>
      <c r="AM132" s="550">
        <v>45817</v>
      </c>
      <c r="AN132" s="551">
        <v>102.35</v>
      </c>
      <c r="AO132" s="551">
        <v>1324823</v>
      </c>
      <c r="AP132" s="551">
        <v>132.68965</v>
      </c>
      <c r="AQ132" s="551">
        <v>13580.7856775</v>
      </c>
      <c r="AR132" s="551">
        <v>0.85350000000000004</v>
      </c>
    </row>
    <row r="133" spans="2:44" x14ac:dyDescent="0.25">
      <c r="B133" s="552">
        <v>45049</v>
      </c>
      <c r="C133" s="548">
        <v>5.7755000000000001</v>
      </c>
      <c r="D133" s="548">
        <v>0</v>
      </c>
      <c r="E133" s="548">
        <v>11.1982</v>
      </c>
      <c r="F133" s="548">
        <v>10.1953</v>
      </c>
      <c r="G133" s="548">
        <v>4.8037000000000001</v>
      </c>
      <c r="H133" s="548">
        <v>4.3901000000000003</v>
      </c>
      <c r="I133" s="552">
        <v>45049</v>
      </c>
      <c r="J133" s="548">
        <v>10.465</v>
      </c>
      <c r="K133" s="548">
        <v>62.1432</v>
      </c>
      <c r="L133" s="548">
        <v>13.9899</v>
      </c>
      <c r="M133" s="548">
        <v>15.142300000000001</v>
      </c>
      <c r="N133" s="548">
        <v>8.9989000000000008</v>
      </c>
      <c r="O133" s="548">
        <v>9.8717000000000006</v>
      </c>
      <c r="P133" s="548"/>
      <c r="Q133" s="552">
        <v>45049</v>
      </c>
      <c r="R133" s="4">
        <v>81.709999999999994</v>
      </c>
      <c r="S133" s="4">
        <v>12673.07</v>
      </c>
      <c r="T133" s="4">
        <v>3083.5749999999998</v>
      </c>
      <c r="U133" s="4">
        <v>1.2078344419807832</v>
      </c>
      <c r="V133" s="4">
        <v>1.1260837151938268</v>
      </c>
      <c r="W133" s="4">
        <v>1.2991865061475496</v>
      </c>
      <c r="Y133" s="548">
        <v>81.709999999999994</v>
      </c>
      <c r="Z133" s="4">
        <v>248.14099999999999</v>
      </c>
      <c r="AA133" s="4">
        <v>51.454999999999998</v>
      </c>
      <c r="AB133" s="4">
        <v>15260</v>
      </c>
      <c r="AC133" s="4">
        <v>5475</v>
      </c>
      <c r="AD133" s="4">
        <v>65400</v>
      </c>
      <c r="AF133" s="4">
        <v>1.2078344419807832</v>
      </c>
      <c r="AG133" s="4">
        <v>1.2802982225317958</v>
      </c>
      <c r="AH133" s="4">
        <v>1.3009455906148868</v>
      </c>
      <c r="AI133" s="4">
        <v>1.1777690306945441</v>
      </c>
      <c r="AJ133" s="4">
        <v>1.3636363636363635</v>
      </c>
      <c r="AK133" s="4">
        <v>1.0973154362416107</v>
      </c>
      <c r="AM133" s="550">
        <v>45816</v>
      </c>
      <c r="AN133" s="551">
        <v>102.35</v>
      </c>
      <c r="AO133" s="551">
        <v>1324823</v>
      </c>
      <c r="AP133" s="551">
        <v>132.68965</v>
      </c>
      <c r="AQ133" s="551">
        <v>13580.7856775</v>
      </c>
      <c r="AR133" s="551">
        <v>0.85350000000000004</v>
      </c>
    </row>
    <row r="134" spans="2:44" x14ac:dyDescent="0.25">
      <c r="B134" s="552">
        <v>45042</v>
      </c>
      <c r="C134" s="548">
        <v>6.0679999999999996</v>
      </c>
      <c r="D134" s="548">
        <v>0</v>
      </c>
      <c r="E134" s="548">
        <v>10.822900000000001</v>
      </c>
      <c r="F134" s="548">
        <v>10.1953</v>
      </c>
      <c r="G134" s="548">
        <v>4.8037000000000001</v>
      </c>
      <c r="H134" s="548">
        <v>4.2773000000000003</v>
      </c>
      <c r="I134" s="552">
        <v>45042</v>
      </c>
      <c r="J134" s="548">
        <v>10.9459</v>
      </c>
      <c r="K134" s="548">
        <v>64.585999999999999</v>
      </c>
      <c r="L134" s="548">
        <v>13.5236</v>
      </c>
      <c r="M134" s="548">
        <v>15.142300000000001</v>
      </c>
      <c r="N134" s="548">
        <v>8.9989000000000008</v>
      </c>
      <c r="O134" s="548">
        <v>9.6754999999999995</v>
      </c>
      <c r="P134" s="548"/>
      <c r="Q134" s="552">
        <v>45042</v>
      </c>
      <c r="R134" s="4">
        <v>82.56</v>
      </c>
      <c r="S134" s="4">
        <v>12562.61</v>
      </c>
      <c r="T134" s="4">
        <v>3114.7130000000002</v>
      </c>
      <c r="U134" s="4">
        <v>1.2203991130820397</v>
      </c>
      <c r="V134" s="4">
        <v>1.116268634303379</v>
      </c>
      <c r="W134" s="4">
        <v>1.3123057166186498</v>
      </c>
      <c r="Y134" s="548">
        <v>82.56</v>
      </c>
      <c r="Z134" s="4">
        <v>248.14099999999999</v>
      </c>
      <c r="AA134" s="4">
        <v>49.74</v>
      </c>
      <c r="AB134" s="4">
        <v>15260</v>
      </c>
      <c r="AC134" s="4">
        <v>5475</v>
      </c>
      <c r="AD134" s="4">
        <v>64100</v>
      </c>
      <c r="AF134" s="4">
        <v>1.2203991130820397</v>
      </c>
      <c r="AG134" s="4">
        <v>1.2802982225317958</v>
      </c>
      <c r="AH134" s="4">
        <v>1.2575849514563107</v>
      </c>
      <c r="AI134" s="4">
        <v>1.1777690306945441</v>
      </c>
      <c r="AJ134" s="4">
        <v>1.3636363636363635</v>
      </c>
      <c r="AK134" s="4">
        <v>1.075503355704698</v>
      </c>
      <c r="AM134" s="550">
        <v>45815</v>
      </c>
      <c r="AN134" s="551">
        <v>100.25</v>
      </c>
      <c r="AO134" s="551">
        <v>915808</v>
      </c>
      <c r="AP134" s="551">
        <v>132.68965</v>
      </c>
      <c r="AQ134" s="551">
        <v>13302.1374125</v>
      </c>
      <c r="AR134" s="551">
        <v>0.83599999999999997</v>
      </c>
    </row>
    <row r="135" spans="2:44" x14ac:dyDescent="0.25">
      <c r="B135" s="552">
        <v>45035</v>
      </c>
      <c r="C135" s="548">
        <v>6.7156000000000002</v>
      </c>
      <c r="D135" s="548">
        <v>0</v>
      </c>
      <c r="E135" s="548">
        <v>10.731</v>
      </c>
      <c r="F135" s="548">
        <v>10.102499999999999</v>
      </c>
      <c r="G135" s="548">
        <v>4.6189999999999998</v>
      </c>
      <c r="H135" s="548">
        <v>4.3987999999999996</v>
      </c>
      <c r="I135" s="552">
        <v>45035</v>
      </c>
      <c r="J135" s="548">
        <v>12.0107</v>
      </c>
      <c r="K135" s="548">
        <v>63.161200000000001</v>
      </c>
      <c r="L135" s="548">
        <v>13.350099999999999</v>
      </c>
      <c r="M135" s="548">
        <v>15.013299999999999</v>
      </c>
      <c r="N135" s="548">
        <v>8.7440999999999995</v>
      </c>
      <c r="O135" s="548">
        <v>9.8867999999999991</v>
      </c>
      <c r="P135" s="548"/>
      <c r="Q135" s="552">
        <v>45035</v>
      </c>
      <c r="R135" s="4">
        <v>83.72</v>
      </c>
      <c r="S135" s="4">
        <v>11923.17</v>
      </c>
      <c r="T135" s="4">
        <v>2921.7049999999999</v>
      </c>
      <c r="U135" s="4">
        <v>1.2375461936437544</v>
      </c>
      <c r="V135" s="4">
        <v>1.0594502808307364</v>
      </c>
      <c r="W135" s="4">
        <v>1.2309866667565492</v>
      </c>
      <c r="Y135" s="548">
        <v>83.72</v>
      </c>
      <c r="Z135" s="4">
        <v>242.667</v>
      </c>
      <c r="AA135" s="4">
        <v>49.101999999999997</v>
      </c>
      <c r="AB135" s="4">
        <v>15130</v>
      </c>
      <c r="AC135" s="4">
        <v>5320</v>
      </c>
      <c r="AD135" s="4">
        <v>65500</v>
      </c>
      <c r="AF135" s="4">
        <v>1.2375461936437544</v>
      </c>
      <c r="AG135" s="4">
        <v>1.252054794520548</v>
      </c>
      <c r="AH135" s="4">
        <v>1.2414542880258899</v>
      </c>
      <c r="AI135" s="4">
        <v>1.1677356116912485</v>
      </c>
      <c r="AJ135" s="4">
        <v>1.3250311332503113</v>
      </c>
      <c r="AK135" s="4">
        <v>1.098993288590604</v>
      </c>
      <c r="AM135" s="550">
        <v>45814</v>
      </c>
      <c r="AN135" s="551">
        <v>98.65</v>
      </c>
      <c r="AO135" s="551">
        <v>904532</v>
      </c>
      <c r="AP135" s="551">
        <v>132.68965</v>
      </c>
      <c r="AQ135" s="551">
        <v>13089.833972500001</v>
      </c>
      <c r="AR135" s="551">
        <v>0.82269999999999999</v>
      </c>
    </row>
    <row r="136" spans="2:44" x14ac:dyDescent="0.25">
      <c r="B136" s="552">
        <v>45028</v>
      </c>
      <c r="C136" s="548">
        <v>6.7644000000000002</v>
      </c>
      <c r="D136" s="548">
        <v>0</v>
      </c>
      <c r="E136" s="548">
        <v>10.863899999999999</v>
      </c>
      <c r="F136" s="548">
        <v>10.684200000000001</v>
      </c>
      <c r="G136" s="548">
        <v>4.9526000000000003</v>
      </c>
      <c r="H136" s="548">
        <v>4.4420999999999999</v>
      </c>
      <c r="I136" s="552">
        <v>45028</v>
      </c>
      <c r="J136" s="548">
        <v>12.0909</v>
      </c>
      <c r="K136" s="548">
        <v>57.107300000000002</v>
      </c>
      <c r="L136" s="548">
        <v>13.5146</v>
      </c>
      <c r="M136" s="548">
        <v>15.821999999999999</v>
      </c>
      <c r="N136" s="548">
        <v>9.2042999999999999</v>
      </c>
      <c r="O136" s="548">
        <v>9.9623000000000008</v>
      </c>
      <c r="P136" s="548"/>
      <c r="Q136" s="552">
        <v>45028</v>
      </c>
      <c r="R136" s="4">
        <v>89.28</v>
      </c>
      <c r="S136" s="4">
        <v>12302.48</v>
      </c>
      <c r="T136" s="4">
        <v>2994.5920000000001</v>
      </c>
      <c r="U136" s="4">
        <v>1.3197339246119733</v>
      </c>
      <c r="V136" s="4">
        <v>1.0931544120325818</v>
      </c>
      <c r="W136" s="4">
        <v>1.2616957647592173</v>
      </c>
      <c r="Y136" s="548">
        <v>89.28</v>
      </c>
      <c r="Z136" s="4">
        <v>219.40700000000001</v>
      </c>
      <c r="AA136" s="4">
        <v>49.707000000000001</v>
      </c>
      <c r="AB136" s="4">
        <v>15945</v>
      </c>
      <c r="AC136" s="4">
        <v>5600</v>
      </c>
      <c r="AD136" s="4">
        <v>66000</v>
      </c>
      <c r="AF136" s="4">
        <v>1.3197339246119733</v>
      </c>
      <c r="AG136" s="4">
        <v>1.132043443489926</v>
      </c>
      <c r="AH136" s="4">
        <v>1.2567506067961165</v>
      </c>
      <c r="AI136" s="4">
        <v>1.2306374308272938</v>
      </c>
      <c r="AJ136" s="4">
        <v>1.3947696139476962</v>
      </c>
      <c r="AK136" s="4">
        <v>1.1073825503355705</v>
      </c>
      <c r="AM136" s="550">
        <v>45813</v>
      </c>
      <c r="AN136" s="551">
        <v>98.17</v>
      </c>
      <c r="AO136" s="551">
        <v>594633</v>
      </c>
      <c r="AP136" s="551">
        <v>132.68965</v>
      </c>
      <c r="AQ136" s="551">
        <v>13026.1429405</v>
      </c>
      <c r="AR136" s="551">
        <v>0.81869999999999998</v>
      </c>
    </row>
    <row r="137" spans="2:44" x14ac:dyDescent="0.25">
      <c r="B137" s="552">
        <v>45021</v>
      </c>
      <c r="C137" s="548">
        <v>6.8479999999999999</v>
      </c>
      <c r="D137" s="548">
        <v>0</v>
      </c>
      <c r="E137" s="548">
        <v>10.7851</v>
      </c>
      <c r="F137" s="548">
        <v>10.5664</v>
      </c>
      <c r="G137" s="548">
        <v>4.9108999999999998</v>
      </c>
      <c r="H137" s="548">
        <v>4.26</v>
      </c>
      <c r="I137" s="552">
        <v>45021</v>
      </c>
      <c r="J137" s="548">
        <v>12.228300000000001</v>
      </c>
      <c r="K137" s="548">
        <v>59.272399999999998</v>
      </c>
      <c r="L137" s="548">
        <v>13.417</v>
      </c>
      <c r="M137" s="548">
        <v>15.658300000000001</v>
      </c>
      <c r="N137" s="548">
        <v>9.1468000000000007</v>
      </c>
      <c r="O137" s="548">
        <v>9.6453000000000007</v>
      </c>
      <c r="P137" s="548"/>
      <c r="Q137" s="552">
        <v>45021</v>
      </c>
      <c r="R137" s="4">
        <v>86.77</v>
      </c>
      <c r="S137" s="4">
        <v>12057.79</v>
      </c>
      <c r="T137" s="4">
        <v>2951.2069999999999</v>
      </c>
      <c r="U137" s="4">
        <v>1.282631189948263</v>
      </c>
      <c r="V137" s="4">
        <v>1.0714121329896367</v>
      </c>
      <c r="W137" s="4">
        <v>1.2434165899153391</v>
      </c>
      <c r="Y137" s="548">
        <v>86.77</v>
      </c>
      <c r="Z137" s="4">
        <v>201.38499999999999</v>
      </c>
      <c r="AA137" s="4">
        <v>49.347999999999999</v>
      </c>
      <c r="AB137" s="4">
        <v>15780</v>
      </c>
      <c r="AC137" s="4">
        <v>5565</v>
      </c>
      <c r="AD137" s="4">
        <v>63900</v>
      </c>
      <c r="AF137" s="4">
        <v>1.282631189948263</v>
      </c>
      <c r="AG137" s="4">
        <v>1.0390578644583752</v>
      </c>
      <c r="AH137" s="4">
        <v>1.2476739482200647</v>
      </c>
      <c r="AI137" s="4">
        <v>1.2179027067077264</v>
      </c>
      <c r="AJ137" s="4">
        <v>1.386052303860523</v>
      </c>
      <c r="AK137" s="4">
        <v>1.0721476510067114</v>
      </c>
      <c r="AM137" s="550">
        <v>45812</v>
      </c>
      <c r="AN137" s="551">
        <v>97.44</v>
      </c>
      <c r="AO137" s="551">
        <v>610347</v>
      </c>
      <c r="AP137" s="551">
        <v>132.68965</v>
      </c>
      <c r="AQ137" s="551">
        <v>12929.279495999999</v>
      </c>
      <c r="AR137" s="551">
        <v>0.81259999999999999</v>
      </c>
    </row>
    <row r="138" spans="2:44" x14ac:dyDescent="0.25">
      <c r="B138" s="552">
        <v>45014</v>
      </c>
      <c r="C138" s="548">
        <v>8.5884</v>
      </c>
      <c r="D138" s="548">
        <v>0</v>
      </c>
      <c r="E138" s="548">
        <v>11.2744</v>
      </c>
      <c r="F138" s="548">
        <v>0</v>
      </c>
      <c r="G138" s="548">
        <v>5.2965</v>
      </c>
      <c r="H138" s="548">
        <v>3.3835999999999999</v>
      </c>
      <c r="I138" s="552">
        <v>45014</v>
      </c>
      <c r="J138" s="548">
        <v>15.358499999999999</v>
      </c>
      <c r="K138" s="548">
        <v>60.944699999999997</v>
      </c>
      <c r="L138" s="548">
        <v>14.022500000000001</v>
      </c>
      <c r="M138" s="548">
        <v>15.700699999999999</v>
      </c>
      <c r="N138" s="548">
        <v>9.5005000000000006</v>
      </c>
      <c r="O138" s="548">
        <v>7.7820999999999998</v>
      </c>
      <c r="P138" s="548"/>
      <c r="Q138" s="552">
        <v>45014</v>
      </c>
      <c r="R138" s="4">
        <v>90.25</v>
      </c>
      <c r="S138" s="4">
        <v>12502.31</v>
      </c>
      <c r="T138" s="4">
        <v>3057.319</v>
      </c>
      <c r="U138" s="4">
        <v>1.3340724316334072</v>
      </c>
      <c r="V138" s="4">
        <v>1.1109105917749158</v>
      </c>
      <c r="W138" s="4">
        <v>1.2881242031695419</v>
      </c>
      <c r="Y138" s="548">
        <v>90.25</v>
      </c>
      <c r="Z138" s="4">
        <v>201.38499999999999</v>
      </c>
      <c r="AA138" s="4">
        <v>51.575000000000003</v>
      </c>
      <c r="AB138" s="4">
        <v>16106.7</v>
      </c>
      <c r="AC138" s="4">
        <v>5830</v>
      </c>
      <c r="AD138" s="4">
        <v>62700</v>
      </c>
      <c r="AF138" s="4">
        <v>1.3340724316334072</v>
      </c>
      <c r="AG138" s="4">
        <v>1.0390578644583752</v>
      </c>
      <c r="AH138" s="4">
        <v>1.3039795711974111</v>
      </c>
      <c r="AI138" s="4">
        <v>1.2431174604644701</v>
      </c>
      <c r="AJ138" s="4">
        <v>1.452054794520548</v>
      </c>
      <c r="AK138" s="4">
        <v>1.0520134228187918</v>
      </c>
      <c r="AM138" s="550">
        <v>45811</v>
      </c>
      <c r="AN138" s="551">
        <v>97.34</v>
      </c>
      <c r="AO138" s="551">
        <v>548703</v>
      </c>
      <c r="AP138" s="551">
        <v>132.68965</v>
      </c>
      <c r="AQ138" s="551">
        <v>12916.010531</v>
      </c>
      <c r="AR138" s="551">
        <v>0.81179999999999997</v>
      </c>
    </row>
    <row r="139" spans="2:44" x14ac:dyDescent="0.25">
      <c r="B139" s="552">
        <v>45007</v>
      </c>
      <c r="C139" s="548">
        <v>8.0909999999999993</v>
      </c>
      <c r="D139" s="548">
        <v>0</v>
      </c>
      <c r="E139" s="548">
        <v>10.768599999999999</v>
      </c>
      <c r="F139" s="548">
        <v>0</v>
      </c>
      <c r="G139" s="548">
        <v>4.9622999999999999</v>
      </c>
      <c r="H139" s="548">
        <v>3.2677999999999998</v>
      </c>
      <c r="I139" s="552">
        <v>45007</v>
      </c>
      <c r="J139" s="548">
        <v>14.6241</v>
      </c>
      <c r="K139" s="548">
        <v>59.9696</v>
      </c>
      <c r="L139" s="548">
        <v>13.6335</v>
      </c>
      <c r="M139" s="548">
        <v>15.716900000000001</v>
      </c>
      <c r="N139" s="548">
        <v>9.0360999999999994</v>
      </c>
      <c r="O139" s="548">
        <v>7.5834999999999999</v>
      </c>
      <c r="P139" s="548"/>
      <c r="Q139" s="552">
        <v>45007</v>
      </c>
      <c r="R139" s="4">
        <v>90.25</v>
      </c>
      <c r="S139" s="4">
        <v>12502.31</v>
      </c>
      <c r="T139" s="4">
        <v>3057.319</v>
      </c>
      <c r="U139" s="4">
        <v>1.3340724316334072</v>
      </c>
      <c r="V139" s="4">
        <v>1.1109105917749158</v>
      </c>
      <c r="W139" s="4">
        <v>1.2881242031695419</v>
      </c>
      <c r="Y139" s="548">
        <v>90.25</v>
      </c>
      <c r="Z139" s="4">
        <v>198.16300000000001</v>
      </c>
      <c r="AA139" s="4">
        <v>50.63</v>
      </c>
      <c r="AB139" s="4">
        <v>16123.3</v>
      </c>
      <c r="AC139" s="4">
        <v>5545</v>
      </c>
      <c r="AD139" s="4">
        <v>61100</v>
      </c>
      <c r="AF139" s="4">
        <v>1.3340724316334072</v>
      </c>
      <c r="AG139" s="4">
        <v>1.0224337641565411</v>
      </c>
      <c r="AH139" s="4">
        <v>1.2800869741100325</v>
      </c>
      <c r="AI139" s="4">
        <v>1.2443986508910447</v>
      </c>
      <c r="AJ139" s="4">
        <v>1.3810709838107098</v>
      </c>
      <c r="AK139" s="4">
        <v>1.0251677852348993</v>
      </c>
      <c r="AM139" s="550">
        <v>45810</v>
      </c>
      <c r="AN139" s="551">
        <v>97.34</v>
      </c>
      <c r="AO139" s="551">
        <v>548703</v>
      </c>
      <c r="AP139" s="551">
        <v>132.68965</v>
      </c>
      <c r="AQ139" s="551">
        <v>12916.010531</v>
      </c>
      <c r="AR139" s="551">
        <v>0.81179999999999997</v>
      </c>
    </row>
    <row r="140" spans="2:44" x14ac:dyDescent="0.25">
      <c r="B140" s="552">
        <v>45000</v>
      </c>
      <c r="C140" s="548">
        <v>9.0680999999999994</v>
      </c>
      <c r="D140" s="548">
        <v>0</v>
      </c>
      <c r="E140" s="548">
        <v>10.361700000000001</v>
      </c>
      <c r="F140" s="548">
        <v>0</v>
      </c>
      <c r="G140" s="548">
        <v>5.0853999999999999</v>
      </c>
      <c r="H140" s="548">
        <v>3.1737000000000002</v>
      </c>
      <c r="I140" s="552">
        <v>45000</v>
      </c>
      <c r="J140" s="548">
        <v>16.066800000000001</v>
      </c>
      <c r="K140" s="548">
        <v>60.973799999999997</v>
      </c>
      <c r="L140" s="548">
        <v>13.1151</v>
      </c>
      <c r="M140" s="548">
        <v>15.1906</v>
      </c>
      <c r="N140" s="548">
        <v>9.2072000000000003</v>
      </c>
      <c r="O140" s="548">
        <v>7.4221000000000004</v>
      </c>
      <c r="P140" s="548"/>
      <c r="Q140" s="552">
        <v>45000</v>
      </c>
      <c r="R140" s="4">
        <v>88.24</v>
      </c>
      <c r="S140" s="4">
        <v>12464.51</v>
      </c>
      <c r="T140" s="4">
        <v>3029.7420000000002</v>
      </c>
      <c r="U140" s="4">
        <v>1.3043606799704359</v>
      </c>
      <c r="V140" s="4">
        <v>1.1075518188466258</v>
      </c>
      <c r="W140" s="4">
        <v>1.2765053301795772</v>
      </c>
      <c r="Y140" s="548">
        <v>88.24</v>
      </c>
      <c r="Z140" s="4">
        <v>201.48099999999999</v>
      </c>
      <c r="AA140" s="4">
        <v>48.704999999999998</v>
      </c>
      <c r="AB140" s="4">
        <v>15583.3</v>
      </c>
      <c r="AC140" s="4">
        <v>5650</v>
      </c>
      <c r="AD140" s="4">
        <v>59800</v>
      </c>
      <c r="AF140" s="4">
        <v>1.3043606799704359</v>
      </c>
      <c r="AG140" s="4">
        <v>1.0395531821582438</v>
      </c>
      <c r="AH140" s="4">
        <v>1.2314168689320388</v>
      </c>
      <c r="AI140" s="4">
        <v>1.2027213719542784</v>
      </c>
      <c r="AJ140" s="4">
        <v>1.4072229140722292</v>
      </c>
      <c r="AK140" s="4">
        <v>1.0033557046979866</v>
      </c>
      <c r="AM140" s="550">
        <v>45809</v>
      </c>
      <c r="AN140" s="551">
        <v>97.34</v>
      </c>
      <c r="AO140" s="551">
        <v>548703</v>
      </c>
      <c r="AP140" s="551">
        <v>132.68965</v>
      </c>
      <c r="AQ140" s="551">
        <v>12916.010531</v>
      </c>
      <c r="AR140" s="551">
        <v>0.81179999999999997</v>
      </c>
    </row>
    <row r="141" spans="2:44" x14ac:dyDescent="0.25">
      <c r="B141" s="552">
        <v>44993</v>
      </c>
      <c r="C141" s="548">
        <v>9.2635000000000005</v>
      </c>
      <c r="D141" s="548">
        <v>0</v>
      </c>
      <c r="E141" s="548">
        <v>10.495900000000001</v>
      </c>
      <c r="F141" s="548">
        <v>0</v>
      </c>
      <c r="G141" s="548">
        <v>5.1382000000000003</v>
      </c>
      <c r="H141" s="548">
        <v>3.2099000000000002</v>
      </c>
      <c r="I141" s="552">
        <v>44993</v>
      </c>
      <c r="J141" s="548">
        <v>16.3553</v>
      </c>
      <c r="K141" s="548">
        <v>55.813499999999998</v>
      </c>
      <c r="L141" s="548">
        <v>13.286099999999999</v>
      </c>
      <c r="M141" s="548">
        <v>15.6097</v>
      </c>
      <c r="N141" s="548">
        <v>9.2805</v>
      </c>
      <c r="O141" s="548">
        <v>7.4842000000000004</v>
      </c>
      <c r="P141" s="548"/>
      <c r="Q141" s="552">
        <v>44993</v>
      </c>
      <c r="R141" s="4">
        <v>85.64</v>
      </c>
      <c r="S141" s="4">
        <v>11912.39</v>
      </c>
      <c r="T141" s="4">
        <v>2866.6869999999999</v>
      </c>
      <c r="U141" s="4">
        <v>1.2659275683665927</v>
      </c>
      <c r="V141" s="4">
        <v>1.0584924085511869</v>
      </c>
      <c r="W141" s="4">
        <v>1.2078062209443909</v>
      </c>
      <c r="Y141" s="548">
        <v>85.64</v>
      </c>
      <c r="Z141" s="4">
        <v>184.43</v>
      </c>
      <c r="AA141" s="4">
        <v>49.34</v>
      </c>
      <c r="AB141" s="4">
        <v>16013.3</v>
      </c>
      <c r="AC141" s="4">
        <v>5695</v>
      </c>
      <c r="AD141" s="4">
        <v>60300</v>
      </c>
      <c r="AF141" s="4">
        <v>1.2659275683665927</v>
      </c>
      <c r="AG141" s="4">
        <v>0.95157753527848732</v>
      </c>
      <c r="AH141" s="4">
        <v>1.2474716828478964</v>
      </c>
      <c r="AI141" s="4">
        <v>1.235908834811333</v>
      </c>
      <c r="AJ141" s="4">
        <v>1.4184308841843087</v>
      </c>
      <c r="AK141" s="4">
        <v>1.011744966442953</v>
      </c>
      <c r="AM141" s="550">
        <v>45808</v>
      </c>
      <c r="AN141" s="551">
        <v>97.65</v>
      </c>
      <c r="AO141" s="551">
        <v>575167</v>
      </c>
      <c r="AP141" s="551">
        <v>132.68965</v>
      </c>
      <c r="AQ141" s="551">
        <v>12957.1443225</v>
      </c>
      <c r="AR141" s="551">
        <v>0.81430000000000002</v>
      </c>
    </row>
    <row r="142" spans="2:44" x14ac:dyDescent="0.25">
      <c r="B142" s="552">
        <v>44986</v>
      </c>
      <c r="C142" s="548">
        <v>7.52</v>
      </c>
      <c r="D142" s="548">
        <v>0</v>
      </c>
      <c r="E142" s="548">
        <v>10.4435</v>
      </c>
      <c r="F142" s="548">
        <v>0</v>
      </c>
      <c r="G142" s="548">
        <v>5.0091999999999999</v>
      </c>
      <c r="H142" s="548">
        <v>3.2461000000000002</v>
      </c>
      <c r="I142" s="552">
        <v>44986</v>
      </c>
      <c r="J142" s="548">
        <v>13.8371</v>
      </c>
      <c r="K142" s="548">
        <v>52.377000000000002</v>
      </c>
      <c r="L142" s="548">
        <v>13.2193</v>
      </c>
      <c r="M142" s="548">
        <v>15.457000000000001</v>
      </c>
      <c r="N142" s="548">
        <v>9.1013000000000002</v>
      </c>
      <c r="O142" s="548">
        <v>7.5461999999999998</v>
      </c>
      <c r="P142" s="548"/>
      <c r="Q142" s="552">
        <v>44986</v>
      </c>
      <c r="R142" s="4">
        <v>86.11</v>
      </c>
      <c r="S142" s="4">
        <v>11872.54</v>
      </c>
      <c r="T142" s="4">
        <v>2934.8310000000001</v>
      </c>
      <c r="U142" s="4">
        <v>1.2728750923872874</v>
      </c>
      <c r="V142" s="4">
        <v>1.0549514799482145</v>
      </c>
      <c r="W142" s="4">
        <v>1.2365169755960272</v>
      </c>
      <c r="Y142" s="548">
        <v>86.11</v>
      </c>
      <c r="Z142" s="4">
        <v>173.07400000000001</v>
      </c>
      <c r="AA142" s="4">
        <v>49.091999999999999</v>
      </c>
      <c r="AB142" s="4">
        <v>15856.7</v>
      </c>
      <c r="AC142" s="4">
        <v>5585</v>
      </c>
      <c r="AD142" s="4">
        <v>61100</v>
      </c>
      <c r="AF142" s="4">
        <v>1.2728750923872874</v>
      </c>
      <c r="AG142" s="4">
        <v>0.89298557903155074</v>
      </c>
      <c r="AH142" s="4">
        <v>1.2412014563106797</v>
      </c>
      <c r="AI142" s="4">
        <v>1.2238224239196709</v>
      </c>
      <c r="AJ142" s="4">
        <v>1.3910336239103362</v>
      </c>
      <c r="AK142" s="4">
        <v>1.0251677852348993</v>
      </c>
      <c r="AM142" s="550">
        <v>45807</v>
      </c>
      <c r="AN142" s="551">
        <v>95.2</v>
      </c>
      <c r="AO142" s="551">
        <v>724249</v>
      </c>
      <c r="AP142" s="551">
        <v>132.68965</v>
      </c>
      <c r="AQ142" s="551">
        <v>12632.054680000001</v>
      </c>
      <c r="AR142" s="551">
        <v>0.79390000000000005</v>
      </c>
    </row>
    <row r="143" spans="2:44" x14ac:dyDescent="0.25">
      <c r="B143" s="552">
        <v>44979</v>
      </c>
      <c r="C143" s="548">
        <v>8.44</v>
      </c>
      <c r="D143" s="548">
        <v>0</v>
      </c>
      <c r="E143" s="548">
        <v>10.154299999999999</v>
      </c>
      <c r="F143" s="548">
        <v>0</v>
      </c>
      <c r="G143" s="548">
        <v>4.4581</v>
      </c>
      <c r="H143" s="548">
        <v>3.2677999999999998</v>
      </c>
      <c r="I143" s="552">
        <v>44979</v>
      </c>
      <c r="J143" s="548">
        <v>15.2012</v>
      </c>
      <c r="K143" s="548">
        <v>54.004399999999997</v>
      </c>
      <c r="L143" s="548">
        <v>12.851000000000001</v>
      </c>
      <c r="M143" s="548">
        <v>14.4887</v>
      </c>
      <c r="N143" s="548">
        <v>8.3353999999999999</v>
      </c>
      <c r="O143" s="548">
        <v>7.5834999999999999</v>
      </c>
      <c r="P143" s="548"/>
      <c r="Q143" s="552">
        <v>44979</v>
      </c>
      <c r="R143" s="4">
        <v>82.07</v>
      </c>
      <c r="S143" s="4">
        <v>11108.45</v>
      </c>
      <c r="T143" s="4">
        <v>2686.752</v>
      </c>
      <c r="U143" s="4">
        <v>1.2131559497413154</v>
      </c>
      <c r="V143" s="4">
        <v>0.98705717289061512</v>
      </c>
      <c r="W143" s="4">
        <v>1.1319951497093281</v>
      </c>
      <c r="Y143" s="548">
        <v>82.07</v>
      </c>
      <c r="Z143" s="4">
        <v>178.452</v>
      </c>
      <c r="AA143" s="4">
        <v>47.723999999999997</v>
      </c>
      <c r="AB143" s="4">
        <v>14863.3</v>
      </c>
      <c r="AC143" s="4">
        <v>5115</v>
      </c>
      <c r="AD143" s="4">
        <v>61100</v>
      </c>
      <c r="AF143" s="4">
        <v>1.2131559497413154</v>
      </c>
      <c r="AG143" s="4">
        <v>0.9207336893429301</v>
      </c>
      <c r="AH143" s="4">
        <v>1.2066140776699028</v>
      </c>
      <c r="AI143" s="4">
        <v>1.1471516667052566</v>
      </c>
      <c r="AJ143" s="4">
        <v>1.273972602739726</v>
      </c>
      <c r="AK143" s="4">
        <v>1.0251677852348993</v>
      </c>
      <c r="AM143" s="550">
        <v>45806</v>
      </c>
      <c r="AN143" s="551">
        <v>94</v>
      </c>
      <c r="AO143" s="551">
        <v>911405</v>
      </c>
      <c r="AP143" s="551">
        <v>132.68965</v>
      </c>
      <c r="AQ143" s="551">
        <v>12472.8271</v>
      </c>
      <c r="AR143" s="551">
        <v>0.78390000000000004</v>
      </c>
    </row>
    <row r="144" spans="2:44" x14ac:dyDescent="0.25">
      <c r="B144" s="552">
        <v>44972</v>
      </c>
      <c r="C144" s="548">
        <v>10.7311</v>
      </c>
      <c r="D144" s="548">
        <v>0</v>
      </c>
      <c r="E144" s="548">
        <v>11.064399999999999</v>
      </c>
      <c r="F144" s="548">
        <v>0</v>
      </c>
      <c r="G144" s="548">
        <v>4.4932999999999996</v>
      </c>
      <c r="H144" s="548">
        <v>3.3473999999999999</v>
      </c>
      <c r="I144" s="552">
        <v>44972</v>
      </c>
      <c r="J144" s="548">
        <v>18.598099999999999</v>
      </c>
      <c r="K144" s="548">
        <v>57.371499999999997</v>
      </c>
      <c r="L144" s="548">
        <v>14.010199999999999</v>
      </c>
      <c r="M144" s="548">
        <v>15.132099999999999</v>
      </c>
      <c r="N144" s="548">
        <v>8.3842999999999996</v>
      </c>
      <c r="O144" s="548">
        <v>7.72</v>
      </c>
      <c r="P144" s="548"/>
      <c r="Q144" s="552">
        <v>44972</v>
      </c>
      <c r="R144" s="4">
        <v>82.07</v>
      </c>
      <c r="S144" s="4">
        <v>11108.45</v>
      </c>
      <c r="T144" s="4">
        <v>2686.752</v>
      </c>
      <c r="U144" s="4">
        <v>1.2131559497413154</v>
      </c>
      <c r="V144" s="4">
        <v>0.98705717289061512</v>
      </c>
      <c r="W144" s="4">
        <v>1.1319951497093281</v>
      </c>
      <c r="Y144" s="548">
        <v>82.07</v>
      </c>
      <c r="Z144" s="4">
        <v>189.578</v>
      </c>
      <c r="AA144" s="4">
        <v>52.029000000000003</v>
      </c>
      <c r="AB144" s="4">
        <v>15523.3</v>
      </c>
      <c r="AC144" s="4">
        <v>5145</v>
      </c>
      <c r="AD144" s="4">
        <v>62200</v>
      </c>
      <c r="AF144" s="4">
        <v>1.2131559497413154</v>
      </c>
      <c r="AG144" s="4">
        <v>0.97813894693393189</v>
      </c>
      <c r="AH144" s="4">
        <v>1.3154581310679612</v>
      </c>
      <c r="AI144" s="4">
        <v>1.1980905631835266</v>
      </c>
      <c r="AJ144" s="4">
        <v>1.2814445828144458</v>
      </c>
      <c r="AK144" s="4">
        <v>1.0436241610738255</v>
      </c>
      <c r="AM144" s="550">
        <v>45805</v>
      </c>
      <c r="AN144" s="551">
        <v>92.25</v>
      </c>
      <c r="AO144" s="551">
        <v>856180</v>
      </c>
      <c r="AP144" s="551">
        <v>132.68965</v>
      </c>
      <c r="AQ144" s="551">
        <v>12240.6202125</v>
      </c>
      <c r="AR144" s="551">
        <v>0.76929999999999998</v>
      </c>
    </row>
    <row r="145" spans="2:44" x14ac:dyDescent="0.25">
      <c r="B145" s="552">
        <v>44965</v>
      </c>
      <c r="C145" s="548">
        <v>8.6168999999999993</v>
      </c>
      <c r="D145" s="548">
        <v>0</v>
      </c>
      <c r="E145" s="548">
        <v>11.014099999999999</v>
      </c>
      <c r="F145" s="548">
        <v>0</v>
      </c>
      <c r="G145" s="548">
        <v>4.5461</v>
      </c>
      <c r="H145" s="548">
        <v>3.4125999999999999</v>
      </c>
      <c r="I145" s="552">
        <v>44965</v>
      </c>
      <c r="J145" s="548">
        <v>15.4635</v>
      </c>
      <c r="K145" s="548">
        <v>54.912300000000002</v>
      </c>
      <c r="L145" s="548">
        <v>13.946099999999999</v>
      </c>
      <c r="M145" s="548">
        <v>15.359500000000001</v>
      </c>
      <c r="N145" s="548">
        <v>8.4575999999999993</v>
      </c>
      <c r="O145" s="548">
        <v>7.8316999999999997</v>
      </c>
      <c r="P145" s="548"/>
      <c r="Q145" s="552">
        <v>44965</v>
      </c>
      <c r="R145" s="4">
        <v>82.88</v>
      </c>
      <c r="S145" s="4">
        <v>11084.59</v>
      </c>
      <c r="T145" s="4">
        <v>2599.8589999999999</v>
      </c>
      <c r="U145" s="4">
        <v>1.2251293422025127</v>
      </c>
      <c r="V145" s="4">
        <v>0.98493705855016522</v>
      </c>
      <c r="W145" s="4">
        <v>1.0953849770757196</v>
      </c>
      <c r="Y145" s="548">
        <v>82.88</v>
      </c>
      <c r="Z145" s="4">
        <v>181.452</v>
      </c>
      <c r="AA145" s="4">
        <v>51.790999999999997</v>
      </c>
      <c r="AB145" s="4">
        <v>15756.7</v>
      </c>
      <c r="AC145" s="4">
        <v>5190</v>
      </c>
      <c r="AD145" s="4">
        <v>63100</v>
      </c>
      <c r="AF145" s="4">
        <v>1.2251293422025127</v>
      </c>
      <c r="AG145" s="4">
        <v>0.93621236746381864</v>
      </c>
      <c r="AH145" s="4">
        <v>1.3094407362459546</v>
      </c>
      <c r="AI145" s="4">
        <v>1.2161044093017512</v>
      </c>
      <c r="AJ145" s="4">
        <v>1.2926525529265256</v>
      </c>
      <c r="AK145" s="4">
        <v>1.0587248322147651</v>
      </c>
      <c r="AM145" s="550">
        <v>45804</v>
      </c>
      <c r="AN145" s="551">
        <v>94.36</v>
      </c>
      <c r="AO145" s="551">
        <v>3243997</v>
      </c>
      <c r="AP145" s="551">
        <v>132.68965</v>
      </c>
      <c r="AQ145" s="551">
        <v>12520.595374</v>
      </c>
      <c r="AR145" s="551">
        <v>0.78690000000000004</v>
      </c>
    </row>
    <row r="146" spans="2:44" x14ac:dyDescent="0.25">
      <c r="B146" s="552">
        <v>44958</v>
      </c>
      <c r="C146" s="548">
        <v>9.2096</v>
      </c>
      <c r="D146" s="548">
        <v>0</v>
      </c>
      <c r="E146" s="548">
        <v>11.2751</v>
      </c>
      <c r="F146" s="548">
        <v>0</v>
      </c>
      <c r="G146" s="548">
        <v>4.3585000000000003</v>
      </c>
      <c r="H146" s="548">
        <v>3.3184999999999998</v>
      </c>
      <c r="I146" s="552">
        <v>44958</v>
      </c>
      <c r="J146" s="548">
        <v>16.342199999999998</v>
      </c>
      <c r="K146" s="548">
        <v>53.387999999999998</v>
      </c>
      <c r="L146" s="548">
        <v>14.278700000000001</v>
      </c>
      <c r="M146" s="548">
        <v>14.989100000000001</v>
      </c>
      <c r="N146" s="548">
        <v>8.1968999999999994</v>
      </c>
      <c r="O146" s="548">
        <v>7.6703000000000001</v>
      </c>
      <c r="P146" s="548"/>
      <c r="Q146" s="552">
        <v>44958</v>
      </c>
      <c r="R146" s="4">
        <v>82.88</v>
      </c>
      <c r="S146" s="4">
        <v>11084.59</v>
      </c>
      <c r="T146" s="4">
        <v>2599.8589999999999</v>
      </c>
      <c r="U146" s="4">
        <v>1.2251293422025127</v>
      </c>
      <c r="V146" s="4">
        <v>0.98493705855016522</v>
      </c>
      <c r="W146" s="4">
        <v>1.0953849770757196</v>
      </c>
      <c r="Y146" s="548">
        <v>82.88</v>
      </c>
      <c r="Z146" s="4">
        <v>176.41499999999999</v>
      </c>
      <c r="AA146" s="4">
        <v>53.026000000000003</v>
      </c>
      <c r="AB146" s="4">
        <v>15376.7</v>
      </c>
      <c r="AC146" s="4">
        <v>5030</v>
      </c>
      <c r="AD146" s="4">
        <v>61800</v>
      </c>
      <c r="AF146" s="4">
        <v>1.2251293422025127</v>
      </c>
      <c r="AG146" s="4">
        <v>0.91022366689884682</v>
      </c>
      <c r="AH146" s="4">
        <v>1.3406654530744337</v>
      </c>
      <c r="AI146" s="4">
        <v>1.1867759537536564</v>
      </c>
      <c r="AJ146" s="4">
        <v>1.2528019925280198</v>
      </c>
      <c r="AK146" s="4">
        <v>1.0369127516778522</v>
      </c>
      <c r="AM146" s="550">
        <v>45803</v>
      </c>
      <c r="AN146" s="551">
        <v>94.36</v>
      </c>
      <c r="AO146" s="551">
        <v>3243997</v>
      </c>
      <c r="AP146" s="551">
        <v>132.68965</v>
      </c>
      <c r="AQ146" s="551">
        <v>12520.595374</v>
      </c>
      <c r="AR146" s="551">
        <v>0.78690000000000004</v>
      </c>
    </row>
    <row r="147" spans="2:44" x14ac:dyDescent="0.25">
      <c r="B147" s="552">
        <v>44951</v>
      </c>
      <c r="C147" s="548">
        <v>8.44</v>
      </c>
      <c r="D147" s="548">
        <v>0</v>
      </c>
      <c r="E147" s="548">
        <v>10.4259</v>
      </c>
      <c r="F147" s="548">
        <v>0</v>
      </c>
      <c r="G147" s="548">
        <v>4.1414999999999997</v>
      </c>
      <c r="H147" s="548">
        <v>3.4342999999999999</v>
      </c>
      <c r="I147" s="552">
        <v>44951</v>
      </c>
      <c r="J147" s="548">
        <v>15.2012</v>
      </c>
      <c r="K147" s="548">
        <v>53.621099999999998</v>
      </c>
      <c r="L147" s="548">
        <v>13.1515</v>
      </c>
      <c r="M147" s="548">
        <v>15.0703</v>
      </c>
      <c r="N147" s="548">
        <v>7.8954000000000004</v>
      </c>
      <c r="O147" s="548">
        <v>7.8689</v>
      </c>
      <c r="P147" s="548"/>
      <c r="Q147" s="552">
        <v>44951</v>
      </c>
      <c r="R147" s="4">
        <v>82.88</v>
      </c>
      <c r="S147" s="4">
        <v>11084.59</v>
      </c>
      <c r="T147" s="4">
        <v>2599.8589999999999</v>
      </c>
      <c r="U147" s="4">
        <v>1.2251293422025127</v>
      </c>
      <c r="V147" s="4">
        <v>0.98493705855016522</v>
      </c>
      <c r="W147" s="4">
        <v>1.0953849770757196</v>
      </c>
      <c r="Y147" s="548">
        <v>82.88</v>
      </c>
      <c r="Z147" s="4">
        <v>177.185</v>
      </c>
      <c r="AA147" s="4">
        <v>48.84</v>
      </c>
      <c r="AB147" s="4">
        <v>15460</v>
      </c>
      <c r="AC147" s="4">
        <v>4845</v>
      </c>
      <c r="AD147" s="4">
        <v>63400</v>
      </c>
      <c r="AF147" s="4">
        <v>1.2251293422025127</v>
      </c>
      <c r="AG147" s="4">
        <v>0.91419652761654158</v>
      </c>
      <c r="AH147" s="4">
        <v>1.2348300970873787</v>
      </c>
      <c r="AI147" s="4">
        <v>1.1932050599303834</v>
      </c>
      <c r="AJ147" s="4">
        <v>1.2067247820672478</v>
      </c>
      <c r="AK147" s="4">
        <v>1.063758389261745</v>
      </c>
      <c r="AM147" s="550">
        <v>45802</v>
      </c>
      <c r="AN147" s="551">
        <v>94.36</v>
      </c>
      <c r="AO147" s="551">
        <v>3243997</v>
      </c>
      <c r="AP147" s="551">
        <v>132.68965</v>
      </c>
      <c r="AQ147" s="551">
        <v>12520.595374</v>
      </c>
      <c r="AR147" s="551">
        <v>0.78690000000000004</v>
      </c>
    </row>
    <row r="148" spans="2:44" x14ac:dyDescent="0.25">
      <c r="B148" s="552">
        <v>44944</v>
      </c>
      <c r="C148" s="548">
        <v>7.6615000000000002</v>
      </c>
      <c r="D148" s="548">
        <v>0</v>
      </c>
      <c r="E148" s="548">
        <v>10.041</v>
      </c>
      <c r="F148" s="548">
        <v>0</v>
      </c>
      <c r="G148" s="548">
        <v>3.9539</v>
      </c>
      <c r="H148" s="548">
        <v>3.2170999999999998</v>
      </c>
      <c r="I148" s="552">
        <v>44944</v>
      </c>
      <c r="J148" s="548">
        <v>14.047000000000001</v>
      </c>
      <c r="K148" s="548">
        <v>53.621099999999998</v>
      </c>
      <c r="L148" s="548">
        <v>12.5722</v>
      </c>
      <c r="M148" s="548">
        <v>14.839600000000001</v>
      </c>
      <c r="N148" s="548">
        <v>7.6345999999999998</v>
      </c>
      <c r="O148" s="548">
        <v>7.4965999999999999</v>
      </c>
      <c r="P148" s="548"/>
      <c r="Q148" s="552">
        <v>44944</v>
      </c>
      <c r="R148" s="4">
        <v>84.19</v>
      </c>
      <c r="S148" s="4">
        <v>11706.44</v>
      </c>
      <c r="T148" s="4">
        <v>2779.2060000000001</v>
      </c>
      <c r="U148" s="4">
        <v>1.2444937176644493</v>
      </c>
      <c r="V148" s="4">
        <v>1.040192427477606</v>
      </c>
      <c r="W148" s="4">
        <v>1.1709483093501236</v>
      </c>
      <c r="Y148" s="548">
        <v>84.19</v>
      </c>
      <c r="Z148" s="4">
        <v>177.185</v>
      </c>
      <c r="AA148" s="4">
        <v>46.689</v>
      </c>
      <c r="AB148" s="4">
        <v>15223.3</v>
      </c>
      <c r="AC148" s="4">
        <v>4685</v>
      </c>
      <c r="AD148" s="4">
        <v>60400</v>
      </c>
      <c r="AF148" s="4">
        <v>1.2444937176644493</v>
      </c>
      <c r="AG148" s="4">
        <v>0.91419652761654158</v>
      </c>
      <c r="AH148" s="4">
        <v>1.180445995145631</v>
      </c>
      <c r="AI148" s="4">
        <v>1.1749365193297674</v>
      </c>
      <c r="AJ148" s="4">
        <v>1.1668742216687422</v>
      </c>
      <c r="AK148" s="4">
        <v>1.0134228187919463</v>
      </c>
      <c r="AM148" s="550">
        <v>45801</v>
      </c>
      <c r="AN148" s="551">
        <v>94.36</v>
      </c>
      <c r="AO148" s="551">
        <v>3243997</v>
      </c>
      <c r="AP148" s="551">
        <v>132.68965</v>
      </c>
      <c r="AQ148" s="551">
        <v>12520.595374</v>
      </c>
      <c r="AR148" s="551">
        <v>0.78690000000000004</v>
      </c>
    </row>
    <row r="149" spans="2:44" x14ac:dyDescent="0.25">
      <c r="B149" s="552">
        <v>44937</v>
      </c>
      <c r="C149" s="548">
        <v>7.3164999999999996</v>
      </c>
      <c r="D149" s="548">
        <v>0</v>
      </c>
      <c r="E149" s="548">
        <v>9.9856999999999996</v>
      </c>
      <c r="F149" s="548">
        <v>0</v>
      </c>
      <c r="G149" s="548">
        <v>3.7605</v>
      </c>
      <c r="H149" s="548">
        <v>3.2244000000000002</v>
      </c>
      <c r="I149" s="552">
        <v>44937</v>
      </c>
      <c r="J149" s="548">
        <v>13.535500000000001</v>
      </c>
      <c r="K149" s="548">
        <v>51.312199999999997</v>
      </c>
      <c r="L149" s="548">
        <v>12.5025</v>
      </c>
      <c r="M149" s="548">
        <v>13.9688</v>
      </c>
      <c r="N149" s="548">
        <v>7.3658000000000001</v>
      </c>
      <c r="O149" s="548">
        <v>7.5090000000000003</v>
      </c>
      <c r="P149" s="548"/>
      <c r="Q149" s="552">
        <v>44937</v>
      </c>
      <c r="R149" s="4">
        <v>84.69</v>
      </c>
      <c r="S149" s="4">
        <v>11786.8</v>
      </c>
      <c r="T149" s="4">
        <v>2738.047</v>
      </c>
      <c r="U149" s="4">
        <v>1.2518847006651883</v>
      </c>
      <c r="V149" s="4">
        <v>1.0473329299251561</v>
      </c>
      <c r="W149" s="4">
        <v>1.1536070034287409</v>
      </c>
      <c r="Y149" s="548">
        <v>84.69</v>
      </c>
      <c r="Z149" s="4">
        <v>169.55600000000001</v>
      </c>
      <c r="AA149" s="4">
        <v>46.43</v>
      </c>
      <c r="AB149" s="4">
        <v>14330</v>
      </c>
      <c r="AC149" s="4">
        <v>4520</v>
      </c>
      <c r="AD149" s="4">
        <v>60500</v>
      </c>
      <c r="AF149" s="4">
        <v>1.2518847006651883</v>
      </c>
      <c r="AG149" s="4">
        <v>0.8748342491551222</v>
      </c>
      <c r="AH149" s="4">
        <v>1.1738976537216828</v>
      </c>
      <c r="AI149" s="4">
        <v>1.105991494747891</v>
      </c>
      <c r="AJ149" s="4">
        <v>1.1257783312577834</v>
      </c>
      <c r="AK149" s="4">
        <v>1.0151006711409396</v>
      </c>
      <c r="AM149" s="550">
        <v>45800</v>
      </c>
      <c r="AN149" s="551">
        <v>93.23</v>
      </c>
      <c r="AO149" s="551">
        <v>942774</v>
      </c>
      <c r="AP149" s="551">
        <v>132.68965</v>
      </c>
      <c r="AQ149" s="551">
        <v>12370.656069500001</v>
      </c>
      <c r="AR149" s="551">
        <v>0.77749999999999997</v>
      </c>
    </row>
    <row r="150" spans="2:44" x14ac:dyDescent="0.25">
      <c r="B150" s="552">
        <v>44930</v>
      </c>
      <c r="C150" s="548">
        <v>6.83</v>
      </c>
      <c r="D150" s="548">
        <v>0</v>
      </c>
      <c r="E150" s="548">
        <v>9.0916999999999994</v>
      </c>
      <c r="F150" s="548">
        <v>0</v>
      </c>
      <c r="G150" s="548">
        <v>3.3382999999999998</v>
      </c>
      <c r="H150" s="548">
        <v>3.0289999999999999</v>
      </c>
      <c r="I150" s="552">
        <v>44930</v>
      </c>
      <c r="J150" s="548">
        <v>12.8141</v>
      </c>
      <c r="K150" s="548">
        <v>50.729300000000002</v>
      </c>
      <c r="L150" s="548">
        <v>11.3759</v>
      </c>
      <c r="M150" s="548">
        <v>12.480600000000001</v>
      </c>
      <c r="N150" s="548">
        <v>6.7790999999999997</v>
      </c>
      <c r="O150" s="548">
        <v>7.1738999999999997</v>
      </c>
      <c r="P150" s="548"/>
      <c r="Q150" s="552">
        <v>44930</v>
      </c>
      <c r="R150" s="4">
        <v>82.49</v>
      </c>
      <c r="S150" s="4">
        <v>11587.75</v>
      </c>
      <c r="T150" s="4">
        <v>2678.777</v>
      </c>
      <c r="U150" s="4">
        <v>1.2193643754619363</v>
      </c>
      <c r="V150" s="4">
        <v>1.0296460581956279</v>
      </c>
      <c r="W150" s="4">
        <v>1.1286350847241966</v>
      </c>
      <c r="Y150" s="548">
        <v>82.49</v>
      </c>
      <c r="Z150" s="4">
        <v>167.63</v>
      </c>
      <c r="AA150" s="4">
        <v>42.246000000000002</v>
      </c>
      <c r="AB150" s="4">
        <v>12803.3</v>
      </c>
      <c r="AC150" s="4">
        <v>4160</v>
      </c>
      <c r="AD150" s="4">
        <v>57800</v>
      </c>
      <c r="AF150" s="4">
        <v>1.2193643754619363</v>
      </c>
      <c r="AG150" s="4">
        <v>0.86489693780151178</v>
      </c>
      <c r="AH150" s="4">
        <v>1.06811286407767</v>
      </c>
      <c r="AI150" s="4">
        <v>0.98816056557611109</v>
      </c>
      <c r="AJ150" s="4">
        <v>1.0361145703611456</v>
      </c>
      <c r="AK150" s="4">
        <v>0.96979865771812079</v>
      </c>
      <c r="AM150" s="550">
        <v>45799</v>
      </c>
      <c r="AN150" s="551">
        <v>93.96</v>
      </c>
      <c r="AO150" s="551">
        <v>615694</v>
      </c>
      <c r="AP150" s="551">
        <v>132.68965</v>
      </c>
      <c r="AQ150" s="551">
        <v>12467.519514</v>
      </c>
      <c r="AR150" s="551">
        <v>0.78359999999999996</v>
      </c>
    </row>
    <row r="151" spans="2:44" x14ac:dyDescent="0.25">
      <c r="B151" s="552">
        <v>44923</v>
      </c>
      <c r="C151" s="548">
        <v>3.0356999999999998</v>
      </c>
      <c r="D151" s="548">
        <v>0</v>
      </c>
      <c r="E151" s="548">
        <v>8.6715999999999998</v>
      </c>
      <c r="F151" s="548">
        <v>0</v>
      </c>
      <c r="G151" s="548">
        <v>3.8622999999999998</v>
      </c>
      <c r="H151" s="548">
        <v>2.5118999999999998</v>
      </c>
      <c r="I151" s="552">
        <v>44923</v>
      </c>
      <c r="J151" s="548">
        <v>8.2635000000000005</v>
      </c>
      <c r="K151" s="548">
        <v>55.882100000000001</v>
      </c>
      <c r="L151" s="548">
        <v>10.846500000000001</v>
      </c>
      <c r="M151" s="548">
        <v>12.141999999999999</v>
      </c>
      <c r="N151" s="548">
        <v>6.9004000000000003</v>
      </c>
      <c r="O151" s="548">
        <v>9.1837999999999997</v>
      </c>
      <c r="P151" s="548"/>
      <c r="Q151" s="552">
        <v>44923</v>
      </c>
      <c r="R151" s="4">
        <v>81.66</v>
      </c>
      <c r="S151" s="4">
        <v>11553.45</v>
      </c>
      <c r="T151" s="4">
        <v>2675.83</v>
      </c>
      <c r="U151" s="4">
        <v>1.2070953436807095</v>
      </c>
      <c r="V151" s="4">
        <v>1.0265982827606981</v>
      </c>
      <c r="W151" s="4">
        <v>1.1273934406475594</v>
      </c>
      <c r="Y151" s="548">
        <v>81.66</v>
      </c>
      <c r="Z151" s="4">
        <v>166.51900000000001</v>
      </c>
      <c r="AA151" s="4">
        <v>40.28</v>
      </c>
      <c r="AB151" s="4">
        <v>13096.7</v>
      </c>
      <c r="AC151" s="4">
        <v>4240</v>
      </c>
      <c r="AD151" s="4">
        <v>56600</v>
      </c>
      <c r="AF151" s="4">
        <v>1.2070953436807095</v>
      </c>
      <c r="AG151" s="4">
        <v>0.85916466733740937</v>
      </c>
      <c r="AH151" s="4">
        <v>1.018406148867314</v>
      </c>
      <c r="AI151" s="4">
        <v>1.0108052204650875</v>
      </c>
      <c r="AJ151" s="4">
        <v>1.0560398505603985</v>
      </c>
      <c r="AK151" s="4">
        <v>0.94966442953020136</v>
      </c>
      <c r="AM151" s="550">
        <v>45798</v>
      </c>
      <c r="AN151" s="551">
        <v>94.31</v>
      </c>
      <c r="AO151" s="551">
        <v>806030</v>
      </c>
      <c r="AP151" s="551">
        <v>132.68965</v>
      </c>
      <c r="AQ151" s="551">
        <v>12513.960891500001</v>
      </c>
      <c r="AR151" s="551">
        <v>0.78649999999999998</v>
      </c>
    </row>
    <row r="152" spans="2:44" x14ac:dyDescent="0.25">
      <c r="B152" s="552">
        <v>44916</v>
      </c>
      <c r="C152" s="548">
        <v>4.2656999999999998</v>
      </c>
      <c r="D152" s="548">
        <v>0</v>
      </c>
      <c r="E152" s="548">
        <v>10.221299999999999</v>
      </c>
      <c r="F152" s="548">
        <v>0</v>
      </c>
      <c r="G152" s="548">
        <v>4.0186999999999999</v>
      </c>
      <c r="H152" s="548">
        <v>2.6027999999999998</v>
      </c>
      <c r="I152" s="552">
        <v>44916</v>
      </c>
      <c r="J152" s="548">
        <v>9.9326000000000008</v>
      </c>
      <c r="K152" s="548">
        <v>56.677500000000002</v>
      </c>
      <c r="L152" s="548">
        <v>12.836600000000001</v>
      </c>
      <c r="M152" s="548">
        <v>12.661199999999999</v>
      </c>
      <c r="N152" s="548">
        <v>7.1119000000000003</v>
      </c>
      <c r="O152" s="548">
        <v>9.4109999999999996</v>
      </c>
      <c r="P152" s="548"/>
      <c r="Q152" s="552">
        <v>44916</v>
      </c>
      <c r="R152" s="4">
        <v>78.209999999999994</v>
      </c>
      <c r="S152" s="4">
        <v>11700.94</v>
      </c>
      <c r="T152" s="4">
        <v>2728.0529999999999</v>
      </c>
      <c r="U152" s="4">
        <v>1.1560975609756097</v>
      </c>
      <c r="V152" s="4">
        <v>1.0397037171308972</v>
      </c>
      <c r="W152" s="4">
        <v>1.1493962837470602</v>
      </c>
      <c r="Y152" s="548">
        <v>78.209999999999994</v>
      </c>
      <c r="Z152" s="4">
        <v>168.88900000000001</v>
      </c>
      <c r="AA152" s="4">
        <v>44.786999999999999</v>
      </c>
      <c r="AB152" s="4">
        <v>13656.7</v>
      </c>
      <c r="AC152" s="4">
        <v>4370</v>
      </c>
      <c r="AD152" s="4">
        <v>58000</v>
      </c>
      <c r="AF152" s="4">
        <v>1.1560975609756097</v>
      </c>
      <c r="AG152" s="4">
        <v>0.87139282305291133</v>
      </c>
      <c r="AH152" s="4">
        <v>1.1323574029126213</v>
      </c>
      <c r="AI152" s="4">
        <v>1.0540261023254378</v>
      </c>
      <c r="AJ152" s="4">
        <v>1.0884184308841842</v>
      </c>
      <c r="AK152" s="4">
        <v>0.97315436241610742</v>
      </c>
      <c r="AM152" s="550">
        <v>45797</v>
      </c>
      <c r="AN152" s="551">
        <v>93.71</v>
      </c>
      <c r="AO152" s="551">
        <v>1169719</v>
      </c>
      <c r="AP152" s="551">
        <v>132.68965</v>
      </c>
      <c r="AQ152" s="551">
        <v>12434.3471015</v>
      </c>
      <c r="AR152" s="551">
        <v>0.78149999999999997</v>
      </c>
    </row>
    <row r="153" spans="2:44" x14ac:dyDescent="0.25">
      <c r="B153" s="552">
        <v>44909</v>
      </c>
      <c r="C153" s="548">
        <v>5.1860999999999997</v>
      </c>
      <c r="D153" s="548">
        <v>0</v>
      </c>
      <c r="E153" s="548">
        <v>10.6815</v>
      </c>
      <c r="F153" s="548">
        <v>0</v>
      </c>
      <c r="G153" s="548">
        <v>4.3674999999999997</v>
      </c>
      <c r="H153" s="548">
        <v>2.7650000000000001</v>
      </c>
      <c r="I153" s="552">
        <v>44909</v>
      </c>
      <c r="J153" s="548">
        <v>11.1814</v>
      </c>
      <c r="K153" s="548">
        <v>60.232300000000002</v>
      </c>
      <c r="L153" s="548">
        <v>13.420500000000001</v>
      </c>
      <c r="M153" s="548">
        <v>14.262</v>
      </c>
      <c r="N153" s="548">
        <v>7.5838999999999999</v>
      </c>
      <c r="O153" s="548">
        <v>9.8165999999999993</v>
      </c>
      <c r="P153" s="548"/>
      <c r="Q153" s="552">
        <v>44909</v>
      </c>
      <c r="R153" s="4">
        <v>76.63</v>
      </c>
      <c r="S153" s="4">
        <v>10977</v>
      </c>
      <c r="T153" s="4">
        <v>2450.6210000000001</v>
      </c>
      <c r="U153" s="4">
        <v>1.132742054693274</v>
      </c>
      <c r="V153" s="4">
        <v>0.97537699560427249</v>
      </c>
      <c r="W153" s="4">
        <v>1.0325073120912625</v>
      </c>
      <c r="Y153" s="548">
        <v>76.63</v>
      </c>
      <c r="Z153" s="4">
        <v>179.48099999999999</v>
      </c>
      <c r="AA153" s="4">
        <v>46.823999999999998</v>
      </c>
      <c r="AB153" s="4">
        <v>15383.3</v>
      </c>
      <c r="AC153" s="4">
        <v>4660</v>
      </c>
      <c r="AD153" s="4">
        <v>60500</v>
      </c>
      <c r="AF153" s="4">
        <v>1.132742054693274</v>
      </c>
      <c r="AG153" s="4">
        <v>0.92604287593839485</v>
      </c>
      <c r="AH153" s="4">
        <v>1.1838592233009708</v>
      </c>
      <c r="AI153" s="4">
        <v>1.1872853427184389</v>
      </c>
      <c r="AJ153" s="4">
        <v>1.1606475716064757</v>
      </c>
      <c r="AK153" s="4">
        <v>1.0151006711409396</v>
      </c>
      <c r="AM153" s="550">
        <v>45796</v>
      </c>
      <c r="AN153" s="551">
        <v>93.71</v>
      </c>
      <c r="AO153" s="551">
        <v>1169719</v>
      </c>
      <c r="AP153" s="551">
        <v>132.68965</v>
      </c>
      <c r="AQ153" s="551">
        <v>12434.3471015</v>
      </c>
      <c r="AR153" s="551">
        <v>0.78149999999999997</v>
      </c>
    </row>
    <row r="154" spans="2:44" x14ac:dyDescent="0.25">
      <c r="B154" s="552">
        <v>44902</v>
      </c>
      <c r="C154" s="548">
        <v>4.3258999999999999</v>
      </c>
      <c r="D154" s="548">
        <v>0</v>
      </c>
      <c r="E154" s="548">
        <v>10.1402</v>
      </c>
      <c r="F154" s="548">
        <v>0</v>
      </c>
      <c r="G154" s="548">
        <v>4.2230999999999996</v>
      </c>
      <c r="H154" s="548">
        <v>2.6612</v>
      </c>
      <c r="I154" s="552">
        <v>44902</v>
      </c>
      <c r="J154" s="548">
        <v>10.0143</v>
      </c>
      <c r="K154" s="548">
        <v>59.491500000000002</v>
      </c>
      <c r="L154" s="548">
        <v>12.733700000000001</v>
      </c>
      <c r="M154" s="548">
        <v>13.851000000000001</v>
      </c>
      <c r="N154" s="548">
        <v>7.3886000000000003</v>
      </c>
      <c r="O154" s="548">
        <v>9.5570000000000004</v>
      </c>
      <c r="P154" s="548"/>
      <c r="Q154" s="552">
        <v>44902</v>
      </c>
      <c r="R154" s="4">
        <v>75.28</v>
      </c>
      <c r="S154" s="4">
        <v>11405.57</v>
      </c>
      <c r="T154" s="4">
        <v>2384.4540000000002</v>
      </c>
      <c r="U154" s="4">
        <v>1.1127864005912786</v>
      </c>
      <c r="V154" s="4">
        <v>1.0134581943840961</v>
      </c>
      <c r="W154" s="4">
        <v>1.0046295164961285</v>
      </c>
      <c r="Y154" s="548">
        <v>75.28</v>
      </c>
      <c r="Z154" s="4">
        <v>177.274</v>
      </c>
      <c r="AA154" s="4">
        <v>44.427999999999997</v>
      </c>
      <c r="AB154" s="4">
        <v>14940</v>
      </c>
      <c r="AC154" s="4">
        <v>4540</v>
      </c>
      <c r="AD154" s="4">
        <v>58900</v>
      </c>
      <c r="AF154" s="4">
        <v>1.1127864005912786</v>
      </c>
      <c r="AG154" s="4">
        <v>0.91465572840079457</v>
      </c>
      <c r="AH154" s="4">
        <v>1.1232807443365695</v>
      </c>
      <c r="AI154" s="4">
        <v>1.1530713839172011</v>
      </c>
      <c r="AJ154" s="4">
        <v>1.1307596513075966</v>
      </c>
      <c r="AK154" s="4">
        <v>0.98825503355704702</v>
      </c>
      <c r="AM154" s="550">
        <v>45795</v>
      </c>
      <c r="AN154" s="551">
        <v>93.71</v>
      </c>
      <c r="AO154" s="551">
        <v>1169719</v>
      </c>
      <c r="AP154" s="551">
        <v>132.68965</v>
      </c>
      <c r="AQ154" s="551">
        <v>12434.3471015</v>
      </c>
      <c r="AR154" s="551">
        <v>0.78149999999999997</v>
      </c>
    </row>
    <row r="155" spans="2:44" x14ac:dyDescent="0.25">
      <c r="B155" s="552">
        <v>44895</v>
      </c>
      <c r="C155" s="548">
        <v>4.7388000000000003</v>
      </c>
      <c r="D155" s="548">
        <v>0</v>
      </c>
      <c r="E155" s="548">
        <v>10.775</v>
      </c>
      <c r="F155" s="548">
        <v>0</v>
      </c>
      <c r="G155" s="548">
        <v>4.1931000000000003</v>
      </c>
      <c r="H155" s="548">
        <v>2.8753000000000002</v>
      </c>
      <c r="I155" s="552">
        <v>44895</v>
      </c>
      <c r="J155" s="548">
        <v>10.5745</v>
      </c>
      <c r="K155" s="548">
        <v>55.407299999999999</v>
      </c>
      <c r="L155" s="548">
        <v>13.539099999999999</v>
      </c>
      <c r="M155" s="548">
        <v>13.9344</v>
      </c>
      <c r="N155" s="548">
        <v>7.3479000000000001</v>
      </c>
      <c r="O155" s="548">
        <v>10.092499999999999</v>
      </c>
      <c r="P155" s="548"/>
      <c r="Q155" s="552">
        <v>44895</v>
      </c>
      <c r="R155" s="4">
        <v>71.900000000000006</v>
      </c>
      <c r="S155" s="4">
        <v>11430.26</v>
      </c>
      <c r="T155" s="4">
        <v>2351.547</v>
      </c>
      <c r="U155" s="4">
        <v>1.0628233555062823</v>
      </c>
      <c r="V155" s="4">
        <v>1.0156520595586855</v>
      </c>
      <c r="W155" s="4">
        <v>0.99076498251923562</v>
      </c>
      <c r="Y155" s="548">
        <v>71.900000000000006</v>
      </c>
      <c r="Z155" s="4">
        <v>165.10400000000001</v>
      </c>
      <c r="AA155" s="4">
        <v>47.238</v>
      </c>
      <c r="AB155" s="4">
        <v>15030</v>
      </c>
      <c r="AC155" s="4">
        <v>4515</v>
      </c>
      <c r="AD155" s="4">
        <v>62200</v>
      </c>
      <c r="AF155" s="4">
        <v>1.0628233555062823</v>
      </c>
      <c r="AG155" s="4">
        <v>0.85186389082372371</v>
      </c>
      <c r="AH155" s="4">
        <v>1.1943264563106797</v>
      </c>
      <c r="AI155" s="4">
        <v>1.1600175970733289</v>
      </c>
      <c r="AJ155" s="4">
        <v>1.1245330012453301</v>
      </c>
      <c r="AK155" s="4">
        <v>1.0436241610738255</v>
      </c>
      <c r="AM155" s="550">
        <v>45794</v>
      </c>
      <c r="AN155" s="551">
        <v>93.17</v>
      </c>
      <c r="AO155" s="551">
        <v>1237267</v>
      </c>
      <c r="AP155" s="551">
        <v>132.68965</v>
      </c>
      <c r="AQ155" s="551">
        <v>12362.6946905</v>
      </c>
      <c r="AR155" s="551">
        <v>0.77700000000000002</v>
      </c>
    </row>
    <row r="156" spans="2:44" x14ac:dyDescent="0.25">
      <c r="B156" s="552">
        <v>44888</v>
      </c>
      <c r="C156" s="548">
        <v>4.4032999999999998</v>
      </c>
      <c r="D156" s="548">
        <v>0</v>
      </c>
      <c r="E156" s="548">
        <v>10.526999999999999</v>
      </c>
      <c r="F156" s="548">
        <v>0</v>
      </c>
      <c r="G156" s="548">
        <v>4.3072999999999997</v>
      </c>
      <c r="H156" s="548">
        <v>2.7974999999999999</v>
      </c>
      <c r="I156" s="552">
        <v>44888</v>
      </c>
      <c r="J156" s="548">
        <v>10.119300000000001</v>
      </c>
      <c r="K156" s="548">
        <v>56.120699999999999</v>
      </c>
      <c r="L156" s="548">
        <v>13.224399999999999</v>
      </c>
      <c r="M156" s="548">
        <v>14.3331</v>
      </c>
      <c r="N156" s="548">
        <v>7.5025000000000004</v>
      </c>
      <c r="O156" s="548">
        <v>9.8978000000000002</v>
      </c>
      <c r="P156" s="548"/>
      <c r="Q156" s="552">
        <v>44888</v>
      </c>
      <c r="R156" s="4">
        <v>70.38</v>
      </c>
      <c r="S156" s="4">
        <v>11062.53</v>
      </c>
      <c r="T156" s="4">
        <v>2211.6579999999999</v>
      </c>
      <c r="U156" s="4">
        <v>1.0403547671840354</v>
      </c>
      <c r="V156" s="4">
        <v>0.98297688577772924</v>
      </c>
      <c r="W156" s="4">
        <v>0.93182628274430723</v>
      </c>
      <c r="Y156" s="548">
        <v>70.38</v>
      </c>
      <c r="Z156" s="4">
        <v>167.23</v>
      </c>
      <c r="AA156" s="4">
        <v>46.14</v>
      </c>
      <c r="AB156" s="4">
        <v>15466.7</v>
      </c>
      <c r="AC156" s="4">
        <v>4615</v>
      </c>
      <c r="AD156" s="4">
        <v>61000</v>
      </c>
      <c r="AF156" s="4">
        <v>1.0403547671840354</v>
      </c>
      <c r="AG156" s="4">
        <v>0.86283311405205987</v>
      </c>
      <c r="AH156" s="4">
        <v>1.1665655339805825</v>
      </c>
      <c r="AI156" s="4">
        <v>1.1937221669097842</v>
      </c>
      <c r="AJ156" s="4">
        <v>1.1494396014943959</v>
      </c>
      <c r="AK156" s="4">
        <v>1.023489932885906</v>
      </c>
      <c r="AM156" s="550">
        <v>45793</v>
      </c>
      <c r="AN156" s="551">
        <v>94.99</v>
      </c>
      <c r="AO156" s="551">
        <v>2047134</v>
      </c>
      <c r="AP156" s="551">
        <v>132.68965</v>
      </c>
      <c r="AQ156" s="551">
        <v>12604.1898535</v>
      </c>
      <c r="AR156" s="551">
        <v>0.79220000000000002</v>
      </c>
    </row>
    <row r="157" spans="2:44" x14ac:dyDescent="0.25">
      <c r="B157" s="552">
        <v>44881</v>
      </c>
      <c r="C157" s="548">
        <v>4.4204999999999997</v>
      </c>
      <c r="D157" s="548">
        <v>0</v>
      </c>
      <c r="E157" s="548">
        <v>10.391</v>
      </c>
      <c r="F157" s="548">
        <v>0</v>
      </c>
      <c r="G157" s="548">
        <v>4.3132999999999999</v>
      </c>
      <c r="H157" s="548">
        <v>2.9077999999999999</v>
      </c>
      <c r="I157" s="552">
        <v>44881</v>
      </c>
      <c r="J157" s="548">
        <v>10.1427</v>
      </c>
      <c r="K157" s="548">
        <v>60.190100000000001</v>
      </c>
      <c r="L157" s="548">
        <v>13.0519</v>
      </c>
      <c r="M157" s="548">
        <v>14.3393</v>
      </c>
      <c r="N157" s="548">
        <v>7.5106999999999999</v>
      </c>
      <c r="O157" s="548">
        <v>10.1736</v>
      </c>
      <c r="P157" s="548"/>
      <c r="Q157" s="552">
        <v>44881</v>
      </c>
      <c r="R157" s="4">
        <v>71.97</v>
      </c>
      <c r="S157" s="4">
        <v>10926.97</v>
      </c>
      <c r="T157" s="4">
        <v>2275.3440000000001</v>
      </c>
      <c r="U157" s="4">
        <v>1.0638580931263857</v>
      </c>
      <c r="V157" s="4">
        <v>0.97093150857775501</v>
      </c>
      <c r="W157" s="4">
        <v>0.958658771602374</v>
      </c>
      <c r="Y157" s="548">
        <v>71.97</v>
      </c>
      <c r="Z157" s="4">
        <v>179.35599999999999</v>
      </c>
      <c r="AA157" s="4">
        <v>45.537999999999997</v>
      </c>
      <c r="AB157" s="4">
        <v>15466.7</v>
      </c>
      <c r="AC157" s="4">
        <v>4615</v>
      </c>
      <c r="AD157" s="4">
        <v>62700</v>
      </c>
      <c r="AF157" s="4">
        <v>1.0638580931263857</v>
      </c>
      <c r="AG157" s="4">
        <v>0.92539793101669121</v>
      </c>
      <c r="AH157" s="4">
        <v>1.151345064724919</v>
      </c>
      <c r="AI157" s="4">
        <v>1.1937221669097842</v>
      </c>
      <c r="AJ157" s="4">
        <v>1.1494396014943959</v>
      </c>
      <c r="AK157" s="4">
        <v>1.0520134228187918</v>
      </c>
      <c r="AM157" s="550">
        <v>45792</v>
      </c>
      <c r="AN157" s="551">
        <v>87.19</v>
      </c>
      <c r="AO157" s="551">
        <v>1373094</v>
      </c>
      <c r="AP157" s="551">
        <v>132.68965</v>
      </c>
      <c r="AQ157" s="551">
        <v>11569.2105835</v>
      </c>
      <c r="AR157" s="551">
        <v>0.72709999999999997</v>
      </c>
    </row>
    <row r="158" spans="2:44" x14ac:dyDescent="0.25">
      <c r="B158" s="552">
        <v>44874</v>
      </c>
      <c r="C158" s="548">
        <v>4.2571000000000003</v>
      </c>
      <c r="D158" s="548">
        <v>0</v>
      </c>
      <c r="E158" s="548">
        <v>9.8795000000000002</v>
      </c>
      <c r="F158" s="548">
        <v>0</v>
      </c>
      <c r="G158" s="548">
        <v>3.8022</v>
      </c>
      <c r="H158" s="548">
        <v>2.8622999999999998</v>
      </c>
      <c r="I158" s="552">
        <v>44874</v>
      </c>
      <c r="J158" s="548">
        <v>9.9208999999999996</v>
      </c>
      <c r="K158" s="548">
        <v>62.046999999999997</v>
      </c>
      <c r="L158" s="548">
        <v>12.403</v>
      </c>
      <c r="M158" s="548">
        <v>12.778600000000001</v>
      </c>
      <c r="N158" s="548">
        <v>6.819</v>
      </c>
      <c r="O158" s="548">
        <v>10.06</v>
      </c>
      <c r="P158" s="548"/>
      <c r="Q158" s="552">
        <v>44874</v>
      </c>
      <c r="R158" s="4">
        <v>70.239999999999995</v>
      </c>
      <c r="S158" s="4">
        <v>11229.73</v>
      </c>
      <c r="T158" s="4">
        <v>2393.317</v>
      </c>
      <c r="U158" s="4">
        <v>1.0382852919438283</v>
      </c>
      <c r="V158" s="4">
        <v>0.99783368031767938</v>
      </c>
      <c r="W158" s="4">
        <v>1.0083637178708269</v>
      </c>
      <c r="Y158" s="548">
        <v>70.239999999999995</v>
      </c>
      <c r="Z158" s="4">
        <v>184.88900000000001</v>
      </c>
      <c r="AA158" s="4">
        <v>43.274000000000001</v>
      </c>
      <c r="AB158" s="4">
        <v>13783.3</v>
      </c>
      <c r="AC158" s="4">
        <v>4190</v>
      </c>
      <c r="AD158" s="4">
        <v>62000</v>
      </c>
      <c r="AF158" s="4">
        <v>1.0382852919438283</v>
      </c>
      <c r="AG158" s="4">
        <v>0.95394577303098327</v>
      </c>
      <c r="AH158" s="4">
        <v>1.0941039644012944</v>
      </c>
      <c r="AI158" s="4">
        <v>1.063797108831724</v>
      </c>
      <c r="AJ158" s="4">
        <v>1.0435865504358655</v>
      </c>
      <c r="AK158" s="4">
        <v>1.0402684563758389</v>
      </c>
      <c r="AM158" s="550">
        <v>45791</v>
      </c>
      <c r="AN158" s="551">
        <v>87.34</v>
      </c>
      <c r="AO158" s="551">
        <v>1715423</v>
      </c>
      <c r="AP158" s="551">
        <v>132.68965</v>
      </c>
      <c r="AQ158" s="551">
        <v>11589.114031000001</v>
      </c>
      <c r="AR158" s="551">
        <v>0.72840000000000005</v>
      </c>
    </row>
    <row r="159" spans="2:44" x14ac:dyDescent="0.25">
      <c r="B159" s="552">
        <v>44867</v>
      </c>
      <c r="C159" s="548">
        <v>2.1328999999999998</v>
      </c>
      <c r="D159" s="548">
        <v>0</v>
      </c>
      <c r="E159" s="548">
        <v>9.0387000000000004</v>
      </c>
      <c r="F159" s="548">
        <v>0</v>
      </c>
      <c r="G159" s="548">
        <v>3.5916999999999999</v>
      </c>
      <c r="H159" s="548">
        <v>2.7065999999999999</v>
      </c>
      <c r="I159" s="552">
        <v>44867</v>
      </c>
      <c r="J159" s="548">
        <v>7.0613999999999999</v>
      </c>
      <c r="K159" s="548">
        <v>65.042500000000004</v>
      </c>
      <c r="L159" s="548">
        <v>11.3362</v>
      </c>
      <c r="M159" s="548">
        <v>12.0122</v>
      </c>
      <c r="N159" s="548">
        <v>6.5342000000000002</v>
      </c>
      <c r="O159" s="548">
        <v>9.6706000000000003</v>
      </c>
      <c r="P159" s="548"/>
      <c r="Q159" s="552">
        <v>44867</v>
      </c>
      <c r="R159" s="4">
        <v>67.650000000000006</v>
      </c>
      <c r="S159" s="4">
        <v>11254.11</v>
      </c>
      <c r="T159" s="4">
        <v>2373.4659999999999</v>
      </c>
      <c r="U159" s="4">
        <v>1</v>
      </c>
      <c r="V159" s="4">
        <v>1</v>
      </c>
      <c r="W159" s="4">
        <v>1</v>
      </c>
      <c r="Y159" s="548">
        <v>67.650000000000006</v>
      </c>
      <c r="Z159" s="4">
        <v>193.815</v>
      </c>
      <c r="AA159" s="4">
        <v>39.552</v>
      </c>
      <c r="AB159" s="4">
        <v>12956.7</v>
      </c>
      <c r="AC159" s="4">
        <v>4015</v>
      </c>
      <c r="AD159" s="4">
        <v>59600</v>
      </c>
      <c r="AF159" s="4">
        <v>1</v>
      </c>
      <c r="AG159" s="4">
        <v>1</v>
      </c>
      <c r="AH159" s="4">
        <v>1</v>
      </c>
      <c r="AI159" s="4">
        <v>1</v>
      </c>
      <c r="AJ159" s="4">
        <v>1</v>
      </c>
      <c r="AK159" s="4">
        <v>1</v>
      </c>
      <c r="AM159" s="550">
        <v>45790</v>
      </c>
      <c r="AN159" s="551">
        <v>89.25</v>
      </c>
      <c r="AO159" s="551">
        <v>1656552</v>
      </c>
      <c r="AP159" s="551">
        <v>132.68965</v>
      </c>
      <c r="AQ159" s="551">
        <v>11842.551262499999</v>
      </c>
      <c r="AR159" s="551">
        <v>0.74429999999999996</v>
      </c>
    </row>
    <row r="160" spans="2:44" x14ac:dyDescent="0.25">
      <c r="B160" s="552">
        <v>44860</v>
      </c>
      <c r="I160" s="552">
        <v>44860</v>
      </c>
      <c r="Q160" s="552">
        <v>44860</v>
      </c>
      <c r="R160" s="4">
        <v>72.41</v>
      </c>
      <c r="S160" s="4">
        <v>11953.27</v>
      </c>
      <c r="T160" s="4">
        <v>2577.944</v>
      </c>
      <c r="AM160" s="550">
        <v>45789</v>
      </c>
      <c r="AN160" s="551">
        <v>89.25</v>
      </c>
      <c r="AO160" s="551">
        <v>1656552</v>
      </c>
      <c r="AP160" s="551">
        <v>132.68965</v>
      </c>
      <c r="AQ160" s="551">
        <v>11842.551262499999</v>
      </c>
      <c r="AR160" s="551">
        <v>0.74429999999999996</v>
      </c>
    </row>
    <row r="161" spans="2:44" x14ac:dyDescent="0.25">
      <c r="B161" s="552">
        <v>44853</v>
      </c>
      <c r="I161" s="552">
        <v>44853</v>
      </c>
      <c r="Q161" s="552">
        <v>44853</v>
      </c>
      <c r="R161" s="4">
        <v>75.13</v>
      </c>
      <c r="S161" s="4">
        <v>12739.72</v>
      </c>
      <c r="T161" s="4">
        <v>2731.0889999999999</v>
      </c>
      <c r="AM161" s="550">
        <v>45788</v>
      </c>
      <c r="AN161" s="551">
        <v>89.25</v>
      </c>
      <c r="AO161" s="551">
        <v>1656552</v>
      </c>
      <c r="AP161" s="551">
        <v>132.68965</v>
      </c>
      <c r="AQ161" s="551">
        <v>11842.551262499999</v>
      </c>
      <c r="AR161" s="551">
        <v>0.74429999999999996</v>
      </c>
    </row>
    <row r="162" spans="2:44" x14ac:dyDescent="0.25">
      <c r="B162" s="552">
        <v>44846</v>
      </c>
      <c r="I162" s="552">
        <v>44846</v>
      </c>
      <c r="Q162" s="552">
        <v>44846</v>
      </c>
      <c r="R162" s="4">
        <v>0</v>
      </c>
      <c r="S162" s="4">
        <v>0</v>
      </c>
      <c r="T162" s="4">
        <v>0</v>
      </c>
      <c r="AM162" s="550">
        <v>45787</v>
      </c>
      <c r="AN162" s="551">
        <v>92.73</v>
      </c>
      <c r="AO162" s="551">
        <v>2013576</v>
      </c>
      <c r="AP162" s="551">
        <v>132.68965</v>
      </c>
      <c r="AQ162" s="551">
        <v>12304.311244500001</v>
      </c>
      <c r="AR162" s="551">
        <v>0.77329999999999999</v>
      </c>
    </row>
    <row r="163" spans="2:44" x14ac:dyDescent="0.25">
      <c r="AM163" s="550">
        <v>45786</v>
      </c>
      <c r="AN163" s="551">
        <v>95.84</v>
      </c>
      <c r="AO163" s="551">
        <v>992024</v>
      </c>
      <c r="AP163" s="551">
        <v>132.68965</v>
      </c>
      <c r="AQ163" s="551">
        <v>12716.976056000001</v>
      </c>
      <c r="AR163" s="551">
        <v>0.79930000000000001</v>
      </c>
    </row>
    <row r="164" spans="2:44" x14ac:dyDescent="0.25">
      <c r="B164" s="361" t="s">
        <v>20</v>
      </c>
      <c r="C164" s="541"/>
      <c r="D164" s="24"/>
      <c r="E164" s="4">
        <v>1.5227999687194824</v>
      </c>
      <c r="F164" s="4" t="s">
        <v>804</v>
      </c>
      <c r="AM164" s="550">
        <v>45785</v>
      </c>
      <c r="AN164" s="551">
        <v>94.12</v>
      </c>
      <c r="AO164" s="551">
        <v>858663</v>
      </c>
      <c r="AP164" s="551">
        <v>132.68965</v>
      </c>
      <c r="AQ164" s="551">
        <v>12488.749858000001</v>
      </c>
      <c r="AR164" s="551">
        <v>0.78490000000000004</v>
      </c>
    </row>
    <row r="165" spans="2:44" x14ac:dyDescent="0.25">
      <c r="B165" s="361" t="s">
        <v>21</v>
      </c>
      <c r="C165" s="24"/>
      <c r="D165" s="24"/>
      <c r="E165" s="4">
        <v>0.77568000793457026</v>
      </c>
      <c r="F165" s="4" t="s">
        <v>805</v>
      </c>
      <c r="AM165" s="550">
        <v>45784</v>
      </c>
      <c r="AN165" s="551">
        <v>92.73</v>
      </c>
      <c r="AO165" s="551">
        <v>983692</v>
      </c>
      <c r="AP165" s="551">
        <v>132.68965</v>
      </c>
      <c r="AQ165" s="551">
        <v>12304.311244500001</v>
      </c>
      <c r="AR165" s="551">
        <v>0.77329999999999999</v>
      </c>
    </row>
    <row r="166" spans="2:44" x14ac:dyDescent="0.25">
      <c r="B166" s="361" t="s">
        <v>23</v>
      </c>
      <c r="C166" s="24"/>
      <c r="D166" s="24"/>
      <c r="E166" s="4">
        <v>29.429550170898438</v>
      </c>
      <c r="F166" s="4" t="s">
        <v>806</v>
      </c>
      <c r="AM166" s="550">
        <v>45783</v>
      </c>
      <c r="AN166" s="551">
        <v>92.54</v>
      </c>
      <c r="AO166" s="551">
        <v>705371</v>
      </c>
      <c r="AP166" s="551">
        <v>132.68965</v>
      </c>
      <c r="AQ166" s="551">
        <v>12279.100211000001</v>
      </c>
      <c r="AR166" s="551">
        <v>0.76839999999999997</v>
      </c>
    </row>
    <row r="167" spans="2:44" x14ac:dyDescent="0.25">
      <c r="B167" s="361"/>
      <c r="C167" s="24"/>
      <c r="D167" s="24"/>
      <c r="AM167" s="550">
        <v>45782</v>
      </c>
      <c r="AN167" s="551">
        <v>92.54</v>
      </c>
      <c r="AO167" s="551">
        <v>705371</v>
      </c>
      <c r="AP167" s="551">
        <v>132.68965</v>
      </c>
      <c r="AQ167" s="551">
        <v>12279.100211000001</v>
      </c>
      <c r="AR167" s="551">
        <v>0.76839999999999997</v>
      </c>
    </row>
    <row r="168" spans="2:44" x14ac:dyDescent="0.25">
      <c r="B168" s="361" t="s">
        <v>25</v>
      </c>
      <c r="C168" s="24"/>
      <c r="D168" s="24"/>
      <c r="E168" s="4">
        <v>2113354.5</v>
      </c>
      <c r="F168" s="4" t="s">
        <v>807</v>
      </c>
      <c r="AM168" s="550">
        <v>45781</v>
      </c>
      <c r="AN168" s="551">
        <v>92.54</v>
      </c>
      <c r="AO168" s="551">
        <v>705371</v>
      </c>
      <c r="AP168" s="551">
        <v>132.68965</v>
      </c>
      <c r="AQ168" s="551">
        <v>12279.100211000001</v>
      </c>
      <c r="AR168" s="551">
        <v>0.76839999999999997</v>
      </c>
    </row>
    <row r="169" spans="2:44" x14ac:dyDescent="0.25">
      <c r="B169" s="361" t="s">
        <v>539</v>
      </c>
      <c r="C169" s="24"/>
      <c r="D169" s="24"/>
      <c r="E169" s="4">
        <v>59.159149999999997</v>
      </c>
      <c r="F169" s="4" t="s">
        <v>808</v>
      </c>
      <c r="AM169" s="550">
        <v>45780</v>
      </c>
      <c r="AN169" s="551">
        <v>94.57</v>
      </c>
      <c r="AO169" s="551">
        <v>717962</v>
      </c>
      <c r="AP169" s="551">
        <v>132.68965</v>
      </c>
      <c r="AQ169" s="551">
        <v>12548.4602005</v>
      </c>
      <c r="AR169" s="551">
        <v>0.7853</v>
      </c>
    </row>
    <row r="170" spans="2:44" x14ac:dyDescent="0.25">
      <c r="B170" s="361" t="s">
        <v>29</v>
      </c>
      <c r="C170" s="24"/>
      <c r="D170" s="24"/>
      <c r="E170" s="572">
        <v>0.84929280000000007</v>
      </c>
      <c r="F170" s="4" t="s">
        <v>809</v>
      </c>
      <c r="AM170" s="550">
        <v>45779</v>
      </c>
      <c r="AN170" s="551">
        <v>94.6</v>
      </c>
      <c r="AO170" s="551">
        <v>613633</v>
      </c>
      <c r="AP170" s="551">
        <v>132.68965</v>
      </c>
      <c r="AQ170" s="551">
        <v>12552.44089</v>
      </c>
      <c r="AR170" s="551">
        <v>0.78549999999999998</v>
      </c>
    </row>
    <row r="171" spans="2:44" x14ac:dyDescent="0.25">
      <c r="B171" s="361" t="s">
        <v>31</v>
      </c>
      <c r="C171" s="24"/>
      <c r="D171" s="24"/>
      <c r="E171" s="572">
        <v>0.10666869999999999</v>
      </c>
      <c r="F171" s="4" t="s">
        <v>810</v>
      </c>
      <c r="AM171" s="550">
        <v>45778</v>
      </c>
      <c r="AN171" s="551">
        <v>94.76</v>
      </c>
      <c r="AO171" s="551">
        <v>1163077</v>
      </c>
      <c r="AP171" s="551">
        <v>132.68965</v>
      </c>
      <c r="AQ171" s="551">
        <v>12573.671234000001</v>
      </c>
      <c r="AR171" s="551">
        <v>0.78680000000000005</v>
      </c>
    </row>
    <row r="172" spans="2:44" x14ac:dyDescent="0.25">
      <c r="B172" s="361"/>
      <c r="C172" s="24"/>
      <c r="D172" s="24"/>
      <c r="AM172" s="550">
        <v>45777</v>
      </c>
      <c r="AN172" s="551">
        <v>95.82</v>
      </c>
      <c r="AO172" s="551">
        <v>1268366</v>
      </c>
      <c r="AP172" s="551">
        <v>132.68965</v>
      </c>
      <c r="AQ172" s="551">
        <v>12714.322263</v>
      </c>
      <c r="AR172" s="551">
        <v>0.79559999999999997</v>
      </c>
    </row>
    <row r="173" spans="2:44" x14ac:dyDescent="0.25">
      <c r="B173" s="361" t="s">
        <v>811</v>
      </c>
      <c r="C173" s="24"/>
      <c r="D173" s="24"/>
      <c r="E173" s="572">
        <v>5.4403638321375479E-2</v>
      </c>
      <c r="F173" s="4" t="s">
        <v>812</v>
      </c>
      <c r="AM173" s="550">
        <v>45776</v>
      </c>
      <c r="AN173" s="551">
        <v>94.1</v>
      </c>
      <c r="AO173" s="551">
        <v>2551137</v>
      </c>
      <c r="AP173" s="551">
        <v>132.68965</v>
      </c>
      <c r="AQ173" s="551">
        <v>12486.096065</v>
      </c>
      <c r="AR173" s="551">
        <v>0.78139999999999998</v>
      </c>
    </row>
    <row r="174" spans="2:44" x14ac:dyDescent="0.25">
      <c r="B174" s="361" t="s">
        <v>35</v>
      </c>
      <c r="C174" s="24"/>
      <c r="D174" s="24"/>
      <c r="E174" s="572">
        <v>0.86947532429419649</v>
      </c>
      <c r="F174" s="4" t="s">
        <v>813</v>
      </c>
      <c r="AM174" s="550">
        <v>45775</v>
      </c>
      <c r="AN174" s="551">
        <v>94.1</v>
      </c>
      <c r="AO174" s="551">
        <v>2551137</v>
      </c>
      <c r="AP174" s="551">
        <v>132.68965</v>
      </c>
      <c r="AQ174" s="551">
        <v>12486.096065</v>
      </c>
      <c r="AR174" s="551">
        <v>0.78139999999999998</v>
      </c>
    </row>
    <row r="175" spans="2:44" x14ac:dyDescent="0.25">
      <c r="AM175" s="550">
        <v>45774</v>
      </c>
      <c r="AN175" s="551">
        <v>94.1</v>
      </c>
      <c r="AO175" s="551">
        <v>2551137</v>
      </c>
      <c r="AP175" s="551">
        <v>132.68965</v>
      </c>
      <c r="AQ175" s="551">
        <v>12486.096065</v>
      </c>
      <c r="AR175" s="551">
        <v>0.78139999999999998</v>
      </c>
    </row>
    <row r="176" spans="2:44" x14ac:dyDescent="0.25">
      <c r="B176" s="361"/>
      <c r="C176" s="24"/>
      <c r="D176" s="24"/>
      <c r="AM176" s="550">
        <v>45773</v>
      </c>
      <c r="AN176" s="551">
        <v>94.99</v>
      </c>
      <c r="AO176" s="551">
        <v>678232</v>
      </c>
      <c r="AP176" s="551">
        <v>132.68965</v>
      </c>
      <c r="AQ176" s="551">
        <v>12604.1898535</v>
      </c>
      <c r="AR176" s="551">
        <v>0.78879999999999995</v>
      </c>
    </row>
    <row r="177" spans="2:44" x14ac:dyDescent="0.25">
      <c r="B177" s="361"/>
      <c r="C177" s="24"/>
      <c r="D177" s="24"/>
      <c r="E177" s="572"/>
      <c r="AM177" s="550">
        <v>45772</v>
      </c>
      <c r="AN177" s="551">
        <v>96.15</v>
      </c>
      <c r="AO177" s="551">
        <v>872677</v>
      </c>
      <c r="AP177" s="551">
        <v>132.68965</v>
      </c>
      <c r="AQ177" s="551">
        <v>12758.1098475</v>
      </c>
      <c r="AR177" s="551">
        <v>0.7984</v>
      </c>
    </row>
    <row r="178" spans="2:44" x14ac:dyDescent="0.25">
      <c r="B178" s="361"/>
      <c r="C178" s="24"/>
      <c r="D178" s="24"/>
      <c r="E178" s="572"/>
      <c r="AM178" s="550">
        <v>45771</v>
      </c>
      <c r="AN178" s="551">
        <v>95.37</v>
      </c>
      <c r="AO178" s="551">
        <v>768956</v>
      </c>
      <c r="AP178" s="551">
        <v>132.68965</v>
      </c>
      <c r="AQ178" s="551">
        <v>12654.611920500001</v>
      </c>
      <c r="AR178" s="551">
        <v>0.79190000000000005</v>
      </c>
    </row>
    <row r="179" spans="2:44" x14ac:dyDescent="0.25">
      <c r="B179" s="361"/>
      <c r="C179" s="24"/>
      <c r="D179" s="24"/>
      <c r="E179" s="572"/>
      <c r="AM179" s="550">
        <v>45770</v>
      </c>
      <c r="AN179" s="551">
        <v>95.59</v>
      </c>
      <c r="AO179" s="551">
        <v>1132771</v>
      </c>
      <c r="AP179" s="551">
        <v>132.68965</v>
      </c>
      <c r="AQ179" s="551">
        <v>12683.803643500001</v>
      </c>
      <c r="AR179" s="551">
        <v>0.79369999999999996</v>
      </c>
    </row>
    <row r="180" spans="2:44" x14ac:dyDescent="0.25">
      <c r="AM180" s="550">
        <v>45769</v>
      </c>
      <c r="AN180" s="551">
        <v>95.08</v>
      </c>
      <c r="AO180" s="551">
        <v>1226779</v>
      </c>
      <c r="AP180" s="551">
        <v>132.68965</v>
      </c>
      <c r="AQ180" s="551">
        <v>12616.131922</v>
      </c>
      <c r="AR180" s="551">
        <v>0.78949999999999998</v>
      </c>
    </row>
    <row r="181" spans="2:44" x14ac:dyDescent="0.25">
      <c r="AM181" s="550">
        <v>45768</v>
      </c>
      <c r="AN181" s="551">
        <v>95.08</v>
      </c>
      <c r="AO181" s="551">
        <v>1226779</v>
      </c>
      <c r="AP181" s="551">
        <v>132.68965</v>
      </c>
      <c r="AQ181" s="551">
        <v>12616.131922</v>
      </c>
      <c r="AR181" s="551">
        <v>0.78949999999999998</v>
      </c>
    </row>
    <row r="182" spans="2:44" x14ac:dyDescent="0.25">
      <c r="AM182" s="550">
        <v>45767</v>
      </c>
      <c r="AN182" s="551">
        <v>95.08</v>
      </c>
      <c r="AO182" s="551">
        <v>1226779</v>
      </c>
      <c r="AP182" s="551">
        <v>132.68965</v>
      </c>
      <c r="AQ182" s="551">
        <v>12616.131922</v>
      </c>
      <c r="AR182" s="551">
        <v>0.78949999999999998</v>
      </c>
    </row>
    <row r="183" spans="2:44" x14ac:dyDescent="0.25">
      <c r="AM183" s="550">
        <v>45766</v>
      </c>
      <c r="AN183" s="551">
        <v>93.12</v>
      </c>
      <c r="AO183" s="551">
        <v>561230</v>
      </c>
      <c r="AP183" s="551">
        <v>132.68965</v>
      </c>
      <c r="AQ183" s="551">
        <v>12356.060208000001</v>
      </c>
      <c r="AR183" s="551">
        <v>0.7732</v>
      </c>
    </row>
    <row r="184" spans="2:44" x14ac:dyDescent="0.25">
      <c r="AM184" s="550">
        <v>45765</v>
      </c>
      <c r="AN184" s="551">
        <v>94.61</v>
      </c>
      <c r="AO184" s="551">
        <v>732300</v>
      </c>
      <c r="AP184" s="551">
        <v>132.68965</v>
      </c>
      <c r="AQ184" s="551">
        <v>12553.767786500001</v>
      </c>
      <c r="AR184" s="551">
        <v>0.78559999999999997</v>
      </c>
    </row>
    <row r="185" spans="2:44" x14ac:dyDescent="0.25">
      <c r="AM185" s="550">
        <v>45764</v>
      </c>
      <c r="AN185" s="551">
        <v>94.38</v>
      </c>
      <c r="AO185" s="551">
        <v>1279679</v>
      </c>
      <c r="AP185" s="551">
        <v>132.68965</v>
      </c>
      <c r="AQ185" s="551">
        <v>12523.249167</v>
      </c>
      <c r="AR185" s="551">
        <v>0.78369999999999995</v>
      </c>
    </row>
    <row r="186" spans="2:44" x14ac:dyDescent="0.25">
      <c r="AM186" s="550">
        <v>45763</v>
      </c>
      <c r="AN186" s="551">
        <v>96.01</v>
      </c>
      <c r="AO186" s="551">
        <v>1022522</v>
      </c>
      <c r="AP186" s="551">
        <v>132.68965</v>
      </c>
      <c r="AQ186" s="551">
        <v>12739.533296500002</v>
      </c>
      <c r="AR186" s="551">
        <v>0.79720000000000002</v>
      </c>
    </row>
    <row r="187" spans="2:44" x14ac:dyDescent="0.25">
      <c r="AM187" s="550">
        <v>45762</v>
      </c>
      <c r="AN187" s="551">
        <v>97.05</v>
      </c>
      <c r="AO187" s="551">
        <v>965742</v>
      </c>
      <c r="AP187" s="551">
        <v>132.68965</v>
      </c>
      <c r="AQ187" s="551">
        <v>12877.530532499999</v>
      </c>
      <c r="AR187" s="551">
        <v>0.80589999999999995</v>
      </c>
    </row>
    <row r="188" spans="2:44" x14ac:dyDescent="0.25">
      <c r="AM188" s="550">
        <v>45761</v>
      </c>
      <c r="AN188" s="551">
        <v>97.05</v>
      </c>
      <c r="AO188" s="551">
        <v>965742</v>
      </c>
      <c r="AP188" s="551">
        <v>132.68965</v>
      </c>
      <c r="AQ188" s="551">
        <v>12877.530532499999</v>
      </c>
      <c r="AR188" s="551">
        <v>0.80589999999999995</v>
      </c>
    </row>
    <row r="189" spans="2:44" x14ac:dyDescent="0.25">
      <c r="AM189" s="550">
        <v>45760</v>
      </c>
      <c r="AN189" s="551">
        <v>97.05</v>
      </c>
      <c r="AO189" s="551">
        <v>965742</v>
      </c>
      <c r="AP189" s="551">
        <v>132.68965</v>
      </c>
      <c r="AQ189" s="551">
        <v>12877.530532499999</v>
      </c>
      <c r="AR189" s="551">
        <v>0.80589999999999995</v>
      </c>
    </row>
    <row r="190" spans="2:44" x14ac:dyDescent="0.25">
      <c r="AM190" s="550">
        <v>45759</v>
      </c>
      <c r="AN190" s="551">
        <v>96.73</v>
      </c>
      <c r="AO190" s="551">
        <v>1061979</v>
      </c>
      <c r="AP190" s="551">
        <v>132.68965</v>
      </c>
      <c r="AQ190" s="551">
        <v>12835.0698445</v>
      </c>
      <c r="AR190" s="551">
        <v>0.80320000000000003</v>
      </c>
    </row>
    <row r="191" spans="2:44" x14ac:dyDescent="0.25">
      <c r="AM191" s="550">
        <v>45758</v>
      </c>
      <c r="AN191" s="551">
        <v>96</v>
      </c>
      <c r="AO191" s="551">
        <v>931211</v>
      </c>
      <c r="AP191" s="551">
        <v>132.68965</v>
      </c>
      <c r="AQ191" s="551">
        <v>12738.206399999999</v>
      </c>
      <c r="AR191" s="551">
        <v>0.79710000000000003</v>
      </c>
    </row>
    <row r="192" spans="2:44" x14ac:dyDescent="0.25">
      <c r="AM192" s="550">
        <v>45757</v>
      </c>
      <c r="AN192" s="551">
        <v>94.08</v>
      </c>
      <c r="AO192" s="551">
        <v>1250512</v>
      </c>
      <c r="AP192" s="551">
        <v>132.68965</v>
      </c>
      <c r="AQ192" s="551">
        <v>12483.442272</v>
      </c>
      <c r="AR192" s="551">
        <v>0.78120000000000001</v>
      </c>
    </row>
    <row r="193" spans="39:44" x14ac:dyDescent="0.25">
      <c r="AM193" s="550">
        <v>45756</v>
      </c>
      <c r="AN193" s="551">
        <v>97.17</v>
      </c>
      <c r="AO193" s="551">
        <v>1022931</v>
      </c>
      <c r="AP193" s="551">
        <v>132.68965</v>
      </c>
      <c r="AQ193" s="551">
        <v>12893.4532905</v>
      </c>
      <c r="AR193" s="551">
        <v>0.80689999999999995</v>
      </c>
    </row>
    <row r="194" spans="39:44" x14ac:dyDescent="0.25">
      <c r="AM194" s="550">
        <v>45755</v>
      </c>
      <c r="AN194" s="551">
        <v>100.05</v>
      </c>
      <c r="AO194" s="551">
        <v>1907958</v>
      </c>
      <c r="AP194" s="551">
        <v>132.68965</v>
      </c>
      <c r="AQ194" s="551">
        <v>13275.5994825</v>
      </c>
      <c r="AR194" s="551">
        <v>0.83079999999999998</v>
      </c>
    </row>
    <row r="195" spans="39:44" x14ac:dyDescent="0.25">
      <c r="AM195" s="550">
        <v>45754</v>
      </c>
      <c r="AN195" s="551">
        <v>100.05</v>
      </c>
      <c r="AO195" s="551">
        <v>1907958</v>
      </c>
      <c r="AP195" s="551">
        <v>132.68965</v>
      </c>
      <c r="AQ195" s="551">
        <v>13275.5994825</v>
      </c>
      <c r="AR195" s="551">
        <v>0.83079999999999998</v>
      </c>
    </row>
    <row r="196" spans="39:44" x14ac:dyDescent="0.25">
      <c r="AM196" s="550">
        <v>45753</v>
      </c>
      <c r="AN196" s="551">
        <v>100.05</v>
      </c>
      <c r="AO196" s="551">
        <v>1907958</v>
      </c>
      <c r="AP196" s="551">
        <v>132.68965</v>
      </c>
      <c r="AQ196" s="551">
        <v>13275.5994825</v>
      </c>
      <c r="AR196" s="551">
        <v>0.83079999999999998</v>
      </c>
    </row>
    <row r="197" spans="39:44" x14ac:dyDescent="0.25">
      <c r="AM197" s="550">
        <v>45752</v>
      </c>
      <c r="AN197" s="551">
        <v>97.26</v>
      </c>
      <c r="AO197" s="551">
        <v>927885</v>
      </c>
      <c r="AP197" s="551">
        <v>132.68965</v>
      </c>
      <c r="AQ197" s="551">
        <v>12905.395359</v>
      </c>
      <c r="AR197" s="551">
        <v>0.80759999999999998</v>
      </c>
    </row>
    <row r="198" spans="39:44" x14ac:dyDescent="0.25">
      <c r="AM198" s="550">
        <v>45751</v>
      </c>
      <c r="AN198" s="551">
        <v>98.39</v>
      </c>
      <c r="AO198" s="551">
        <v>943948</v>
      </c>
      <c r="AP198" s="551">
        <v>132.68965</v>
      </c>
      <c r="AQ198" s="551">
        <v>13055.3346635</v>
      </c>
      <c r="AR198" s="551">
        <v>0.81699999999999995</v>
      </c>
    </row>
    <row r="199" spans="39:44" x14ac:dyDescent="0.25">
      <c r="AM199" s="550">
        <v>45750</v>
      </c>
      <c r="AN199" s="551">
        <v>97.52</v>
      </c>
      <c r="AO199" s="551">
        <v>1280372</v>
      </c>
      <c r="AP199" s="551">
        <v>132.68965</v>
      </c>
      <c r="AQ199" s="551">
        <v>12939.894667999999</v>
      </c>
      <c r="AR199" s="551">
        <v>0.80979999999999996</v>
      </c>
    </row>
    <row r="200" spans="39:44" x14ac:dyDescent="0.25">
      <c r="AM200" s="550">
        <v>45749</v>
      </c>
      <c r="AN200" s="551">
        <v>95.69</v>
      </c>
      <c r="AO200" s="551">
        <v>2504566</v>
      </c>
      <c r="AP200" s="551">
        <v>132.68965</v>
      </c>
      <c r="AQ200" s="551">
        <v>12697.072608500001</v>
      </c>
      <c r="AR200" s="551">
        <v>0.79459999999999997</v>
      </c>
    </row>
    <row r="201" spans="39:44" x14ac:dyDescent="0.25">
      <c r="AM201" s="550">
        <v>45748</v>
      </c>
      <c r="AN201" s="551">
        <v>97.52</v>
      </c>
      <c r="AO201" s="551">
        <v>1037627</v>
      </c>
      <c r="AP201" s="551">
        <v>132.68965</v>
      </c>
      <c r="AQ201" s="551">
        <v>12939.894667999999</v>
      </c>
      <c r="AR201" s="551">
        <v>0.80979999999999996</v>
      </c>
    </row>
    <row r="202" spans="39:44" x14ac:dyDescent="0.25">
      <c r="AM202" s="550">
        <v>45747</v>
      </c>
      <c r="AN202" s="551">
        <v>97.52</v>
      </c>
      <c r="AO202" s="551">
        <v>1037627</v>
      </c>
      <c r="AP202" s="551">
        <v>132.68965</v>
      </c>
      <c r="AQ202" s="551">
        <v>12939.894667999999</v>
      </c>
      <c r="AR202" s="551">
        <v>0.80979999999999996</v>
      </c>
    </row>
    <row r="203" spans="39:44" x14ac:dyDescent="0.25">
      <c r="AM203" s="550">
        <v>45746</v>
      </c>
      <c r="AN203" s="551">
        <v>97.52</v>
      </c>
      <c r="AO203" s="551">
        <v>1037627</v>
      </c>
      <c r="AP203" s="551">
        <v>132.68965</v>
      </c>
      <c r="AQ203" s="551">
        <v>12939.894667999999</v>
      </c>
      <c r="AR203" s="551">
        <v>0.80979999999999996</v>
      </c>
    </row>
    <row r="204" spans="39:44" x14ac:dyDescent="0.25">
      <c r="AM204" s="550">
        <v>45745</v>
      </c>
      <c r="AN204" s="551">
        <v>99.7</v>
      </c>
      <c r="AO204" s="551">
        <v>595748</v>
      </c>
      <c r="AP204" s="551">
        <v>132.68965</v>
      </c>
      <c r="AQ204" s="551">
        <v>13229.158105</v>
      </c>
      <c r="AR204" s="551">
        <v>0.82789999999999997</v>
      </c>
    </row>
    <row r="205" spans="39:44" x14ac:dyDescent="0.25">
      <c r="AM205" s="550">
        <v>45744</v>
      </c>
      <c r="AN205" s="551">
        <v>101</v>
      </c>
      <c r="AO205" s="551">
        <v>726778</v>
      </c>
      <c r="AP205" s="551">
        <v>132.68965</v>
      </c>
      <c r="AQ205" s="551">
        <v>13401.65465</v>
      </c>
      <c r="AR205" s="551">
        <v>0.8387</v>
      </c>
    </row>
    <row r="206" spans="39:44" x14ac:dyDescent="0.25">
      <c r="AM206" s="550">
        <v>45743</v>
      </c>
      <c r="AN206" s="551">
        <v>101.6</v>
      </c>
      <c r="AO206" s="551">
        <v>1372889</v>
      </c>
      <c r="AP206" s="551">
        <v>132.68965</v>
      </c>
      <c r="AQ206" s="551">
        <v>13481.26844</v>
      </c>
      <c r="AR206" s="551">
        <v>0.84360000000000002</v>
      </c>
    </row>
    <row r="207" spans="39:44" x14ac:dyDescent="0.25">
      <c r="AM207" s="550">
        <v>45742</v>
      </c>
      <c r="AN207" s="551">
        <v>100.41</v>
      </c>
      <c r="AO207" s="551">
        <v>1247128</v>
      </c>
      <c r="AP207" s="551">
        <v>132.68965</v>
      </c>
      <c r="AQ207" s="551">
        <v>13323.3677565</v>
      </c>
      <c r="AR207" s="551">
        <v>0.83379999999999999</v>
      </c>
    </row>
    <row r="208" spans="39:44" x14ac:dyDescent="0.25">
      <c r="AM208" s="550">
        <v>45741</v>
      </c>
      <c r="AN208" s="551">
        <v>100.41</v>
      </c>
      <c r="AO208" s="551">
        <v>1247128</v>
      </c>
      <c r="AP208" s="551">
        <v>132.68965</v>
      </c>
      <c r="AQ208" s="551">
        <v>13323.3677565</v>
      </c>
      <c r="AR208" s="551">
        <v>0.83379999999999999</v>
      </c>
    </row>
    <row r="209" spans="39:44" x14ac:dyDescent="0.25">
      <c r="AM209" s="550">
        <v>45740</v>
      </c>
      <c r="AN209" s="551">
        <v>100.41</v>
      </c>
      <c r="AO209" s="551">
        <v>1247128</v>
      </c>
      <c r="AP209" s="551">
        <v>132.68965</v>
      </c>
      <c r="AQ209" s="551">
        <v>13323.3677565</v>
      </c>
      <c r="AR209" s="551">
        <v>0.83379999999999999</v>
      </c>
    </row>
    <row r="210" spans="39:44" x14ac:dyDescent="0.25">
      <c r="AM210" s="550">
        <v>45739</v>
      </c>
      <c r="AN210" s="551">
        <v>100.41</v>
      </c>
      <c r="AO210" s="551">
        <v>1247128</v>
      </c>
      <c r="AP210" s="551">
        <v>132.68965</v>
      </c>
      <c r="AQ210" s="551">
        <v>13323.3677565</v>
      </c>
      <c r="AR210" s="551">
        <v>0.83379999999999999</v>
      </c>
    </row>
    <row r="211" spans="39:44" x14ac:dyDescent="0.25">
      <c r="AM211" s="550">
        <v>45738</v>
      </c>
      <c r="AN211" s="551">
        <v>102.19</v>
      </c>
      <c r="AO211" s="551">
        <v>872383</v>
      </c>
      <c r="AP211" s="551">
        <v>132.68965</v>
      </c>
      <c r="AQ211" s="551">
        <v>13559.5553335</v>
      </c>
      <c r="AR211" s="551">
        <v>0.84850000000000003</v>
      </c>
    </row>
    <row r="212" spans="39:44" x14ac:dyDescent="0.25">
      <c r="AM212" s="550">
        <v>45737</v>
      </c>
      <c r="AN212" s="551">
        <v>103.79</v>
      </c>
      <c r="AO212" s="551">
        <v>940503</v>
      </c>
      <c r="AP212" s="551">
        <v>132.68965</v>
      </c>
      <c r="AQ212" s="551">
        <v>13771.8587735</v>
      </c>
      <c r="AR212" s="551">
        <v>0.86180000000000001</v>
      </c>
    </row>
    <row r="213" spans="39:44" x14ac:dyDescent="0.25">
      <c r="AM213" s="550">
        <v>45736</v>
      </c>
      <c r="AN213" s="551">
        <v>106.52</v>
      </c>
      <c r="AO213" s="551">
        <v>683057</v>
      </c>
      <c r="AP213" s="551">
        <v>132.68965</v>
      </c>
      <c r="AQ213" s="551">
        <v>14134.101517999999</v>
      </c>
      <c r="AR213" s="551">
        <v>0.88449999999999995</v>
      </c>
    </row>
    <row r="214" spans="39:44" x14ac:dyDescent="0.25">
      <c r="AM214" s="550">
        <v>45735</v>
      </c>
      <c r="AN214" s="551">
        <v>107.99</v>
      </c>
      <c r="AO214" s="551">
        <v>659940</v>
      </c>
      <c r="AP214" s="551">
        <v>132.68965</v>
      </c>
      <c r="AQ214" s="551">
        <v>14329.1553035</v>
      </c>
      <c r="AR214" s="551">
        <v>0.89670000000000005</v>
      </c>
    </row>
    <row r="215" spans="39:44" x14ac:dyDescent="0.25">
      <c r="AM215" s="550">
        <v>45734</v>
      </c>
      <c r="AN215" s="551">
        <v>107.16</v>
      </c>
      <c r="AO215" s="551">
        <v>796067</v>
      </c>
      <c r="AP215" s="551">
        <v>132.68965</v>
      </c>
      <c r="AQ215" s="551">
        <v>14219.022894</v>
      </c>
      <c r="AR215" s="551">
        <v>0.88980000000000004</v>
      </c>
    </row>
    <row r="216" spans="39:44" x14ac:dyDescent="0.25">
      <c r="AM216" s="550">
        <v>45733</v>
      </c>
      <c r="AN216" s="551">
        <v>107.16</v>
      </c>
      <c r="AO216" s="551">
        <v>796067</v>
      </c>
      <c r="AP216" s="551">
        <v>132.68965</v>
      </c>
      <c r="AQ216" s="551">
        <v>14219.022894</v>
      </c>
      <c r="AR216" s="551">
        <v>0.88980000000000004</v>
      </c>
    </row>
    <row r="217" spans="39:44" x14ac:dyDescent="0.25">
      <c r="AM217" s="550">
        <v>45732</v>
      </c>
      <c r="AN217" s="551">
        <v>107.16</v>
      </c>
      <c r="AO217" s="551">
        <v>796067</v>
      </c>
      <c r="AP217" s="551">
        <v>132.68965</v>
      </c>
      <c r="AQ217" s="551">
        <v>14219.022894</v>
      </c>
      <c r="AR217" s="551">
        <v>0.88980000000000004</v>
      </c>
    </row>
    <row r="218" spans="39:44" x14ac:dyDescent="0.25">
      <c r="AM218" s="550">
        <v>45731</v>
      </c>
      <c r="AN218" s="551">
        <v>108.27</v>
      </c>
      <c r="AO218" s="551">
        <v>1059741</v>
      </c>
      <c r="AP218" s="551">
        <v>132.68965</v>
      </c>
      <c r="AQ218" s="551">
        <v>14366.3084055</v>
      </c>
      <c r="AR218" s="551">
        <v>0.89900000000000002</v>
      </c>
    </row>
    <row r="219" spans="39:44" x14ac:dyDescent="0.25">
      <c r="AM219" s="550">
        <v>45730</v>
      </c>
      <c r="AN219" s="551">
        <v>104.93</v>
      </c>
      <c r="AO219" s="551">
        <v>1204051</v>
      </c>
      <c r="AP219" s="551">
        <v>132.68965</v>
      </c>
      <c r="AQ219" s="551">
        <v>13923.1249745</v>
      </c>
      <c r="AR219" s="551">
        <v>0.87129999999999996</v>
      </c>
    </row>
    <row r="220" spans="39:44" x14ac:dyDescent="0.25">
      <c r="AM220" s="550">
        <v>45729</v>
      </c>
      <c r="AN220" s="551">
        <v>104.18</v>
      </c>
      <c r="AO220" s="551">
        <v>1324199</v>
      </c>
      <c r="AP220" s="551">
        <v>132.68965</v>
      </c>
      <c r="AQ220" s="551">
        <v>13823.607737</v>
      </c>
      <c r="AR220" s="551">
        <v>0.86509999999999998</v>
      </c>
    </row>
    <row r="221" spans="39:44" x14ac:dyDescent="0.25">
      <c r="AM221" s="550">
        <v>45728</v>
      </c>
      <c r="AN221" s="551">
        <v>103.85</v>
      </c>
      <c r="AO221" s="551">
        <v>1053452</v>
      </c>
      <c r="AP221" s="551">
        <v>132.63874999999999</v>
      </c>
      <c r="AQ221" s="551">
        <v>13774.534187499998</v>
      </c>
      <c r="AR221" s="551">
        <v>0.86229999999999996</v>
      </c>
    </row>
    <row r="222" spans="39:44" x14ac:dyDescent="0.25">
      <c r="AM222" s="550">
        <v>45727</v>
      </c>
      <c r="AN222" s="551">
        <v>105.44</v>
      </c>
      <c r="AO222" s="551">
        <v>1368248</v>
      </c>
      <c r="AP222" s="551">
        <v>132.63874999999999</v>
      </c>
      <c r="AQ222" s="551">
        <v>13985.429799999998</v>
      </c>
      <c r="AR222" s="551">
        <v>0.87549999999999994</v>
      </c>
    </row>
    <row r="223" spans="39:44" x14ac:dyDescent="0.25">
      <c r="AM223" s="550">
        <v>45726</v>
      </c>
      <c r="AN223" s="551">
        <v>105.44</v>
      </c>
      <c r="AO223" s="551">
        <v>1368248</v>
      </c>
      <c r="AP223" s="551">
        <v>132.63874999999999</v>
      </c>
      <c r="AQ223" s="551">
        <v>13985.429799999998</v>
      </c>
      <c r="AR223" s="551">
        <v>0.87549999999999994</v>
      </c>
    </row>
    <row r="224" spans="39:44" x14ac:dyDescent="0.25">
      <c r="AM224" s="550">
        <v>45725</v>
      </c>
      <c r="AN224" s="551">
        <v>105.44</v>
      </c>
      <c r="AO224" s="551">
        <v>1368248</v>
      </c>
      <c r="AP224" s="551">
        <v>132.63874999999999</v>
      </c>
      <c r="AQ224" s="551">
        <v>13985.429799999998</v>
      </c>
      <c r="AR224" s="551">
        <v>0.87549999999999994</v>
      </c>
    </row>
    <row r="225" spans="39:44" x14ac:dyDescent="0.25">
      <c r="AM225" s="550">
        <v>45724</v>
      </c>
      <c r="AN225" s="551">
        <v>105.55</v>
      </c>
      <c r="AO225" s="551">
        <v>854255</v>
      </c>
      <c r="AP225" s="551">
        <v>132.63874999999999</v>
      </c>
      <c r="AQ225" s="551">
        <v>14000.020062499998</v>
      </c>
      <c r="AR225" s="551">
        <v>0.87639999999999996</v>
      </c>
    </row>
    <row r="226" spans="39:44" x14ac:dyDescent="0.25">
      <c r="AM226" s="550">
        <v>45723</v>
      </c>
      <c r="AN226" s="551">
        <v>104.6</v>
      </c>
      <c r="AO226" s="551">
        <v>795360</v>
      </c>
      <c r="AP226" s="551">
        <v>132.63874999999999</v>
      </c>
      <c r="AQ226" s="551">
        <v>13874.013249999998</v>
      </c>
      <c r="AR226" s="551">
        <v>0.86860000000000004</v>
      </c>
    </row>
    <row r="227" spans="39:44" x14ac:dyDescent="0.25">
      <c r="AM227" s="550">
        <v>45722</v>
      </c>
      <c r="AN227" s="551">
        <v>105.42</v>
      </c>
      <c r="AO227" s="551">
        <v>883743</v>
      </c>
      <c r="AP227" s="551">
        <v>132.63874999999999</v>
      </c>
      <c r="AQ227" s="551">
        <v>13982.777024999999</v>
      </c>
      <c r="AR227" s="551">
        <v>0.87539999999999996</v>
      </c>
    </row>
    <row r="228" spans="39:44" x14ac:dyDescent="0.25">
      <c r="AM228" s="550">
        <v>45721</v>
      </c>
      <c r="AN228" s="551">
        <v>106.69</v>
      </c>
      <c r="AO228" s="551">
        <v>844510</v>
      </c>
      <c r="AP228" s="551">
        <v>132.63874999999999</v>
      </c>
      <c r="AQ228" s="551">
        <v>14151.228237499998</v>
      </c>
      <c r="AR228" s="551">
        <v>0.88590000000000002</v>
      </c>
    </row>
    <row r="229" spans="39:44" x14ac:dyDescent="0.25">
      <c r="AM229" s="550">
        <v>45720</v>
      </c>
      <c r="AN229" s="551">
        <v>109.15</v>
      </c>
      <c r="AO229" s="551">
        <v>751573</v>
      </c>
      <c r="AP229" s="551">
        <v>132.63874999999999</v>
      </c>
      <c r="AQ229" s="551">
        <v>14477.5195625</v>
      </c>
      <c r="AR229" s="551">
        <v>0.90629999999999999</v>
      </c>
    </row>
    <row r="230" spans="39:44" x14ac:dyDescent="0.25">
      <c r="AM230" s="550">
        <v>45719</v>
      </c>
      <c r="AN230" s="551">
        <v>109.15</v>
      </c>
      <c r="AO230" s="551">
        <v>751573</v>
      </c>
      <c r="AP230" s="551">
        <v>132.63874999999999</v>
      </c>
      <c r="AQ230" s="551">
        <v>14477.5195625</v>
      </c>
      <c r="AR230" s="551">
        <v>0.90629999999999999</v>
      </c>
    </row>
    <row r="231" spans="39:44" x14ac:dyDescent="0.25">
      <c r="AM231" s="550">
        <v>45718</v>
      </c>
      <c r="AN231" s="551">
        <v>109.15</v>
      </c>
      <c r="AO231" s="551">
        <v>751573</v>
      </c>
      <c r="AP231" s="551">
        <v>132.63874999999999</v>
      </c>
      <c r="AQ231" s="551">
        <v>14477.5195625</v>
      </c>
      <c r="AR231" s="551">
        <v>0.90629999999999999</v>
      </c>
    </row>
    <row r="232" spans="39:44" x14ac:dyDescent="0.25">
      <c r="AM232" s="550">
        <v>45717</v>
      </c>
      <c r="AN232" s="551">
        <v>108.33</v>
      </c>
      <c r="AO232" s="551">
        <v>773291</v>
      </c>
      <c r="AP232" s="551">
        <v>132.63874999999999</v>
      </c>
      <c r="AQ232" s="551">
        <v>14368.755787499998</v>
      </c>
      <c r="AR232" s="551">
        <v>0.89949999999999997</v>
      </c>
    </row>
    <row r="233" spans="39:44" x14ac:dyDescent="0.25">
      <c r="AM233" s="550">
        <v>45716</v>
      </c>
      <c r="AN233" s="551">
        <v>110.6</v>
      </c>
      <c r="AO233" s="551">
        <v>645334</v>
      </c>
      <c r="AP233" s="551">
        <v>132.63874999999999</v>
      </c>
      <c r="AQ233" s="551">
        <v>14669.845749999999</v>
      </c>
      <c r="AR233" s="551">
        <v>0.91839999999999999</v>
      </c>
    </row>
    <row r="234" spans="39:44" x14ac:dyDescent="0.25">
      <c r="AM234" s="550">
        <v>45715</v>
      </c>
      <c r="AN234" s="551">
        <v>111.05</v>
      </c>
      <c r="AO234" s="551">
        <v>831373</v>
      </c>
      <c r="AP234" s="551">
        <v>132.63874999999999</v>
      </c>
      <c r="AQ234" s="551">
        <v>14729.533187499997</v>
      </c>
      <c r="AR234" s="551">
        <v>0.92210000000000003</v>
      </c>
    </row>
    <row r="235" spans="39:44" x14ac:dyDescent="0.25">
      <c r="AM235" s="550">
        <v>45714</v>
      </c>
      <c r="AN235" s="551">
        <v>108.93</v>
      </c>
      <c r="AO235" s="551">
        <v>3398417</v>
      </c>
      <c r="AP235" s="551">
        <v>132.63874999999999</v>
      </c>
      <c r="AQ235" s="551">
        <v>14448.3390375</v>
      </c>
      <c r="AR235" s="551">
        <v>0.90449999999999997</v>
      </c>
    </row>
    <row r="236" spans="39:44" x14ac:dyDescent="0.25">
      <c r="AM236" s="550">
        <v>45713</v>
      </c>
      <c r="AN236" s="551">
        <v>108.93</v>
      </c>
      <c r="AO236" s="551">
        <v>3398417</v>
      </c>
      <c r="AP236" s="551">
        <v>132.63874999999999</v>
      </c>
      <c r="AQ236" s="551">
        <v>14448.3390375</v>
      </c>
      <c r="AR236" s="551">
        <v>0.90449999999999997</v>
      </c>
    </row>
    <row r="237" spans="39:44" x14ac:dyDescent="0.25">
      <c r="AM237" s="550">
        <v>45712</v>
      </c>
      <c r="AN237" s="551">
        <v>108.93</v>
      </c>
      <c r="AO237" s="551">
        <v>3398417</v>
      </c>
      <c r="AP237" s="551">
        <v>132.63874999999999</v>
      </c>
      <c r="AQ237" s="551">
        <v>14448.3390375</v>
      </c>
      <c r="AR237" s="551">
        <v>0.90449999999999997</v>
      </c>
    </row>
    <row r="238" spans="39:44" x14ac:dyDescent="0.25">
      <c r="AM238" s="550">
        <v>45711</v>
      </c>
      <c r="AN238" s="551">
        <v>108.93</v>
      </c>
      <c r="AO238" s="551">
        <v>3398417</v>
      </c>
      <c r="AP238" s="551">
        <v>132.63874999999999</v>
      </c>
      <c r="AQ238" s="551">
        <v>14448.3390375</v>
      </c>
      <c r="AR238" s="551">
        <v>0.90449999999999997</v>
      </c>
    </row>
    <row r="239" spans="39:44" x14ac:dyDescent="0.25">
      <c r="AM239" s="550">
        <v>45710</v>
      </c>
      <c r="AN239" s="551">
        <v>107.85</v>
      </c>
      <c r="AO239" s="551">
        <v>1122262</v>
      </c>
      <c r="AP239" s="551">
        <v>132.63874999999999</v>
      </c>
      <c r="AQ239" s="551">
        <v>14305.089187499998</v>
      </c>
      <c r="AR239" s="551">
        <v>0.89549999999999996</v>
      </c>
    </row>
    <row r="240" spans="39:44" x14ac:dyDescent="0.25">
      <c r="AM240" s="550">
        <v>45709</v>
      </c>
      <c r="AN240" s="551">
        <v>109.25</v>
      </c>
      <c r="AO240" s="551">
        <v>924630</v>
      </c>
      <c r="AP240" s="551">
        <v>132.63874999999999</v>
      </c>
      <c r="AQ240" s="551">
        <v>14490.783437499998</v>
      </c>
      <c r="AR240" s="551">
        <v>0.90720000000000001</v>
      </c>
    </row>
    <row r="241" spans="39:44" x14ac:dyDescent="0.25">
      <c r="AM241" s="550">
        <v>45708</v>
      </c>
      <c r="AN241" s="551">
        <v>109.89</v>
      </c>
      <c r="AO241" s="551">
        <v>988005</v>
      </c>
      <c r="AP241" s="551">
        <v>132.63874999999999</v>
      </c>
      <c r="AQ241" s="551">
        <v>14575.672237499999</v>
      </c>
      <c r="AR241" s="551">
        <v>0.91249999999999998</v>
      </c>
    </row>
    <row r="242" spans="39:44" x14ac:dyDescent="0.25">
      <c r="AM242" s="550">
        <v>45707</v>
      </c>
      <c r="AN242" s="551">
        <v>108.47</v>
      </c>
      <c r="AO242" s="551">
        <v>1233855</v>
      </c>
      <c r="AP242" s="551">
        <v>132.63874999999999</v>
      </c>
      <c r="AQ242" s="551">
        <v>14387.325212499998</v>
      </c>
      <c r="AR242" s="551">
        <v>0.90069999999999995</v>
      </c>
    </row>
    <row r="243" spans="39:44" x14ac:dyDescent="0.25">
      <c r="AM243" s="550">
        <v>45706</v>
      </c>
      <c r="AN243" s="551">
        <v>105.87</v>
      </c>
      <c r="AO243" s="551">
        <v>1198157</v>
      </c>
      <c r="AP243" s="551">
        <v>132.63874999999999</v>
      </c>
      <c r="AQ243" s="551">
        <v>14042.4644625</v>
      </c>
      <c r="AR243" s="551">
        <v>0.87909999999999999</v>
      </c>
    </row>
    <row r="244" spans="39:44" x14ac:dyDescent="0.25">
      <c r="AM244" s="550">
        <v>45705</v>
      </c>
      <c r="AN244" s="551">
        <v>105.87</v>
      </c>
      <c r="AO244" s="551">
        <v>1198157</v>
      </c>
      <c r="AP244" s="551">
        <v>132.63874999999999</v>
      </c>
      <c r="AQ244" s="551">
        <v>14042.4644625</v>
      </c>
      <c r="AR244" s="551">
        <v>0.87909999999999999</v>
      </c>
    </row>
    <row r="245" spans="39:44" x14ac:dyDescent="0.25">
      <c r="AM245" s="550">
        <v>45704</v>
      </c>
      <c r="AN245" s="551">
        <v>105.87</v>
      </c>
      <c r="AO245" s="551">
        <v>1198157</v>
      </c>
      <c r="AP245" s="551">
        <v>132.63874999999999</v>
      </c>
      <c r="AQ245" s="551">
        <v>14042.4644625</v>
      </c>
      <c r="AR245" s="551">
        <v>0.87909999999999999</v>
      </c>
    </row>
    <row r="246" spans="39:44" x14ac:dyDescent="0.25">
      <c r="AM246" s="550">
        <v>45703</v>
      </c>
      <c r="AN246" s="551">
        <v>107.32</v>
      </c>
      <c r="AO246" s="551">
        <v>968168</v>
      </c>
      <c r="AP246" s="551">
        <v>132.63874999999999</v>
      </c>
      <c r="AQ246" s="551">
        <v>14234.790649999997</v>
      </c>
      <c r="AR246" s="551">
        <v>0.8911</v>
      </c>
    </row>
    <row r="247" spans="39:44" x14ac:dyDescent="0.25">
      <c r="AM247" s="550">
        <v>45702</v>
      </c>
      <c r="AN247" s="551">
        <v>107.32</v>
      </c>
      <c r="AO247" s="551">
        <v>968168</v>
      </c>
      <c r="AP247" s="551">
        <v>132.63874999999999</v>
      </c>
      <c r="AQ247" s="551">
        <v>14234.790649999997</v>
      </c>
      <c r="AR247" s="551">
        <v>0.8911</v>
      </c>
    </row>
    <row r="248" spans="39:44" x14ac:dyDescent="0.25">
      <c r="AM248" s="550">
        <v>45701</v>
      </c>
      <c r="AN248" s="551">
        <v>107.14</v>
      </c>
      <c r="AO248" s="551">
        <v>585609</v>
      </c>
      <c r="AP248" s="551">
        <v>132.46369999999999</v>
      </c>
      <c r="AQ248" s="551">
        <v>14192.160817999998</v>
      </c>
      <c r="AR248" s="551">
        <v>0.88959999999999995</v>
      </c>
    </row>
    <row r="249" spans="39:44" x14ac:dyDescent="0.25">
      <c r="AM249" s="550">
        <v>45700</v>
      </c>
      <c r="AN249" s="551">
        <v>107.24</v>
      </c>
      <c r="AO249" s="551">
        <v>590707</v>
      </c>
      <c r="AP249" s="551">
        <v>132.46369999999999</v>
      </c>
      <c r="AQ249" s="551">
        <v>14205.407187999997</v>
      </c>
      <c r="AR249" s="551">
        <v>0.89049999999999996</v>
      </c>
    </row>
    <row r="250" spans="39:44" x14ac:dyDescent="0.25">
      <c r="AM250" s="550">
        <v>45699</v>
      </c>
      <c r="AN250" s="551">
        <v>107.75</v>
      </c>
      <c r="AO250" s="551">
        <v>419576</v>
      </c>
      <c r="AP250" s="551">
        <v>132.46369999999999</v>
      </c>
      <c r="AQ250" s="551">
        <v>14272.963674999999</v>
      </c>
      <c r="AR250" s="551">
        <v>0.89470000000000005</v>
      </c>
    </row>
    <row r="251" spans="39:44" x14ac:dyDescent="0.25">
      <c r="AM251" s="550">
        <v>45698</v>
      </c>
      <c r="AN251" s="551">
        <v>107.75</v>
      </c>
      <c r="AO251" s="551">
        <v>419576</v>
      </c>
      <c r="AP251" s="551">
        <v>132.46369999999999</v>
      </c>
      <c r="AQ251" s="551">
        <v>14272.963674999999</v>
      </c>
      <c r="AR251" s="551">
        <v>0.89470000000000005</v>
      </c>
    </row>
    <row r="252" spans="39:44" x14ac:dyDescent="0.25">
      <c r="AM252" s="550">
        <v>45697</v>
      </c>
      <c r="AN252" s="551">
        <v>107.75</v>
      </c>
      <c r="AO252" s="551">
        <v>419576</v>
      </c>
      <c r="AP252" s="551">
        <v>132.46369999999999</v>
      </c>
      <c r="AQ252" s="551">
        <v>14272.963674999999</v>
      </c>
      <c r="AR252" s="551">
        <v>0.89470000000000005</v>
      </c>
    </row>
    <row r="253" spans="39:44" x14ac:dyDescent="0.25">
      <c r="AM253" s="550">
        <v>45696</v>
      </c>
      <c r="AN253" s="551">
        <v>106.3</v>
      </c>
      <c r="AO253" s="551">
        <v>687810</v>
      </c>
      <c r="AP253" s="551">
        <v>132.46369999999999</v>
      </c>
      <c r="AQ253" s="551">
        <v>14080.891309999999</v>
      </c>
      <c r="AR253" s="551">
        <v>0.88270000000000004</v>
      </c>
    </row>
    <row r="254" spans="39:44" x14ac:dyDescent="0.25">
      <c r="AM254" s="550">
        <v>45695</v>
      </c>
      <c r="AN254" s="551">
        <v>106.82</v>
      </c>
      <c r="AO254" s="551">
        <v>384930</v>
      </c>
      <c r="AP254" s="551">
        <v>132.46369999999999</v>
      </c>
      <c r="AQ254" s="551">
        <v>14149.772433999999</v>
      </c>
      <c r="AR254" s="551">
        <v>0.88700000000000001</v>
      </c>
    </row>
    <row r="255" spans="39:44" x14ac:dyDescent="0.25">
      <c r="AM255" s="550">
        <v>45694</v>
      </c>
      <c r="AN255" s="551">
        <v>106.82</v>
      </c>
      <c r="AO255" s="551">
        <v>384930</v>
      </c>
      <c r="AP255" s="551">
        <v>132.46369999999999</v>
      </c>
      <c r="AQ255" s="551">
        <v>14149.772433999999</v>
      </c>
      <c r="AR255" s="551">
        <v>0.88700000000000001</v>
      </c>
    </row>
    <row r="256" spans="39:44" x14ac:dyDescent="0.25">
      <c r="AM256" s="550">
        <v>45693</v>
      </c>
      <c r="AN256" s="551">
        <v>107.05</v>
      </c>
      <c r="AO256" s="551">
        <v>444208</v>
      </c>
      <c r="AP256" s="551">
        <v>132.46369999999999</v>
      </c>
      <c r="AQ256" s="551">
        <v>14180.239084999999</v>
      </c>
      <c r="AR256" s="551">
        <v>0.90080000000000005</v>
      </c>
    </row>
    <row r="257" spans="39:44" x14ac:dyDescent="0.25">
      <c r="AM257" s="550">
        <v>45692</v>
      </c>
      <c r="AN257" s="551">
        <v>107.68</v>
      </c>
      <c r="AO257" s="551">
        <v>240753</v>
      </c>
      <c r="AP257" s="551">
        <v>132.46369999999999</v>
      </c>
      <c r="AQ257" s="551">
        <v>14263.691215999999</v>
      </c>
      <c r="AR257" s="551">
        <v>0.90620000000000001</v>
      </c>
    </row>
    <row r="258" spans="39:44" x14ac:dyDescent="0.25">
      <c r="AM258" s="550">
        <v>45691</v>
      </c>
      <c r="AN258" s="551">
        <v>107.68</v>
      </c>
      <c r="AO258" s="551">
        <v>240753</v>
      </c>
      <c r="AP258" s="551">
        <v>132.46369999999999</v>
      </c>
      <c r="AQ258" s="551">
        <v>14263.691215999999</v>
      </c>
      <c r="AR258" s="551">
        <v>0.90620000000000001</v>
      </c>
    </row>
    <row r="259" spans="39:44" x14ac:dyDescent="0.25">
      <c r="AM259" s="550">
        <v>45690</v>
      </c>
      <c r="AN259" s="551">
        <v>107.68</v>
      </c>
      <c r="AO259" s="551">
        <v>240753</v>
      </c>
      <c r="AP259" s="551">
        <v>132.46369999999999</v>
      </c>
      <c r="AQ259" s="551">
        <v>14263.691215999999</v>
      </c>
      <c r="AR259" s="551">
        <v>0.90620000000000001</v>
      </c>
    </row>
    <row r="260" spans="39:44" x14ac:dyDescent="0.25">
      <c r="AM260" s="550">
        <v>45689</v>
      </c>
      <c r="AN260" s="551">
        <v>108.59</v>
      </c>
      <c r="AO260" s="551">
        <v>303256</v>
      </c>
      <c r="AP260" s="551">
        <v>132.46369999999999</v>
      </c>
      <c r="AQ260" s="551">
        <v>14384.233182999998</v>
      </c>
      <c r="AR260" s="551">
        <v>0.91379999999999995</v>
      </c>
    </row>
    <row r="261" spans="39:44" x14ac:dyDescent="0.25">
      <c r="AM261" s="550">
        <v>45688</v>
      </c>
      <c r="AN261" s="551">
        <v>108.41</v>
      </c>
      <c r="AO261" s="551">
        <v>136439</v>
      </c>
      <c r="AP261" s="551">
        <v>132.46369999999999</v>
      </c>
      <c r="AQ261" s="551">
        <v>14360.389716999998</v>
      </c>
      <c r="AR261" s="551">
        <v>0.9123</v>
      </c>
    </row>
    <row r="262" spans="39:44" x14ac:dyDescent="0.25">
      <c r="AM262" s="550">
        <v>45687</v>
      </c>
      <c r="AN262" s="551">
        <v>108.41</v>
      </c>
      <c r="AO262" s="551">
        <v>136439</v>
      </c>
      <c r="AP262" s="551">
        <v>132.46369999999999</v>
      </c>
      <c r="AQ262" s="551">
        <v>14360.389716999998</v>
      </c>
      <c r="AR262" s="551">
        <v>0.9123</v>
      </c>
    </row>
    <row r="263" spans="39:44" x14ac:dyDescent="0.25">
      <c r="AM263" s="550">
        <v>45686</v>
      </c>
      <c r="AN263" s="551">
        <v>107.92</v>
      </c>
      <c r="AO263" s="551">
        <v>476594</v>
      </c>
      <c r="AP263" s="551">
        <v>132.46369999999999</v>
      </c>
      <c r="AQ263" s="551">
        <v>14295.482504</v>
      </c>
      <c r="AR263" s="551">
        <v>0.90820000000000001</v>
      </c>
    </row>
    <row r="264" spans="39:44" x14ac:dyDescent="0.25">
      <c r="AM264" s="550">
        <v>45685</v>
      </c>
      <c r="AN264" s="551">
        <v>107.99</v>
      </c>
      <c r="AO264" s="551">
        <v>2456709</v>
      </c>
      <c r="AP264" s="551">
        <v>132.46369999999999</v>
      </c>
      <c r="AQ264" s="551">
        <v>14304.754962999998</v>
      </c>
      <c r="AR264" s="551">
        <v>0.90880000000000005</v>
      </c>
    </row>
    <row r="265" spans="39:44" x14ac:dyDescent="0.25">
      <c r="AM265" s="550">
        <v>45684</v>
      </c>
      <c r="AN265" s="551">
        <v>107.99</v>
      </c>
      <c r="AO265" s="551">
        <v>2456709</v>
      </c>
      <c r="AP265" s="551">
        <v>132.46369999999999</v>
      </c>
      <c r="AQ265" s="551">
        <v>14304.754962999998</v>
      </c>
      <c r="AR265" s="551">
        <v>0.90880000000000005</v>
      </c>
    </row>
    <row r="266" spans="39:44" x14ac:dyDescent="0.25">
      <c r="AM266" s="550">
        <v>45683</v>
      </c>
      <c r="AN266" s="551">
        <v>107.99</v>
      </c>
      <c r="AO266" s="551">
        <v>2456709</v>
      </c>
      <c r="AP266" s="551">
        <v>132.46369999999999</v>
      </c>
      <c r="AQ266" s="551">
        <v>14304.754962999998</v>
      </c>
      <c r="AR266" s="551">
        <v>0.90880000000000005</v>
      </c>
    </row>
    <row r="267" spans="39:44" x14ac:dyDescent="0.25">
      <c r="AM267" s="550">
        <v>45682</v>
      </c>
      <c r="AN267" s="551">
        <v>107.04</v>
      </c>
      <c r="AO267" s="551">
        <v>703359</v>
      </c>
      <c r="AP267" s="551">
        <v>132.46369999999999</v>
      </c>
      <c r="AQ267" s="551">
        <v>14178.914448</v>
      </c>
      <c r="AR267" s="551">
        <v>0.90080000000000005</v>
      </c>
    </row>
    <row r="268" spans="39:44" x14ac:dyDescent="0.25">
      <c r="AM268" s="550">
        <v>45681</v>
      </c>
      <c r="AN268" s="551">
        <v>106.93</v>
      </c>
      <c r="AO268" s="551">
        <v>809416</v>
      </c>
      <c r="AP268" s="551">
        <v>132.46369999999999</v>
      </c>
      <c r="AQ268" s="551">
        <v>14164.343440999999</v>
      </c>
      <c r="AR268" s="551">
        <v>0.89980000000000004</v>
      </c>
    </row>
    <row r="269" spans="39:44" x14ac:dyDescent="0.25">
      <c r="AM269" s="550">
        <v>45680</v>
      </c>
      <c r="AN269" s="551">
        <v>110.4</v>
      </c>
      <c r="AO269" s="551">
        <v>851134</v>
      </c>
      <c r="AP269" s="551">
        <v>132.46369999999999</v>
      </c>
      <c r="AQ269" s="551">
        <v>14623.992479999999</v>
      </c>
      <c r="AR269" s="551">
        <v>0.92900000000000005</v>
      </c>
    </row>
    <row r="270" spans="39:44" x14ac:dyDescent="0.25">
      <c r="AM270" s="550">
        <v>45679</v>
      </c>
      <c r="AN270" s="551">
        <v>110.69</v>
      </c>
      <c r="AO270" s="551">
        <v>963701</v>
      </c>
      <c r="AP270" s="551">
        <v>132.46369999999999</v>
      </c>
      <c r="AQ270" s="551">
        <v>14662.406952999998</v>
      </c>
      <c r="AR270" s="551">
        <v>0.93149999999999999</v>
      </c>
    </row>
    <row r="271" spans="39:44" x14ac:dyDescent="0.25">
      <c r="AM271" s="550">
        <v>45678</v>
      </c>
      <c r="AN271" s="551">
        <v>111.51</v>
      </c>
      <c r="AO271" s="551">
        <v>782959</v>
      </c>
      <c r="AP271" s="551">
        <v>132.46369999999999</v>
      </c>
      <c r="AQ271" s="551">
        <v>14771.027187</v>
      </c>
      <c r="AR271" s="551">
        <v>0.93840000000000001</v>
      </c>
    </row>
    <row r="272" spans="39:44" x14ac:dyDescent="0.25">
      <c r="AM272" s="550">
        <v>45677</v>
      </c>
      <c r="AN272" s="551">
        <v>111.51</v>
      </c>
      <c r="AO272" s="551">
        <v>782959</v>
      </c>
      <c r="AP272" s="551">
        <v>132.46369999999999</v>
      </c>
      <c r="AQ272" s="551">
        <v>14771.027187</v>
      </c>
      <c r="AR272" s="551">
        <v>0.93840000000000001</v>
      </c>
    </row>
    <row r="273" spans="39:44" x14ac:dyDescent="0.25">
      <c r="AM273" s="550">
        <v>45676</v>
      </c>
      <c r="AN273" s="551">
        <v>111.51</v>
      </c>
      <c r="AO273" s="551">
        <v>782959</v>
      </c>
      <c r="AP273" s="551">
        <v>132.46369999999999</v>
      </c>
      <c r="AQ273" s="551">
        <v>14771.027187</v>
      </c>
      <c r="AR273" s="551">
        <v>0.93840000000000001</v>
      </c>
    </row>
    <row r="274" spans="39:44" x14ac:dyDescent="0.25">
      <c r="AM274" s="550">
        <v>45675</v>
      </c>
      <c r="AN274" s="551">
        <v>112.03</v>
      </c>
      <c r="AO274" s="551">
        <v>630645</v>
      </c>
      <c r="AP274" s="551">
        <v>132.46369999999999</v>
      </c>
      <c r="AQ274" s="551">
        <v>14839.908310999999</v>
      </c>
      <c r="AR274" s="551">
        <v>0.94279999999999997</v>
      </c>
    </row>
    <row r="275" spans="39:44" x14ac:dyDescent="0.25">
      <c r="AM275" s="550">
        <v>45674</v>
      </c>
      <c r="AN275" s="551">
        <v>112.77</v>
      </c>
      <c r="AO275" s="551">
        <v>731273</v>
      </c>
      <c r="AP275" s="551">
        <v>132.46369999999999</v>
      </c>
      <c r="AQ275" s="551">
        <v>14937.931448999998</v>
      </c>
      <c r="AR275" s="551">
        <v>0.94899999999999995</v>
      </c>
    </row>
    <row r="276" spans="39:44" x14ac:dyDescent="0.25">
      <c r="AM276" s="550">
        <v>45673</v>
      </c>
      <c r="AN276" s="551">
        <v>112.47</v>
      </c>
      <c r="AO276" s="551">
        <v>664624</v>
      </c>
      <c r="AP276" s="551">
        <v>132.46369999999999</v>
      </c>
      <c r="AQ276" s="551">
        <v>14898.192338999999</v>
      </c>
      <c r="AR276" s="551">
        <v>0.94650000000000001</v>
      </c>
    </row>
    <row r="277" spans="39:44" x14ac:dyDescent="0.25">
      <c r="AM277" s="550">
        <v>45672</v>
      </c>
      <c r="AN277" s="551">
        <v>112.51</v>
      </c>
      <c r="AO277" s="551">
        <v>607194</v>
      </c>
      <c r="AP277" s="551">
        <v>132.46369999999999</v>
      </c>
      <c r="AQ277" s="551">
        <v>14903.490887</v>
      </c>
      <c r="AR277" s="551">
        <v>0.94679999999999997</v>
      </c>
    </row>
    <row r="278" spans="39:44" x14ac:dyDescent="0.25">
      <c r="AM278" s="550">
        <v>45671</v>
      </c>
      <c r="AN278" s="551">
        <v>113.75</v>
      </c>
      <c r="AO278" s="551">
        <v>397614</v>
      </c>
      <c r="AP278" s="551">
        <v>132.46369999999999</v>
      </c>
      <c r="AQ278" s="551">
        <v>15067.745874999999</v>
      </c>
      <c r="AR278" s="551">
        <v>0.95720000000000005</v>
      </c>
    </row>
    <row r="279" spans="39:44" x14ac:dyDescent="0.25">
      <c r="AM279" s="550">
        <v>45670</v>
      </c>
      <c r="AN279" s="551">
        <v>113.75</v>
      </c>
      <c r="AO279" s="551">
        <v>397614</v>
      </c>
      <c r="AP279" s="551">
        <v>132.46369999999999</v>
      </c>
      <c r="AQ279" s="551">
        <v>15067.745874999999</v>
      </c>
      <c r="AR279" s="551">
        <v>0.95720000000000005</v>
      </c>
    </row>
    <row r="280" spans="39:44" x14ac:dyDescent="0.25">
      <c r="AM280" s="550">
        <v>45669</v>
      </c>
      <c r="AN280" s="551">
        <v>113.75</v>
      </c>
      <c r="AO280" s="551">
        <v>397614</v>
      </c>
      <c r="AP280" s="551">
        <v>132.46369999999999</v>
      </c>
      <c r="AQ280" s="551">
        <v>15067.745874999999</v>
      </c>
      <c r="AR280" s="551">
        <v>0.95720000000000005</v>
      </c>
    </row>
    <row r="281" spans="39:44" x14ac:dyDescent="0.25">
      <c r="AM281" s="550">
        <v>45668</v>
      </c>
      <c r="AN281" s="551">
        <v>114.22</v>
      </c>
      <c r="AO281" s="551">
        <v>650746</v>
      </c>
      <c r="AP281" s="551">
        <v>132.46369999999999</v>
      </c>
      <c r="AQ281" s="551">
        <v>15130.003813999998</v>
      </c>
      <c r="AR281" s="551">
        <v>0.96120000000000005</v>
      </c>
    </row>
    <row r="282" spans="39:44" x14ac:dyDescent="0.25">
      <c r="AM282" s="550">
        <v>45667</v>
      </c>
      <c r="AN282" s="551">
        <v>114.93</v>
      </c>
      <c r="AO282" s="551">
        <v>659958</v>
      </c>
      <c r="AP282" s="551">
        <v>132.46369999999999</v>
      </c>
      <c r="AQ282" s="551">
        <v>15224.053040999999</v>
      </c>
      <c r="AR282" s="551">
        <v>0.96719999999999995</v>
      </c>
    </row>
    <row r="283" spans="39:44" x14ac:dyDescent="0.25">
      <c r="AM283" s="550">
        <v>45666</v>
      </c>
      <c r="AN283" s="551">
        <v>114.66</v>
      </c>
      <c r="AO283" s="551">
        <v>1017929</v>
      </c>
      <c r="AP283" s="551">
        <v>132.46369999999999</v>
      </c>
      <c r="AQ283" s="551">
        <v>15188.287841999998</v>
      </c>
      <c r="AR283" s="551">
        <v>0.96489999999999998</v>
      </c>
    </row>
    <row r="284" spans="39:44" x14ac:dyDescent="0.25">
      <c r="AM284" s="550">
        <v>45665</v>
      </c>
      <c r="AN284" s="551">
        <v>115.94</v>
      </c>
      <c r="AO284" s="551">
        <v>884208</v>
      </c>
      <c r="AP284" s="551">
        <v>132.46369999999999</v>
      </c>
      <c r="AQ284" s="551">
        <v>15357.841377999999</v>
      </c>
      <c r="AR284" s="551">
        <v>0.97570000000000001</v>
      </c>
    </row>
    <row r="285" spans="39:44" x14ac:dyDescent="0.25">
      <c r="AM285" s="550">
        <v>45664</v>
      </c>
      <c r="AN285" s="551">
        <v>116.97</v>
      </c>
      <c r="AO285" s="551">
        <v>422323</v>
      </c>
      <c r="AP285" s="551">
        <v>132.46369999999999</v>
      </c>
      <c r="AQ285" s="551">
        <v>15494.278988999999</v>
      </c>
      <c r="AR285" s="551">
        <v>0.98429999999999995</v>
      </c>
    </row>
    <row r="286" spans="39:44" x14ac:dyDescent="0.25">
      <c r="AM286" s="550">
        <v>45663</v>
      </c>
      <c r="AN286" s="551">
        <v>116.97</v>
      </c>
      <c r="AO286" s="551">
        <v>422323</v>
      </c>
      <c r="AP286" s="551">
        <v>132.46369999999999</v>
      </c>
      <c r="AQ286" s="551">
        <v>15494.278988999999</v>
      </c>
      <c r="AR286" s="551">
        <v>0.98429999999999995</v>
      </c>
    </row>
    <row r="287" spans="39:44" x14ac:dyDescent="0.25">
      <c r="AM287" s="550">
        <v>45662</v>
      </c>
      <c r="AN287" s="551">
        <v>116.97</v>
      </c>
      <c r="AO287" s="551">
        <v>422323</v>
      </c>
      <c r="AP287" s="551">
        <v>132.46369999999999</v>
      </c>
      <c r="AQ287" s="551">
        <v>15494.278988999999</v>
      </c>
      <c r="AR287" s="551">
        <v>0.98429999999999995</v>
      </c>
    </row>
    <row r="288" spans="39:44" x14ac:dyDescent="0.25">
      <c r="AM288" s="550">
        <v>45661</v>
      </c>
      <c r="AN288" s="551">
        <v>116.74</v>
      </c>
      <c r="AO288" s="551">
        <v>1268474</v>
      </c>
      <c r="AP288" s="551">
        <v>132.46369999999999</v>
      </c>
      <c r="AQ288" s="551">
        <v>15463.812337999998</v>
      </c>
      <c r="AR288" s="551">
        <v>0.98240000000000005</v>
      </c>
    </row>
    <row r="289" spans="39:44" x14ac:dyDescent="0.25">
      <c r="AM289" s="550">
        <v>45660</v>
      </c>
      <c r="AN289" s="551">
        <v>116.74</v>
      </c>
      <c r="AO289" s="551">
        <v>1268474</v>
      </c>
      <c r="AP289" s="551">
        <v>132.46369999999999</v>
      </c>
      <c r="AQ289" s="551">
        <v>15463.812337999998</v>
      </c>
      <c r="AR289" s="551">
        <v>0.98240000000000005</v>
      </c>
    </row>
    <row r="290" spans="39:44" x14ac:dyDescent="0.25">
      <c r="AM290" s="550">
        <v>45659</v>
      </c>
      <c r="AN290" s="551">
        <v>116.74</v>
      </c>
      <c r="AO290" s="551">
        <v>716220</v>
      </c>
      <c r="AP290" s="551">
        <v>132.46369999999999</v>
      </c>
      <c r="AQ290" s="551">
        <v>15463.812337999998</v>
      </c>
      <c r="AR290" s="551">
        <v>0.98240000000000005</v>
      </c>
    </row>
    <row r="291" spans="39:44" x14ac:dyDescent="0.25">
      <c r="AM291" s="550">
        <v>45658</v>
      </c>
      <c r="AN291" s="551">
        <v>116.89</v>
      </c>
      <c r="AO291" s="551">
        <v>1395095</v>
      </c>
      <c r="AP291" s="551">
        <v>132.46369999999999</v>
      </c>
      <c r="AQ291" s="551">
        <v>15483.681892999999</v>
      </c>
      <c r="AR291" s="551">
        <v>0.98370000000000002</v>
      </c>
    </row>
    <row r="292" spans="39:44" x14ac:dyDescent="0.25">
      <c r="AM292" s="550">
        <v>45657</v>
      </c>
      <c r="AN292" s="551">
        <v>116.31</v>
      </c>
      <c r="AO292" s="551">
        <v>1580385</v>
      </c>
      <c r="AP292" s="551">
        <v>132.46369999999999</v>
      </c>
      <c r="AQ292" s="551">
        <v>15406.852946999999</v>
      </c>
      <c r="AR292" s="551">
        <v>0.9788</v>
      </c>
    </row>
    <row r="293" spans="39:44" x14ac:dyDescent="0.25">
      <c r="AM293" s="550">
        <v>45656</v>
      </c>
      <c r="AN293" s="551">
        <v>116.31</v>
      </c>
      <c r="AO293" s="551">
        <v>1580385</v>
      </c>
      <c r="AP293" s="551">
        <v>132.46369999999999</v>
      </c>
      <c r="AQ293" s="551">
        <v>15406.852946999999</v>
      </c>
      <c r="AR293" s="551">
        <v>0.9788</v>
      </c>
    </row>
    <row r="294" spans="39:44" x14ac:dyDescent="0.25">
      <c r="AM294" s="550">
        <v>45655</v>
      </c>
      <c r="AN294" s="551">
        <v>116.31</v>
      </c>
      <c r="AO294" s="551">
        <v>1580385</v>
      </c>
      <c r="AP294" s="551">
        <v>132.46369999999999</v>
      </c>
      <c r="AQ294" s="551">
        <v>15406.852946999999</v>
      </c>
      <c r="AR294" s="551">
        <v>0.9788</v>
      </c>
    </row>
    <row r="295" spans="39:44" x14ac:dyDescent="0.25">
      <c r="AM295" s="550">
        <v>45654</v>
      </c>
      <c r="AN295" s="551">
        <v>112.56</v>
      </c>
      <c r="AO295" s="551">
        <v>1159616</v>
      </c>
      <c r="AP295" s="551">
        <v>132.46369999999999</v>
      </c>
      <c r="AQ295" s="551">
        <v>14910.114071999998</v>
      </c>
      <c r="AR295" s="551">
        <v>0.94720000000000004</v>
      </c>
    </row>
    <row r="296" spans="39:44" x14ac:dyDescent="0.25">
      <c r="AM296" s="550">
        <v>45653</v>
      </c>
      <c r="AN296" s="551">
        <v>109.47</v>
      </c>
      <c r="AO296" s="551">
        <v>717619</v>
      </c>
      <c r="AP296" s="551">
        <v>132.46369999999999</v>
      </c>
      <c r="AQ296" s="551">
        <v>14500.801238999999</v>
      </c>
      <c r="AR296" s="551">
        <v>0.92120000000000002</v>
      </c>
    </row>
    <row r="297" spans="39:44" x14ac:dyDescent="0.25">
      <c r="AM297" s="550">
        <v>45652</v>
      </c>
      <c r="AN297" s="551">
        <v>108.83</v>
      </c>
      <c r="AO297" s="551">
        <v>1233748</v>
      </c>
      <c r="AP297" s="551">
        <v>132.46369999999999</v>
      </c>
      <c r="AQ297" s="551">
        <v>14416.024470999999</v>
      </c>
      <c r="AR297" s="551">
        <v>0.91579999999999995</v>
      </c>
    </row>
    <row r="298" spans="39:44" x14ac:dyDescent="0.25">
      <c r="AM298" s="550">
        <v>45651</v>
      </c>
      <c r="AN298" s="551">
        <v>109.13</v>
      </c>
      <c r="AO298" s="551">
        <v>1688419</v>
      </c>
      <c r="AP298" s="551">
        <v>134.06675000000001</v>
      </c>
      <c r="AQ298" s="551">
        <v>14630.704427500001</v>
      </c>
      <c r="AR298" s="551">
        <v>0.91839999999999999</v>
      </c>
    </row>
    <row r="299" spans="39:44" x14ac:dyDescent="0.25">
      <c r="AM299" s="550">
        <v>45650</v>
      </c>
      <c r="AN299" s="551">
        <v>106.93</v>
      </c>
      <c r="AO299" s="551">
        <v>1009101</v>
      </c>
      <c r="AP299" s="551">
        <v>134.06675000000001</v>
      </c>
      <c r="AQ299" s="551">
        <v>14335.757577500002</v>
      </c>
      <c r="AR299" s="551">
        <v>0.89980000000000004</v>
      </c>
    </row>
    <row r="300" spans="39:44" x14ac:dyDescent="0.25">
      <c r="AM300" s="550">
        <v>45649</v>
      </c>
      <c r="AN300" s="551">
        <v>106.93</v>
      </c>
      <c r="AO300" s="551">
        <v>1009101</v>
      </c>
      <c r="AP300" s="551">
        <v>134.06675000000001</v>
      </c>
      <c r="AQ300" s="551">
        <v>14335.757577500002</v>
      </c>
      <c r="AR300" s="551">
        <v>0.89980000000000004</v>
      </c>
    </row>
    <row r="301" spans="39:44" x14ac:dyDescent="0.25">
      <c r="AM301" s="550">
        <v>45648</v>
      </c>
      <c r="AN301" s="551">
        <v>106.93</v>
      </c>
      <c r="AO301" s="551">
        <v>1009101</v>
      </c>
      <c r="AP301" s="551">
        <v>134.06675000000001</v>
      </c>
      <c r="AQ301" s="551">
        <v>14335.757577500002</v>
      </c>
      <c r="AR301" s="551">
        <v>0.89980000000000004</v>
      </c>
    </row>
    <row r="302" spans="39:44" x14ac:dyDescent="0.25">
      <c r="AM302" s="550">
        <v>45647</v>
      </c>
      <c r="AN302" s="551">
        <v>107.2</v>
      </c>
      <c r="AO302" s="551">
        <v>1817297</v>
      </c>
      <c r="AP302" s="551">
        <v>134.06675000000001</v>
      </c>
      <c r="AQ302" s="551">
        <v>14371.955600000001</v>
      </c>
      <c r="AR302" s="551">
        <v>0.90210000000000001</v>
      </c>
    </row>
    <row r="303" spans="39:44" x14ac:dyDescent="0.25">
      <c r="AM303" s="550">
        <v>45646</v>
      </c>
      <c r="AN303" s="551">
        <v>112.51</v>
      </c>
      <c r="AO303" s="551">
        <v>1050378</v>
      </c>
      <c r="AP303" s="551">
        <v>134.06675000000001</v>
      </c>
      <c r="AQ303" s="551">
        <v>15083.850042500002</v>
      </c>
      <c r="AR303" s="551">
        <v>0.94679999999999997</v>
      </c>
    </row>
    <row r="304" spans="39:44" x14ac:dyDescent="0.25">
      <c r="AM304" s="550">
        <v>45645</v>
      </c>
      <c r="AN304" s="551">
        <v>112.16</v>
      </c>
      <c r="AO304" s="551">
        <v>644709</v>
      </c>
      <c r="AP304" s="551">
        <v>134.06675000000001</v>
      </c>
      <c r="AQ304" s="551">
        <v>15036.92668</v>
      </c>
      <c r="AR304" s="551">
        <v>0.94389999999999996</v>
      </c>
    </row>
    <row r="305" spans="39:44" x14ac:dyDescent="0.25">
      <c r="AM305" s="550">
        <v>45644</v>
      </c>
      <c r="AN305" s="551">
        <v>111.58</v>
      </c>
      <c r="AO305" s="551">
        <v>866435</v>
      </c>
      <c r="AP305" s="551">
        <v>134.06675000000001</v>
      </c>
      <c r="AQ305" s="551">
        <v>14959.167965000001</v>
      </c>
      <c r="AR305" s="551">
        <v>0.93899999999999995</v>
      </c>
    </row>
    <row r="306" spans="39:44" x14ac:dyDescent="0.25">
      <c r="AM306" s="550">
        <v>45643</v>
      </c>
      <c r="AN306" s="551">
        <v>110.39</v>
      </c>
      <c r="AO306" s="551">
        <v>1232064</v>
      </c>
      <c r="AP306" s="551">
        <v>134.06675000000001</v>
      </c>
      <c r="AQ306" s="551">
        <v>14799.628532500001</v>
      </c>
      <c r="AR306" s="551">
        <v>0.92900000000000005</v>
      </c>
    </row>
    <row r="307" spans="39:44" x14ac:dyDescent="0.25">
      <c r="AM307" s="550">
        <v>45642</v>
      </c>
      <c r="AN307" s="551">
        <v>110.39</v>
      </c>
      <c r="AO307" s="551">
        <v>1232064</v>
      </c>
      <c r="AP307" s="551">
        <v>134.06675000000001</v>
      </c>
      <c r="AQ307" s="551">
        <v>14799.628532500001</v>
      </c>
      <c r="AR307" s="551">
        <v>0.92900000000000005</v>
      </c>
    </row>
    <row r="308" spans="39:44" x14ac:dyDescent="0.25">
      <c r="AM308" s="550">
        <v>45641</v>
      </c>
      <c r="AN308" s="551">
        <v>110.39</v>
      </c>
      <c r="AO308" s="551">
        <v>1232064</v>
      </c>
      <c r="AP308" s="551">
        <v>134.06675000000001</v>
      </c>
      <c r="AQ308" s="551">
        <v>14799.628532500001</v>
      </c>
      <c r="AR308" s="551">
        <v>0.92900000000000005</v>
      </c>
    </row>
    <row r="309" spans="39:44" x14ac:dyDescent="0.25">
      <c r="AM309" s="550">
        <v>45640</v>
      </c>
      <c r="AN309" s="551">
        <v>110.72</v>
      </c>
      <c r="AO309" s="551">
        <v>1241907</v>
      </c>
      <c r="AP309" s="551">
        <v>134.06675000000001</v>
      </c>
      <c r="AQ309" s="551">
        <v>14843.870560000001</v>
      </c>
      <c r="AR309" s="551">
        <v>0.93169999999999997</v>
      </c>
    </row>
    <row r="310" spans="39:44" x14ac:dyDescent="0.25">
      <c r="AM310" s="550">
        <v>45639</v>
      </c>
      <c r="AN310" s="551">
        <v>114.12</v>
      </c>
      <c r="AO310" s="551">
        <v>1100916</v>
      </c>
      <c r="AP310" s="551">
        <v>134.06675000000001</v>
      </c>
      <c r="AQ310" s="551">
        <v>15299.697510000002</v>
      </c>
      <c r="AR310" s="551">
        <v>0.96030000000000004</v>
      </c>
    </row>
    <row r="311" spans="39:44" x14ac:dyDescent="0.25">
      <c r="AM311" s="550">
        <v>45638</v>
      </c>
      <c r="AN311" s="551">
        <v>109.91</v>
      </c>
      <c r="AO311" s="551">
        <v>500384</v>
      </c>
      <c r="AP311" s="551">
        <v>134.06675000000001</v>
      </c>
      <c r="AQ311" s="551">
        <v>14735.276492500001</v>
      </c>
      <c r="AR311" s="551">
        <v>0.92490000000000006</v>
      </c>
    </row>
    <row r="312" spans="39:44" x14ac:dyDescent="0.25">
      <c r="AM312" s="550">
        <v>45637</v>
      </c>
      <c r="AN312" s="551">
        <v>108.04</v>
      </c>
      <c r="AO312" s="551">
        <v>575390</v>
      </c>
      <c r="AP312" s="551">
        <v>134.06675000000001</v>
      </c>
      <c r="AQ312" s="551">
        <v>14484.571670000003</v>
      </c>
      <c r="AR312" s="551">
        <v>0.90920000000000001</v>
      </c>
    </row>
    <row r="313" spans="39:44" x14ac:dyDescent="0.25">
      <c r="AM313" s="550">
        <v>45636</v>
      </c>
      <c r="AN313" s="551">
        <v>108.4</v>
      </c>
      <c r="AO313" s="551">
        <v>729546</v>
      </c>
      <c r="AP313" s="551">
        <v>134.06675000000001</v>
      </c>
      <c r="AQ313" s="551">
        <v>14532.835700000001</v>
      </c>
      <c r="AR313" s="551">
        <v>0.91220000000000001</v>
      </c>
    </row>
    <row r="314" spans="39:44" x14ac:dyDescent="0.25">
      <c r="AM314" s="550">
        <v>45635</v>
      </c>
      <c r="AN314" s="551">
        <v>108.4</v>
      </c>
      <c r="AO314" s="551">
        <v>729546</v>
      </c>
      <c r="AP314" s="551">
        <v>134.06675000000001</v>
      </c>
      <c r="AQ314" s="551">
        <v>14532.835700000001</v>
      </c>
      <c r="AR314" s="551">
        <v>0.91220000000000001</v>
      </c>
    </row>
    <row r="315" spans="39:44" x14ac:dyDescent="0.25">
      <c r="AM315" s="550">
        <v>45634</v>
      </c>
      <c r="AN315" s="551">
        <v>108.4</v>
      </c>
      <c r="AO315" s="551">
        <v>729546</v>
      </c>
      <c r="AP315" s="551">
        <v>134.06675000000001</v>
      </c>
      <c r="AQ315" s="551">
        <v>14532.835700000001</v>
      </c>
      <c r="AR315" s="551">
        <v>0.91220000000000001</v>
      </c>
    </row>
    <row r="316" spans="39:44" x14ac:dyDescent="0.25">
      <c r="AM316" s="550">
        <v>45633</v>
      </c>
      <c r="AN316" s="551">
        <v>106.8</v>
      </c>
      <c r="AO316" s="551">
        <v>769318</v>
      </c>
      <c r="AP316" s="551">
        <v>134.06675000000001</v>
      </c>
      <c r="AQ316" s="551">
        <v>14318.3289</v>
      </c>
      <c r="AR316" s="551">
        <v>0.89870000000000005</v>
      </c>
    </row>
    <row r="317" spans="39:44" x14ac:dyDescent="0.25">
      <c r="AM317" s="550">
        <v>45632</v>
      </c>
      <c r="AN317" s="551">
        <v>107.37</v>
      </c>
      <c r="AO317" s="551">
        <v>608874</v>
      </c>
      <c r="AP317" s="551">
        <v>134.06675000000001</v>
      </c>
      <c r="AQ317" s="551">
        <v>14394.746947500002</v>
      </c>
      <c r="AR317" s="551">
        <v>0.90349999999999997</v>
      </c>
    </row>
    <row r="318" spans="39:44" x14ac:dyDescent="0.25">
      <c r="AM318" s="550">
        <v>45631</v>
      </c>
      <c r="AN318" s="551">
        <v>108.46</v>
      </c>
      <c r="AO318" s="551">
        <v>1149821</v>
      </c>
      <c r="AP318" s="551">
        <v>134.06675000000001</v>
      </c>
      <c r="AQ318" s="551">
        <v>14540.879705000001</v>
      </c>
      <c r="AR318" s="551">
        <v>0.91269999999999996</v>
      </c>
    </row>
    <row r="319" spans="39:44" x14ac:dyDescent="0.25">
      <c r="AM319" s="550">
        <v>45630</v>
      </c>
      <c r="AN319" s="551">
        <v>105.93</v>
      </c>
      <c r="AO319" s="551">
        <v>451676</v>
      </c>
      <c r="AP319" s="551">
        <v>134.06675000000001</v>
      </c>
      <c r="AQ319" s="551">
        <v>14201.690827500002</v>
      </c>
      <c r="AR319" s="551">
        <v>0.89139999999999997</v>
      </c>
    </row>
    <row r="320" spans="39:44" x14ac:dyDescent="0.25">
      <c r="AM320" s="550">
        <v>45629</v>
      </c>
      <c r="AN320" s="551">
        <v>104.49</v>
      </c>
      <c r="AO320" s="551">
        <v>346417</v>
      </c>
      <c r="AP320" s="551">
        <v>134.06675000000001</v>
      </c>
      <c r="AQ320" s="551">
        <v>14008.634707500001</v>
      </c>
      <c r="AR320" s="551">
        <v>0.87929999999999997</v>
      </c>
    </row>
    <row r="321" spans="39:44" x14ac:dyDescent="0.25">
      <c r="AM321" s="550">
        <v>45628</v>
      </c>
      <c r="AN321" s="551">
        <v>104.49</v>
      </c>
      <c r="AO321" s="551">
        <v>346417</v>
      </c>
      <c r="AP321" s="551">
        <v>134.06675000000001</v>
      </c>
      <c r="AQ321" s="551">
        <v>14008.634707500001</v>
      </c>
      <c r="AR321" s="551">
        <v>0.87929999999999997</v>
      </c>
    </row>
    <row r="322" spans="39:44" x14ac:dyDescent="0.25">
      <c r="AM322" s="550">
        <v>45627</v>
      </c>
      <c r="AN322" s="551">
        <v>104.49</v>
      </c>
      <c r="AO322" s="551">
        <v>346417</v>
      </c>
      <c r="AP322" s="551">
        <v>134.06675000000001</v>
      </c>
      <c r="AQ322" s="551">
        <v>14008.634707500001</v>
      </c>
      <c r="AR322" s="551">
        <v>0.87929999999999997</v>
      </c>
    </row>
    <row r="323" spans="39:44" x14ac:dyDescent="0.25">
      <c r="AM323" s="550">
        <v>45626</v>
      </c>
      <c r="AN323" s="551">
        <v>104.89</v>
      </c>
      <c r="AO323" s="551">
        <v>446143</v>
      </c>
      <c r="AP323" s="551">
        <v>134.06675000000001</v>
      </c>
      <c r="AQ323" s="551">
        <v>14062.261407500002</v>
      </c>
      <c r="AR323" s="551">
        <v>0.88270000000000004</v>
      </c>
    </row>
    <row r="324" spans="39:44" x14ac:dyDescent="0.25">
      <c r="AM324" s="550">
        <v>45625</v>
      </c>
      <c r="AN324" s="551">
        <v>105.37</v>
      </c>
      <c r="AO324" s="551">
        <v>398092</v>
      </c>
      <c r="AP324" s="551">
        <v>134.06675000000001</v>
      </c>
      <c r="AQ324" s="551">
        <v>14126.613447500002</v>
      </c>
      <c r="AR324" s="551">
        <v>0.88670000000000004</v>
      </c>
    </row>
    <row r="325" spans="39:44" x14ac:dyDescent="0.25">
      <c r="AM325" s="550">
        <v>45624</v>
      </c>
      <c r="AN325" s="551">
        <v>106.38</v>
      </c>
      <c r="AO325" s="551">
        <v>452377</v>
      </c>
      <c r="AP325" s="551">
        <v>134.06675000000001</v>
      </c>
      <c r="AQ325" s="551">
        <v>14262.020865</v>
      </c>
      <c r="AR325" s="551">
        <v>0.8952</v>
      </c>
    </row>
    <row r="326" spans="39:44" x14ac:dyDescent="0.25">
      <c r="AM326" s="550">
        <v>45623</v>
      </c>
      <c r="AN326" s="551">
        <v>107.49</v>
      </c>
      <c r="AO326" s="551">
        <v>389378</v>
      </c>
      <c r="AP326" s="551">
        <v>134.06675000000001</v>
      </c>
      <c r="AQ326" s="551">
        <v>14410.834957500001</v>
      </c>
      <c r="AR326" s="551">
        <v>0.90459999999999996</v>
      </c>
    </row>
    <row r="327" spans="39:44" x14ac:dyDescent="0.25">
      <c r="AM327" s="550">
        <v>45622</v>
      </c>
      <c r="AN327" s="551">
        <v>107.89</v>
      </c>
      <c r="AO327" s="551">
        <v>481544</v>
      </c>
      <c r="AP327" s="551">
        <v>134.06675000000001</v>
      </c>
      <c r="AQ327" s="551">
        <v>14464.461657500002</v>
      </c>
      <c r="AR327" s="551">
        <v>0.90790000000000004</v>
      </c>
    </row>
    <row r="328" spans="39:44" x14ac:dyDescent="0.25">
      <c r="AM328" s="550">
        <v>45621</v>
      </c>
      <c r="AN328" s="551">
        <v>107.89</v>
      </c>
      <c r="AO328" s="551">
        <v>481544</v>
      </c>
      <c r="AP328" s="551">
        <v>134.06675000000001</v>
      </c>
      <c r="AQ328" s="551">
        <v>14464.461657500002</v>
      </c>
      <c r="AR328" s="551">
        <v>0.90790000000000004</v>
      </c>
    </row>
    <row r="329" spans="39:44" x14ac:dyDescent="0.25">
      <c r="AM329" s="550">
        <v>45620</v>
      </c>
      <c r="AN329" s="551">
        <v>107.89</v>
      </c>
      <c r="AO329" s="551">
        <v>481544</v>
      </c>
      <c r="AP329" s="551">
        <v>134.06675000000001</v>
      </c>
      <c r="AQ329" s="551">
        <v>14464.461657500002</v>
      </c>
      <c r="AR329" s="551">
        <v>0.90790000000000004</v>
      </c>
    </row>
    <row r="330" spans="39:44" x14ac:dyDescent="0.25">
      <c r="AM330" s="550">
        <v>45619</v>
      </c>
      <c r="AN330" s="551">
        <v>107.55</v>
      </c>
      <c r="AO330" s="551">
        <v>476864</v>
      </c>
      <c r="AP330" s="551">
        <v>134.06675000000001</v>
      </c>
      <c r="AQ330" s="551">
        <v>14418.878962500001</v>
      </c>
      <c r="AR330" s="551">
        <v>0.90510000000000002</v>
      </c>
    </row>
    <row r="331" spans="39:44" x14ac:dyDescent="0.25">
      <c r="AM331" s="550">
        <v>45618</v>
      </c>
      <c r="AN331" s="551">
        <v>107.26</v>
      </c>
      <c r="AO331" s="551">
        <v>678218</v>
      </c>
      <c r="AP331" s="551">
        <v>134.06675000000001</v>
      </c>
      <c r="AQ331" s="551">
        <v>14379.999605000003</v>
      </c>
      <c r="AR331" s="551">
        <v>0.90259999999999996</v>
      </c>
    </row>
    <row r="332" spans="39:44" x14ac:dyDescent="0.25">
      <c r="AM332" s="550">
        <v>45617</v>
      </c>
      <c r="AN332" s="551">
        <v>106.21</v>
      </c>
      <c r="AO332" s="551">
        <v>706287</v>
      </c>
      <c r="AP332" s="551">
        <v>134.06675000000001</v>
      </c>
      <c r="AQ332" s="551">
        <v>14239.2295175</v>
      </c>
      <c r="AR332" s="551">
        <v>0.89380000000000004</v>
      </c>
    </row>
    <row r="333" spans="39:44" x14ac:dyDescent="0.25">
      <c r="AM333" s="550">
        <v>45616</v>
      </c>
      <c r="AN333" s="551">
        <v>106.36</v>
      </c>
      <c r="AO333" s="551">
        <v>707607</v>
      </c>
      <c r="AP333" s="551">
        <v>134.06675000000001</v>
      </c>
      <c r="AQ333" s="551">
        <v>14259.339530000001</v>
      </c>
      <c r="AR333" s="551">
        <v>0.89500000000000002</v>
      </c>
    </row>
    <row r="334" spans="39:44" x14ac:dyDescent="0.25">
      <c r="AM334" s="550">
        <v>45615</v>
      </c>
      <c r="AN334" s="551">
        <v>105.82</v>
      </c>
      <c r="AO334" s="551">
        <v>571746</v>
      </c>
      <c r="AP334" s="551">
        <v>134.06675000000001</v>
      </c>
      <c r="AQ334" s="551">
        <v>14186.943485</v>
      </c>
      <c r="AR334" s="551">
        <v>0.89049999999999996</v>
      </c>
    </row>
    <row r="335" spans="39:44" x14ac:dyDescent="0.25">
      <c r="AM335" s="550">
        <v>45614</v>
      </c>
      <c r="AN335" s="551">
        <v>105.82</v>
      </c>
      <c r="AO335" s="551">
        <v>571746</v>
      </c>
      <c r="AP335" s="551">
        <v>134.06675000000001</v>
      </c>
      <c r="AQ335" s="551">
        <v>14186.943485</v>
      </c>
      <c r="AR335" s="551">
        <v>0.89049999999999996</v>
      </c>
    </row>
    <row r="336" spans="39:44" x14ac:dyDescent="0.25">
      <c r="AM336" s="550">
        <v>45613</v>
      </c>
      <c r="AN336" s="551">
        <v>105.82</v>
      </c>
      <c r="AO336" s="551">
        <v>571746</v>
      </c>
      <c r="AP336" s="551">
        <v>134.06675000000001</v>
      </c>
      <c r="AQ336" s="551">
        <v>14186.943485</v>
      </c>
      <c r="AR336" s="551">
        <v>0.89049999999999996</v>
      </c>
    </row>
    <row r="337" spans="39:44" x14ac:dyDescent="0.25">
      <c r="AM337" s="550">
        <v>45612</v>
      </c>
      <c r="AN337" s="551">
        <v>104.14</v>
      </c>
      <c r="AO337" s="551">
        <v>603687</v>
      </c>
      <c r="AP337" s="551">
        <v>134.06675000000001</v>
      </c>
      <c r="AQ337" s="551">
        <v>13961.711345000002</v>
      </c>
      <c r="AR337" s="551">
        <v>0.87639999999999996</v>
      </c>
    </row>
    <row r="338" spans="39:44" x14ac:dyDescent="0.25">
      <c r="AM338" s="550">
        <v>45611</v>
      </c>
      <c r="AN338" s="551">
        <v>105.04</v>
      </c>
      <c r="AO338" s="551">
        <v>518062</v>
      </c>
      <c r="AP338" s="551">
        <v>134.06675000000001</v>
      </c>
      <c r="AQ338" s="551">
        <v>14082.371420000003</v>
      </c>
      <c r="AR338" s="551">
        <v>0.88390000000000002</v>
      </c>
    </row>
    <row r="339" spans="39:44" x14ac:dyDescent="0.25">
      <c r="AM339" s="550">
        <v>45610</v>
      </c>
      <c r="AN339" s="551">
        <v>104.65</v>
      </c>
      <c r="AO339" s="551">
        <v>678289</v>
      </c>
      <c r="AP339" s="551">
        <v>134.06675000000001</v>
      </c>
      <c r="AQ339" s="551">
        <v>14030.085387500003</v>
      </c>
      <c r="AR339" s="551">
        <v>0.88070000000000004</v>
      </c>
    </row>
    <row r="340" spans="39:44" x14ac:dyDescent="0.25">
      <c r="AM340" s="550">
        <v>45609</v>
      </c>
      <c r="AN340" s="551">
        <v>105.2</v>
      </c>
      <c r="AO340" s="551">
        <v>768778</v>
      </c>
      <c r="AP340" s="551">
        <v>134.06675000000001</v>
      </c>
      <c r="AQ340" s="551">
        <v>14103.822100000001</v>
      </c>
      <c r="AR340" s="551">
        <v>0.88529999999999998</v>
      </c>
    </row>
    <row r="341" spans="39:44" x14ac:dyDescent="0.25">
      <c r="AM341" s="550">
        <v>45608</v>
      </c>
      <c r="AN341" s="551">
        <v>103.74</v>
      </c>
      <c r="AO341" s="551">
        <v>515885</v>
      </c>
      <c r="AP341" s="551">
        <v>134.06675000000001</v>
      </c>
      <c r="AQ341" s="551">
        <v>13908.084645000001</v>
      </c>
      <c r="AR341" s="551">
        <v>0.873</v>
      </c>
    </row>
    <row r="342" spans="39:44" x14ac:dyDescent="0.25">
      <c r="AM342" s="550">
        <v>45607</v>
      </c>
      <c r="AN342" s="551">
        <v>103.74</v>
      </c>
      <c r="AO342" s="551">
        <v>515885</v>
      </c>
      <c r="AP342" s="551">
        <v>134.06675000000001</v>
      </c>
      <c r="AQ342" s="551">
        <v>13908.084645000001</v>
      </c>
      <c r="AR342" s="551">
        <v>0.873</v>
      </c>
    </row>
    <row r="343" spans="39:44" x14ac:dyDescent="0.25">
      <c r="AM343" s="550">
        <v>45606</v>
      </c>
      <c r="AN343" s="551">
        <v>103.74</v>
      </c>
      <c r="AO343" s="551">
        <v>515885</v>
      </c>
      <c r="AP343" s="551">
        <v>134.06675000000001</v>
      </c>
      <c r="AQ343" s="551">
        <v>13908.084645000001</v>
      </c>
      <c r="AR343" s="551">
        <v>0.873</v>
      </c>
    </row>
    <row r="344" spans="39:44" x14ac:dyDescent="0.25">
      <c r="AM344" s="550">
        <v>45605</v>
      </c>
      <c r="AN344" s="551">
        <v>102.57</v>
      </c>
      <c r="AO344" s="551">
        <v>1123542</v>
      </c>
      <c r="AP344" s="551">
        <v>134.06675000000001</v>
      </c>
      <c r="AQ344" s="551">
        <v>13751.2265475</v>
      </c>
      <c r="AR344" s="551">
        <v>0.86309999999999998</v>
      </c>
    </row>
    <row r="345" spans="39:44" x14ac:dyDescent="0.25">
      <c r="AM345" s="550">
        <v>45604</v>
      </c>
      <c r="AN345" s="551">
        <v>101.97</v>
      </c>
      <c r="AO345" s="551">
        <v>584827</v>
      </c>
      <c r="AP345" s="551">
        <v>134.06675000000001</v>
      </c>
      <c r="AQ345" s="551">
        <v>13670.786497500001</v>
      </c>
      <c r="AR345" s="551">
        <v>0.85809999999999997</v>
      </c>
    </row>
    <row r="346" spans="39:44" x14ac:dyDescent="0.25">
      <c r="AM346" s="550">
        <v>45603</v>
      </c>
      <c r="AN346" s="551">
        <v>102.59</v>
      </c>
      <c r="AO346" s="551">
        <v>587693</v>
      </c>
      <c r="AP346" s="551">
        <v>134.06675000000001</v>
      </c>
      <c r="AQ346" s="551">
        <v>13753.907882500002</v>
      </c>
      <c r="AR346" s="551">
        <v>0.86329999999999996</v>
      </c>
    </row>
    <row r="347" spans="39:44" x14ac:dyDescent="0.25">
      <c r="AM347" s="550">
        <v>45602</v>
      </c>
      <c r="AN347" s="551">
        <v>103.27</v>
      </c>
      <c r="AO347" s="551">
        <v>929492</v>
      </c>
      <c r="AP347" s="551">
        <v>134.06675000000001</v>
      </c>
      <c r="AQ347" s="551">
        <v>13845.073272500002</v>
      </c>
      <c r="AR347" s="551">
        <v>0.86899999999999999</v>
      </c>
    </row>
    <row r="348" spans="39:44" x14ac:dyDescent="0.25">
      <c r="AM348" s="550">
        <v>45601</v>
      </c>
      <c r="AN348" s="551">
        <v>103.23</v>
      </c>
      <c r="AO348" s="551">
        <v>1189096</v>
      </c>
      <c r="AP348" s="551">
        <v>134.06675000000001</v>
      </c>
      <c r="AQ348" s="551">
        <v>13839.710602500001</v>
      </c>
      <c r="AR348" s="551">
        <v>0.88959999999999995</v>
      </c>
    </row>
    <row r="349" spans="39:44" x14ac:dyDescent="0.25">
      <c r="AM349" s="550">
        <v>45600</v>
      </c>
      <c r="AN349" s="551">
        <v>103.23</v>
      </c>
      <c r="AO349" s="551">
        <v>1189096</v>
      </c>
      <c r="AP349" s="551">
        <v>134.06675000000001</v>
      </c>
      <c r="AQ349" s="551">
        <v>13839.710602500001</v>
      </c>
      <c r="AR349" s="551">
        <v>0.88959999999999995</v>
      </c>
    </row>
    <row r="350" spans="39:44" x14ac:dyDescent="0.25">
      <c r="AM350" s="550">
        <v>45599</v>
      </c>
      <c r="AN350" s="551">
        <v>103.23</v>
      </c>
      <c r="AO350" s="551">
        <v>1189096</v>
      </c>
      <c r="AP350" s="551">
        <v>134.06675000000001</v>
      </c>
      <c r="AQ350" s="551">
        <v>13839.710602500001</v>
      </c>
      <c r="AR350" s="551">
        <v>0.88959999999999995</v>
      </c>
    </row>
    <row r="351" spans="39:44" x14ac:dyDescent="0.25">
      <c r="AM351" s="550">
        <v>45598</v>
      </c>
      <c r="AN351" s="551">
        <v>103.19</v>
      </c>
      <c r="AO351" s="551">
        <v>1096913</v>
      </c>
      <c r="AP351" s="551">
        <v>134.06675000000001</v>
      </c>
      <c r="AQ351" s="551">
        <v>13834.347932500001</v>
      </c>
      <c r="AR351" s="551">
        <v>0.88929999999999998</v>
      </c>
    </row>
    <row r="352" spans="39:44" x14ac:dyDescent="0.25">
      <c r="AM352" s="550">
        <v>45597</v>
      </c>
      <c r="AN352" s="551">
        <v>101.06</v>
      </c>
      <c r="AO352" s="551">
        <v>1139779</v>
      </c>
      <c r="AP352" s="551">
        <v>134.06675000000001</v>
      </c>
      <c r="AQ352" s="551">
        <v>13548.785755000001</v>
      </c>
      <c r="AR352" s="551">
        <v>0.87090000000000001</v>
      </c>
    </row>
    <row r="353" spans="39:44" x14ac:dyDescent="0.25">
      <c r="AM353" s="550">
        <v>45596</v>
      </c>
      <c r="AN353" s="551">
        <v>102.24</v>
      </c>
      <c r="AO353" s="551">
        <v>1020660</v>
      </c>
      <c r="AP353" s="551">
        <v>134.06675000000001</v>
      </c>
      <c r="AQ353" s="551">
        <v>13706.98452</v>
      </c>
      <c r="AR353" s="551">
        <v>0.88109999999999999</v>
      </c>
    </row>
    <row r="354" spans="39:44" x14ac:dyDescent="0.25">
      <c r="AM354" s="550">
        <v>45595</v>
      </c>
      <c r="AN354" s="551">
        <v>101.97</v>
      </c>
      <c r="AO354" s="551">
        <v>711640</v>
      </c>
      <c r="AP354" s="551">
        <v>134.06675000000001</v>
      </c>
      <c r="AQ354" s="551">
        <v>13670.786497500001</v>
      </c>
      <c r="AR354" s="551">
        <v>0.87880000000000003</v>
      </c>
    </row>
    <row r="355" spans="39:44" x14ac:dyDescent="0.25">
      <c r="AM355" s="550">
        <v>45594</v>
      </c>
      <c r="AN355" s="551">
        <v>101.19</v>
      </c>
      <c r="AO355" s="551">
        <v>1681833</v>
      </c>
      <c r="AP355" s="551">
        <v>134.06675000000001</v>
      </c>
      <c r="AQ355" s="551">
        <v>13566.214432500001</v>
      </c>
      <c r="AR355" s="551">
        <v>0.87209999999999999</v>
      </c>
    </row>
    <row r="356" spans="39:44" x14ac:dyDescent="0.25">
      <c r="AM356" s="550">
        <v>45593</v>
      </c>
      <c r="AN356" s="551">
        <v>101.19</v>
      </c>
      <c r="AO356" s="551">
        <v>1681833</v>
      </c>
      <c r="AP356" s="551">
        <v>134.06675000000001</v>
      </c>
      <c r="AQ356" s="551">
        <v>13566.214432500001</v>
      </c>
      <c r="AR356" s="551">
        <v>0.87209999999999999</v>
      </c>
    </row>
    <row r="357" spans="39:44" x14ac:dyDescent="0.25">
      <c r="AM357" s="550">
        <v>45592</v>
      </c>
      <c r="AN357" s="551">
        <v>101.19</v>
      </c>
      <c r="AO357" s="551">
        <v>1681833</v>
      </c>
      <c r="AP357" s="551">
        <v>134.06675000000001</v>
      </c>
      <c r="AQ357" s="551">
        <v>13566.214432500001</v>
      </c>
      <c r="AR357" s="551">
        <v>0.87209999999999999</v>
      </c>
    </row>
    <row r="358" spans="39:44" x14ac:dyDescent="0.25">
      <c r="AM358" s="550">
        <v>45591</v>
      </c>
      <c r="AN358" s="551">
        <v>101.24</v>
      </c>
      <c r="AO358" s="551">
        <v>1204064</v>
      </c>
      <c r="AP358" s="551">
        <v>134.06675000000001</v>
      </c>
      <c r="AQ358" s="551">
        <v>13572.91777</v>
      </c>
      <c r="AR358" s="551">
        <v>0.87250000000000005</v>
      </c>
    </row>
    <row r="359" spans="39:44" x14ac:dyDescent="0.25">
      <c r="AM359" s="550">
        <v>45590</v>
      </c>
      <c r="AN359" s="551">
        <v>98.24</v>
      </c>
      <c r="AO359" s="551">
        <v>1143757</v>
      </c>
      <c r="AP359" s="551">
        <v>134.06675000000001</v>
      </c>
      <c r="AQ359" s="551">
        <v>13170.71752</v>
      </c>
      <c r="AR359" s="551">
        <v>0.84660000000000002</v>
      </c>
    </row>
    <row r="360" spans="39:44" x14ac:dyDescent="0.25">
      <c r="AM360" s="550">
        <v>45589</v>
      </c>
      <c r="AN360" s="551">
        <v>97.54</v>
      </c>
      <c r="AO360" s="551">
        <v>759061</v>
      </c>
      <c r="AP360" s="551">
        <v>134.06675000000001</v>
      </c>
      <c r="AQ360" s="551">
        <v>13076.870795000003</v>
      </c>
      <c r="AR360" s="551">
        <v>0.84060000000000001</v>
      </c>
    </row>
    <row r="361" spans="39:44" x14ac:dyDescent="0.25">
      <c r="AM361" s="550">
        <v>45588</v>
      </c>
      <c r="AN361" s="551">
        <v>98.41</v>
      </c>
      <c r="AO361" s="551">
        <v>465974</v>
      </c>
      <c r="AP361" s="551">
        <v>134.06675000000001</v>
      </c>
      <c r="AQ361" s="551">
        <v>13193.508867500001</v>
      </c>
      <c r="AR361" s="551">
        <v>0.84809999999999997</v>
      </c>
    </row>
    <row r="362" spans="39:44" x14ac:dyDescent="0.25">
      <c r="AM362" s="550">
        <v>45587</v>
      </c>
      <c r="AN362" s="551">
        <v>97.82</v>
      </c>
      <c r="AO362" s="551">
        <v>571119</v>
      </c>
      <c r="AP362" s="551">
        <v>134.06675000000001</v>
      </c>
      <c r="AQ362" s="551">
        <v>13114.409485</v>
      </c>
      <c r="AR362" s="551">
        <v>0.84299999999999997</v>
      </c>
    </row>
    <row r="363" spans="39:44" x14ac:dyDescent="0.25">
      <c r="AM363" s="550">
        <v>45586</v>
      </c>
      <c r="AN363" s="551">
        <v>97.82</v>
      </c>
      <c r="AO363" s="551">
        <v>571119</v>
      </c>
      <c r="AP363" s="551">
        <v>134.06675000000001</v>
      </c>
      <c r="AQ363" s="551">
        <v>13114.409485</v>
      </c>
      <c r="AR363" s="551">
        <v>0.84299999999999997</v>
      </c>
    </row>
    <row r="364" spans="39:44" x14ac:dyDescent="0.25">
      <c r="AM364" s="550">
        <v>45585</v>
      </c>
      <c r="AN364" s="551">
        <v>97.82</v>
      </c>
      <c r="AO364" s="551">
        <v>571119</v>
      </c>
      <c r="AP364" s="551">
        <v>134.06675000000001</v>
      </c>
      <c r="AQ364" s="551">
        <v>13114.409485</v>
      </c>
      <c r="AR364" s="551">
        <v>0.84299999999999997</v>
      </c>
    </row>
    <row r="365" spans="39:44" x14ac:dyDescent="0.25">
      <c r="AM365" s="550">
        <v>45584</v>
      </c>
      <c r="AN365" s="551">
        <v>96.53</v>
      </c>
      <c r="AO365" s="551">
        <v>712239</v>
      </c>
      <c r="AP365" s="551">
        <v>134.06675000000001</v>
      </c>
      <c r="AQ365" s="551">
        <v>12941.463377500002</v>
      </c>
      <c r="AR365" s="551">
        <v>0.83189999999999997</v>
      </c>
    </row>
    <row r="366" spans="39:44" x14ac:dyDescent="0.25">
      <c r="AM366" s="550">
        <v>45583</v>
      </c>
      <c r="AN366" s="551">
        <v>95.82</v>
      </c>
      <c r="AO366" s="551">
        <v>654835</v>
      </c>
      <c r="AP366" s="551">
        <v>134.06675000000001</v>
      </c>
      <c r="AQ366" s="551">
        <v>12846.275985</v>
      </c>
      <c r="AR366" s="551">
        <v>0.82579999999999998</v>
      </c>
    </row>
    <row r="367" spans="39:44" x14ac:dyDescent="0.25">
      <c r="AM367" s="550">
        <v>45582</v>
      </c>
      <c r="AN367" s="551">
        <v>95</v>
      </c>
      <c r="AO367" s="551">
        <v>575238</v>
      </c>
      <c r="AP367" s="551">
        <v>134.06675000000001</v>
      </c>
      <c r="AQ367" s="551">
        <v>12736.341250000001</v>
      </c>
      <c r="AR367" s="551">
        <v>0.81869999999999998</v>
      </c>
    </row>
    <row r="368" spans="39:44" x14ac:dyDescent="0.25">
      <c r="AM368" s="550">
        <v>45581</v>
      </c>
      <c r="AN368" s="551">
        <v>94.44</v>
      </c>
      <c r="AO368" s="551">
        <v>608348</v>
      </c>
      <c r="AP368" s="551">
        <v>134.06675000000001</v>
      </c>
      <c r="AQ368" s="551">
        <v>12661.263870000001</v>
      </c>
      <c r="AR368" s="551">
        <v>0.81389999999999996</v>
      </c>
    </row>
    <row r="369" spans="39:44" x14ac:dyDescent="0.25">
      <c r="AM369" s="550">
        <v>45580</v>
      </c>
      <c r="AN369" s="551">
        <v>94.05</v>
      </c>
      <c r="AO369" s="551">
        <v>701056</v>
      </c>
      <c r="AP369" s="551">
        <v>134.06675000000001</v>
      </c>
      <c r="AQ369" s="551">
        <v>12608.977837500001</v>
      </c>
      <c r="AR369" s="551">
        <v>0.8105</v>
      </c>
    </row>
    <row r="370" spans="39:44" x14ac:dyDescent="0.25">
      <c r="AM370" s="550">
        <v>45579</v>
      </c>
      <c r="AN370" s="551">
        <v>94.05</v>
      </c>
      <c r="AO370" s="551">
        <v>701056</v>
      </c>
      <c r="AP370" s="551">
        <v>134.06675000000001</v>
      </c>
      <c r="AQ370" s="551">
        <v>12608.977837500001</v>
      </c>
      <c r="AR370" s="551">
        <v>0.8105</v>
      </c>
    </row>
    <row r="371" spans="39:44" x14ac:dyDescent="0.25">
      <c r="AM371" s="550">
        <v>45578</v>
      </c>
      <c r="AN371" s="551">
        <v>94.05</v>
      </c>
      <c r="AO371" s="551">
        <v>701056</v>
      </c>
      <c r="AP371" s="551">
        <v>134.06675000000001</v>
      </c>
      <c r="AQ371" s="551">
        <v>12608.977837500001</v>
      </c>
      <c r="AR371" s="551">
        <v>0.8105</v>
      </c>
    </row>
    <row r="372" spans="39:44" x14ac:dyDescent="0.25">
      <c r="AM372" s="550">
        <v>45577</v>
      </c>
      <c r="AN372" s="551">
        <v>95.6</v>
      </c>
      <c r="AO372" s="551">
        <v>495290</v>
      </c>
      <c r="AP372" s="551">
        <v>134.06675000000001</v>
      </c>
      <c r="AQ372" s="551">
        <v>12816.781300000001</v>
      </c>
      <c r="AR372" s="551">
        <v>0.82389999999999997</v>
      </c>
    </row>
    <row r="373" spans="39:44" x14ac:dyDescent="0.25">
      <c r="AM373" s="550">
        <v>45576</v>
      </c>
      <c r="AN373" s="551">
        <v>96.43</v>
      </c>
      <c r="AO373" s="551">
        <v>782023</v>
      </c>
      <c r="AP373" s="551">
        <v>134.06675000000001</v>
      </c>
      <c r="AQ373" s="551">
        <v>12928.056702500002</v>
      </c>
      <c r="AR373" s="551">
        <v>0.83099999999999996</v>
      </c>
    </row>
    <row r="374" spans="39:44" x14ac:dyDescent="0.25">
      <c r="AM374" s="550">
        <v>45575</v>
      </c>
      <c r="AN374" s="551">
        <v>97.61</v>
      </c>
      <c r="AO374" s="551">
        <v>954825</v>
      </c>
      <c r="AP374" s="551">
        <v>134.06675000000001</v>
      </c>
      <c r="AQ374" s="551">
        <v>13086.255467500001</v>
      </c>
      <c r="AR374" s="551">
        <v>0.84119999999999995</v>
      </c>
    </row>
    <row r="375" spans="39:44" x14ac:dyDescent="0.25">
      <c r="AM375" s="550">
        <v>45574</v>
      </c>
      <c r="AN375" s="551">
        <v>100.14</v>
      </c>
      <c r="AO375" s="551">
        <v>1301479</v>
      </c>
      <c r="AP375" s="551">
        <v>134.06675000000001</v>
      </c>
      <c r="AQ375" s="551">
        <v>13425.444345000002</v>
      </c>
      <c r="AR375" s="551">
        <v>0.86299999999999999</v>
      </c>
    </row>
    <row r="376" spans="39:44" x14ac:dyDescent="0.25">
      <c r="AM376" s="550">
        <v>45573</v>
      </c>
      <c r="AN376" s="551">
        <v>100.14</v>
      </c>
      <c r="AO376" s="551">
        <v>1301479</v>
      </c>
      <c r="AP376" s="551">
        <v>134.06675000000001</v>
      </c>
      <c r="AQ376" s="551">
        <v>13425.444345000002</v>
      </c>
      <c r="AR376" s="551">
        <v>0.86299999999999999</v>
      </c>
    </row>
    <row r="377" spans="39:44" x14ac:dyDescent="0.25">
      <c r="AM377" s="550">
        <v>45572</v>
      </c>
      <c r="AN377" s="551">
        <v>100.14</v>
      </c>
      <c r="AO377" s="551">
        <v>1301479</v>
      </c>
      <c r="AP377" s="551">
        <v>134.06675000000001</v>
      </c>
      <c r="AQ377" s="551">
        <v>13425.444345000002</v>
      </c>
      <c r="AR377" s="551">
        <v>0.86299999999999999</v>
      </c>
    </row>
    <row r="378" spans="39:44" x14ac:dyDescent="0.25">
      <c r="AM378" s="550">
        <v>45571</v>
      </c>
      <c r="AN378" s="551">
        <v>100.14</v>
      </c>
      <c r="AO378" s="551">
        <v>1301479</v>
      </c>
      <c r="AP378" s="551">
        <v>134.06675000000001</v>
      </c>
      <c r="AQ378" s="551">
        <v>13425.444345000002</v>
      </c>
      <c r="AR378" s="551">
        <v>0.86299999999999999</v>
      </c>
    </row>
    <row r="379" spans="39:44" x14ac:dyDescent="0.25">
      <c r="AM379" s="550">
        <v>45570</v>
      </c>
      <c r="AN379" s="551">
        <v>99.53</v>
      </c>
      <c r="AO379" s="551">
        <v>939362</v>
      </c>
      <c r="AP379" s="551">
        <v>134.06675000000001</v>
      </c>
      <c r="AQ379" s="551">
        <v>13343.663627500002</v>
      </c>
      <c r="AR379" s="551">
        <v>0.85780000000000001</v>
      </c>
    </row>
    <row r="380" spans="39:44" x14ac:dyDescent="0.25">
      <c r="AM380" s="550">
        <v>45569</v>
      </c>
      <c r="AN380" s="551">
        <v>99.87</v>
      </c>
      <c r="AO380" s="551">
        <v>1101652</v>
      </c>
      <c r="AP380" s="551">
        <v>134.06675000000001</v>
      </c>
      <c r="AQ380" s="551">
        <v>13389.246322500001</v>
      </c>
      <c r="AR380" s="551">
        <v>0.86070000000000002</v>
      </c>
    </row>
    <row r="381" spans="39:44" x14ac:dyDescent="0.25">
      <c r="AM381" s="550">
        <v>45568</v>
      </c>
      <c r="AN381" s="551">
        <v>101.66</v>
      </c>
      <c r="AO381" s="551">
        <v>1042345</v>
      </c>
      <c r="AP381" s="551">
        <v>134.06675000000001</v>
      </c>
      <c r="AQ381" s="551">
        <v>13629.225805</v>
      </c>
      <c r="AR381" s="551">
        <v>0.87609999999999999</v>
      </c>
    </row>
    <row r="382" spans="39:44" x14ac:dyDescent="0.25">
      <c r="AM382" s="550">
        <v>45567</v>
      </c>
      <c r="AN382" s="551">
        <v>99.58</v>
      </c>
      <c r="AO382" s="551">
        <v>748063</v>
      </c>
      <c r="AP382" s="551">
        <v>134.06675000000001</v>
      </c>
      <c r="AQ382" s="551">
        <v>13350.366965000001</v>
      </c>
      <c r="AR382" s="551">
        <v>0.85819999999999996</v>
      </c>
    </row>
    <row r="383" spans="39:44" x14ac:dyDescent="0.25">
      <c r="AM383" s="550">
        <v>45566</v>
      </c>
      <c r="AN383" s="551">
        <v>98.16</v>
      </c>
      <c r="AO383" s="551">
        <v>342169</v>
      </c>
      <c r="AP383" s="551">
        <v>134.06675000000001</v>
      </c>
      <c r="AQ383" s="551">
        <v>13159.992180000001</v>
      </c>
      <c r="AR383" s="551">
        <v>0.84589999999999999</v>
      </c>
    </row>
    <row r="384" spans="39:44" x14ac:dyDescent="0.25">
      <c r="AM384" s="550">
        <v>45565</v>
      </c>
      <c r="AN384" s="551">
        <v>98.16</v>
      </c>
      <c r="AO384" s="551">
        <v>342169</v>
      </c>
      <c r="AP384" s="551">
        <v>134.06675000000001</v>
      </c>
      <c r="AQ384" s="551">
        <v>13159.992180000001</v>
      </c>
      <c r="AR384" s="551">
        <v>0.84589999999999999</v>
      </c>
    </row>
    <row r="385" spans="39:44" x14ac:dyDescent="0.25">
      <c r="AM385" s="550">
        <v>45564</v>
      </c>
      <c r="AN385" s="551">
        <v>98.16</v>
      </c>
      <c r="AO385" s="551">
        <v>342169</v>
      </c>
      <c r="AP385" s="551">
        <v>134.06675000000001</v>
      </c>
      <c r="AQ385" s="551">
        <v>13159.992180000001</v>
      </c>
      <c r="AR385" s="551">
        <v>0.84589999999999999</v>
      </c>
    </row>
    <row r="386" spans="39:44" x14ac:dyDescent="0.25">
      <c r="AM386" s="550">
        <v>45563</v>
      </c>
      <c r="AN386" s="551">
        <v>96.43</v>
      </c>
      <c r="AO386" s="551">
        <v>395036</v>
      </c>
      <c r="AP386" s="551">
        <v>134.06675000000001</v>
      </c>
      <c r="AQ386" s="551">
        <v>12928.056702500002</v>
      </c>
      <c r="AR386" s="551">
        <v>0.83099999999999996</v>
      </c>
    </row>
    <row r="387" spans="39:44" x14ac:dyDescent="0.25">
      <c r="AM387" s="550">
        <v>45562</v>
      </c>
      <c r="AN387" s="551">
        <v>97.21</v>
      </c>
      <c r="AO387" s="551">
        <v>454436</v>
      </c>
      <c r="AP387" s="551">
        <v>134.06675000000001</v>
      </c>
      <c r="AQ387" s="551">
        <v>13032.6287675</v>
      </c>
      <c r="AR387" s="551">
        <v>0.83779999999999999</v>
      </c>
    </row>
    <row r="388" spans="39:44" x14ac:dyDescent="0.25">
      <c r="AM388" s="550">
        <v>45561</v>
      </c>
      <c r="AN388" s="551">
        <v>96.43</v>
      </c>
      <c r="AO388" s="551">
        <v>330253</v>
      </c>
      <c r="AP388" s="551">
        <v>134.06675000000001</v>
      </c>
      <c r="AQ388" s="551">
        <v>12928.056702500002</v>
      </c>
      <c r="AR388" s="551">
        <v>0.83099999999999996</v>
      </c>
    </row>
    <row r="389" spans="39:44" x14ac:dyDescent="0.25">
      <c r="AM389" s="550">
        <v>45560</v>
      </c>
      <c r="AN389" s="551">
        <v>97.62</v>
      </c>
      <c r="AO389" s="551">
        <v>433201</v>
      </c>
      <c r="AP389" s="551">
        <v>134.06675000000001</v>
      </c>
      <c r="AQ389" s="551">
        <v>13087.596135000002</v>
      </c>
      <c r="AR389" s="551">
        <v>0.84130000000000005</v>
      </c>
    </row>
    <row r="390" spans="39:44" x14ac:dyDescent="0.25">
      <c r="AM390" s="550">
        <v>45559</v>
      </c>
      <c r="AN390" s="551">
        <v>96.46</v>
      </c>
      <c r="AO390" s="551">
        <v>406617</v>
      </c>
      <c r="AP390" s="551">
        <v>134.06675000000001</v>
      </c>
      <c r="AQ390" s="551">
        <v>12932.078705</v>
      </c>
      <c r="AR390" s="551">
        <v>0.83130000000000004</v>
      </c>
    </row>
    <row r="391" spans="39:44" x14ac:dyDescent="0.25">
      <c r="AM391" s="550">
        <v>45558</v>
      </c>
      <c r="AN391" s="551">
        <v>96.46</v>
      </c>
      <c r="AO391" s="551">
        <v>406617</v>
      </c>
      <c r="AP391" s="551">
        <v>134.06675000000001</v>
      </c>
      <c r="AQ391" s="551">
        <v>12932.078705</v>
      </c>
      <c r="AR391" s="551">
        <v>0.83130000000000004</v>
      </c>
    </row>
    <row r="392" spans="39:44" x14ac:dyDescent="0.25">
      <c r="AM392" s="550">
        <v>45557</v>
      </c>
      <c r="AN392" s="551">
        <v>96.46</v>
      </c>
      <c r="AO392" s="551">
        <v>406617</v>
      </c>
      <c r="AP392" s="551">
        <v>134.06675000000001</v>
      </c>
      <c r="AQ392" s="551">
        <v>12932.078705</v>
      </c>
      <c r="AR392" s="551">
        <v>0.83130000000000004</v>
      </c>
    </row>
    <row r="393" spans="39:44" x14ac:dyDescent="0.25">
      <c r="AM393" s="550">
        <v>45556</v>
      </c>
      <c r="AN393" s="551">
        <v>96.43</v>
      </c>
      <c r="AO393" s="551">
        <v>624354</v>
      </c>
      <c r="AP393" s="551">
        <v>134.06675000000001</v>
      </c>
      <c r="AQ393" s="551">
        <v>12928.056702500002</v>
      </c>
      <c r="AR393" s="551">
        <v>0.83099999999999996</v>
      </c>
    </row>
    <row r="394" spans="39:44" x14ac:dyDescent="0.25">
      <c r="AM394" s="550">
        <v>45555</v>
      </c>
      <c r="AN394" s="551">
        <v>95.44</v>
      </c>
      <c r="AO394" s="551">
        <v>1085205</v>
      </c>
      <c r="AP394" s="551">
        <v>134.06675000000001</v>
      </c>
      <c r="AQ394" s="551">
        <v>12795.330620000001</v>
      </c>
      <c r="AR394" s="551">
        <v>0.82250000000000001</v>
      </c>
    </row>
    <row r="395" spans="39:44" x14ac:dyDescent="0.25">
      <c r="AM395" s="550">
        <v>45554</v>
      </c>
      <c r="AN395" s="551">
        <v>95.18</v>
      </c>
      <c r="AO395" s="551">
        <v>639921</v>
      </c>
      <c r="AP395" s="551">
        <v>134.06675000000001</v>
      </c>
      <c r="AQ395" s="551">
        <v>12760.473265000002</v>
      </c>
      <c r="AR395" s="551">
        <v>0.82030000000000003</v>
      </c>
    </row>
    <row r="396" spans="39:44" x14ac:dyDescent="0.25">
      <c r="AM396" s="550">
        <v>45553</v>
      </c>
      <c r="AN396" s="551">
        <v>94.95</v>
      </c>
      <c r="AO396" s="551">
        <v>977788</v>
      </c>
      <c r="AP396" s="551">
        <v>134.06675000000001</v>
      </c>
      <c r="AQ396" s="551">
        <v>12729.637912500002</v>
      </c>
      <c r="AR396" s="551">
        <v>0.81830000000000003</v>
      </c>
    </row>
    <row r="397" spans="39:44" x14ac:dyDescent="0.25">
      <c r="AM397" s="550">
        <v>45552</v>
      </c>
      <c r="AN397" s="551">
        <v>96.58</v>
      </c>
      <c r="AO397" s="551">
        <v>2437311</v>
      </c>
      <c r="AP397" s="551">
        <v>134.06675000000001</v>
      </c>
      <c r="AQ397" s="551">
        <v>12948.166715000001</v>
      </c>
      <c r="AR397" s="551">
        <v>0.83230000000000004</v>
      </c>
    </row>
    <row r="398" spans="39:44" x14ac:dyDescent="0.25">
      <c r="AM398" s="550">
        <v>45551</v>
      </c>
      <c r="AN398" s="551">
        <v>96.58</v>
      </c>
      <c r="AO398" s="551">
        <v>2437311</v>
      </c>
      <c r="AP398" s="551">
        <v>134.06675000000001</v>
      </c>
      <c r="AQ398" s="551">
        <v>12948.166715000001</v>
      </c>
      <c r="AR398" s="551">
        <v>0.83230000000000004</v>
      </c>
    </row>
    <row r="399" spans="39:44" x14ac:dyDescent="0.25">
      <c r="AM399" s="550">
        <v>45550</v>
      </c>
      <c r="AN399" s="551">
        <v>96.58</v>
      </c>
      <c r="AO399" s="551">
        <v>2437311</v>
      </c>
      <c r="AP399" s="551">
        <v>134.06675000000001</v>
      </c>
      <c r="AQ399" s="551">
        <v>12948.166715000001</v>
      </c>
      <c r="AR399" s="551">
        <v>0.83230000000000004</v>
      </c>
    </row>
    <row r="400" spans="39:44" x14ac:dyDescent="0.25">
      <c r="AM400" s="550">
        <v>45549</v>
      </c>
      <c r="AN400" s="551">
        <v>96.91</v>
      </c>
      <c r="AO400" s="551">
        <v>2179945</v>
      </c>
      <c r="AP400" s="551">
        <v>134.06675000000001</v>
      </c>
      <c r="AQ400" s="551">
        <v>12992.408742500002</v>
      </c>
      <c r="AR400" s="551">
        <v>0.83520000000000005</v>
      </c>
    </row>
    <row r="401" spans="39:44" x14ac:dyDescent="0.25">
      <c r="AM401" s="550">
        <v>45548</v>
      </c>
      <c r="AN401" s="551">
        <v>91.57</v>
      </c>
      <c r="AO401" s="551">
        <v>1437980</v>
      </c>
      <c r="AP401" s="551">
        <v>134.06675000000001</v>
      </c>
      <c r="AQ401" s="551">
        <v>12276.492297500001</v>
      </c>
      <c r="AR401" s="551">
        <v>0.78920000000000001</v>
      </c>
    </row>
    <row r="402" spans="39:44" x14ac:dyDescent="0.25">
      <c r="AM402" s="550">
        <v>45547</v>
      </c>
      <c r="AN402" s="551">
        <v>91.02</v>
      </c>
      <c r="AO402" s="551">
        <v>2018230</v>
      </c>
      <c r="AP402" s="551">
        <v>134.06675000000001</v>
      </c>
      <c r="AQ402" s="551">
        <v>12202.755585000001</v>
      </c>
      <c r="AR402" s="551">
        <v>0.78439999999999999</v>
      </c>
    </row>
    <row r="403" spans="39:44" x14ac:dyDescent="0.25">
      <c r="AM403" s="550">
        <v>45546</v>
      </c>
      <c r="AN403" s="551">
        <v>86.64</v>
      </c>
      <c r="AO403" s="551">
        <v>1037356</v>
      </c>
      <c r="AP403" s="551">
        <v>136.12739999999999</v>
      </c>
      <c r="AQ403" s="551">
        <v>11794.077936</v>
      </c>
      <c r="AR403" s="551">
        <v>0.74670000000000003</v>
      </c>
    </row>
    <row r="404" spans="39:44" x14ac:dyDescent="0.25">
      <c r="AM404" s="550">
        <v>45545</v>
      </c>
      <c r="AN404" s="551">
        <v>88.2</v>
      </c>
      <c r="AO404" s="551">
        <v>1029274</v>
      </c>
      <c r="AP404" s="551">
        <v>136.12739999999999</v>
      </c>
      <c r="AQ404" s="551">
        <v>12006.436680000001</v>
      </c>
      <c r="AR404" s="551">
        <v>0.7601</v>
      </c>
    </row>
    <row r="405" spans="39:44" x14ac:dyDescent="0.25">
      <c r="AM405" s="550">
        <v>45544</v>
      </c>
      <c r="AN405" s="551">
        <v>88.2</v>
      </c>
      <c r="AO405" s="551">
        <v>1029274</v>
      </c>
      <c r="AP405" s="551">
        <v>136.12739999999999</v>
      </c>
      <c r="AQ405" s="551">
        <v>12006.436680000001</v>
      </c>
      <c r="AR405" s="551">
        <v>0.7601</v>
      </c>
    </row>
    <row r="406" spans="39:44" x14ac:dyDescent="0.25">
      <c r="AM406" s="550">
        <v>45543</v>
      </c>
      <c r="AN406" s="551">
        <v>88.2</v>
      </c>
      <c r="AO406" s="551">
        <v>1029274</v>
      </c>
      <c r="AP406" s="551">
        <v>136.12739999999999</v>
      </c>
      <c r="AQ406" s="551">
        <v>12006.436680000001</v>
      </c>
      <c r="AR406" s="551">
        <v>0.7601</v>
      </c>
    </row>
    <row r="407" spans="39:44" x14ac:dyDescent="0.25">
      <c r="AM407" s="550">
        <v>45542</v>
      </c>
      <c r="AN407" s="551">
        <v>90.47</v>
      </c>
      <c r="AO407" s="551">
        <v>956720</v>
      </c>
      <c r="AP407" s="551">
        <v>136.12739999999999</v>
      </c>
      <c r="AQ407" s="551">
        <v>12315.445877999999</v>
      </c>
      <c r="AR407" s="551">
        <v>0.77969999999999995</v>
      </c>
    </row>
    <row r="408" spans="39:44" x14ac:dyDescent="0.25">
      <c r="AM408" s="550">
        <v>45541</v>
      </c>
      <c r="AN408" s="551">
        <v>90.61</v>
      </c>
      <c r="AO408" s="551">
        <v>867419</v>
      </c>
      <c r="AP408" s="551">
        <v>136.12739999999999</v>
      </c>
      <c r="AQ408" s="551">
        <v>12334.503713999999</v>
      </c>
      <c r="AR408" s="551">
        <v>0.78090000000000004</v>
      </c>
    </row>
    <row r="409" spans="39:44" x14ac:dyDescent="0.25">
      <c r="AM409" s="550">
        <v>45540</v>
      </c>
      <c r="AN409" s="551">
        <v>90.23</v>
      </c>
      <c r="AO409" s="551">
        <v>506951</v>
      </c>
      <c r="AP409" s="551">
        <v>136.12739999999999</v>
      </c>
      <c r="AQ409" s="551">
        <v>12282.775302</v>
      </c>
      <c r="AR409" s="551">
        <v>0.77759999999999996</v>
      </c>
    </row>
    <row r="410" spans="39:44" x14ac:dyDescent="0.25">
      <c r="AM410" s="550">
        <v>45539</v>
      </c>
      <c r="AN410" s="551">
        <v>89.99</v>
      </c>
      <c r="AO410" s="551">
        <v>589873</v>
      </c>
      <c r="AP410" s="551">
        <v>136.12739999999999</v>
      </c>
      <c r="AQ410" s="551">
        <v>12250.104726</v>
      </c>
      <c r="AR410" s="551">
        <v>0.77549999999999997</v>
      </c>
    </row>
    <row r="411" spans="39:44" x14ac:dyDescent="0.25">
      <c r="AM411" s="550">
        <v>45538</v>
      </c>
      <c r="AN411" s="551">
        <v>90.23</v>
      </c>
      <c r="AO411" s="551">
        <v>713945</v>
      </c>
      <c r="AP411" s="551">
        <v>136.12739999999999</v>
      </c>
      <c r="AQ411" s="551">
        <v>12282.775302</v>
      </c>
      <c r="AR411" s="551">
        <v>0.77759999999999996</v>
      </c>
    </row>
    <row r="412" spans="39:44" x14ac:dyDescent="0.25">
      <c r="AM412" s="550">
        <v>45537</v>
      </c>
      <c r="AN412" s="551">
        <v>90.23</v>
      </c>
      <c r="AO412" s="551">
        <v>713945</v>
      </c>
      <c r="AP412" s="551">
        <v>136.12739999999999</v>
      </c>
      <c r="AQ412" s="551">
        <v>12282.775302</v>
      </c>
      <c r="AR412" s="551">
        <v>0.77759999999999996</v>
      </c>
    </row>
    <row r="413" spans="39:44" x14ac:dyDescent="0.25">
      <c r="AM413" s="550">
        <v>45536</v>
      </c>
      <c r="AN413" s="551">
        <v>90.23</v>
      </c>
      <c r="AO413" s="551">
        <v>713945</v>
      </c>
      <c r="AP413" s="551">
        <v>136.12739999999999</v>
      </c>
      <c r="AQ413" s="551">
        <v>12282.775302</v>
      </c>
      <c r="AR413" s="551">
        <v>0.77759999999999996</v>
      </c>
    </row>
    <row r="414" spans="39:44" x14ac:dyDescent="0.25">
      <c r="AM414" s="550">
        <v>45535</v>
      </c>
      <c r="AN414" s="551">
        <v>88.95</v>
      </c>
      <c r="AO414" s="551">
        <v>1058694</v>
      </c>
      <c r="AP414" s="551">
        <v>136.12739999999999</v>
      </c>
      <c r="AQ414" s="551">
        <v>12108.532230000001</v>
      </c>
      <c r="AR414" s="551">
        <v>0.76659999999999995</v>
      </c>
    </row>
    <row r="415" spans="39:44" x14ac:dyDescent="0.25">
      <c r="AM415" s="550">
        <v>45534</v>
      </c>
      <c r="AN415" s="551">
        <v>87.36</v>
      </c>
      <c r="AO415" s="551">
        <v>1020950</v>
      </c>
      <c r="AP415" s="551">
        <v>136.12739999999999</v>
      </c>
      <c r="AQ415" s="551">
        <v>11892.089663999999</v>
      </c>
      <c r="AR415" s="551">
        <v>0.75290000000000001</v>
      </c>
    </row>
    <row r="416" spans="39:44" x14ac:dyDescent="0.25">
      <c r="AM416" s="550">
        <v>45533</v>
      </c>
      <c r="AN416" s="551">
        <v>89.8</v>
      </c>
      <c r="AO416" s="551">
        <v>625388</v>
      </c>
      <c r="AP416" s="551">
        <v>136.12739999999999</v>
      </c>
      <c r="AQ416" s="551">
        <v>12224.240519999999</v>
      </c>
      <c r="AR416" s="551">
        <v>0.77390000000000003</v>
      </c>
    </row>
    <row r="417" spans="39:44" x14ac:dyDescent="0.25">
      <c r="AM417" s="550">
        <v>45532</v>
      </c>
      <c r="AN417" s="551">
        <v>90.21</v>
      </c>
      <c r="AO417" s="551">
        <v>719052</v>
      </c>
      <c r="AP417" s="551">
        <v>136.12739999999999</v>
      </c>
      <c r="AQ417" s="551">
        <v>12280.052753999998</v>
      </c>
      <c r="AR417" s="551">
        <v>0.77739999999999998</v>
      </c>
    </row>
    <row r="418" spans="39:44" x14ac:dyDescent="0.25">
      <c r="AM418" s="550">
        <v>45531</v>
      </c>
      <c r="AN418" s="551">
        <v>89.16</v>
      </c>
      <c r="AO418" s="551">
        <v>567458</v>
      </c>
      <c r="AP418" s="551">
        <v>136.12739999999999</v>
      </c>
      <c r="AQ418" s="551">
        <v>12137.118983999999</v>
      </c>
      <c r="AR418" s="551">
        <v>0.76839999999999997</v>
      </c>
    </row>
    <row r="419" spans="39:44" x14ac:dyDescent="0.25">
      <c r="AM419" s="550">
        <v>45530</v>
      </c>
      <c r="AN419" s="551">
        <v>89.16</v>
      </c>
      <c r="AO419" s="551">
        <v>567458</v>
      </c>
      <c r="AP419" s="551">
        <v>136.12739999999999</v>
      </c>
      <c r="AQ419" s="551">
        <v>12137.118983999999</v>
      </c>
      <c r="AR419" s="551">
        <v>0.76839999999999997</v>
      </c>
    </row>
    <row r="420" spans="39:44" x14ac:dyDescent="0.25">
      <c r="AM420" s="550">
        <v>45529</v>
      </c>
      <c r="AN420" s="551">
        <v>89.16</v>
      </c>
      <c r="AO420" s="551">
        <v>567458</v>
      </c>
      <c r="AP420" s="551">
        <v>136.12739999999999</v>
      </c>
      <c r="AQ420" s="551">
        <v>12137.118983999999</v>
      </c>
      <c r="AR420" s="551">
        <v>0.76839999999999997</v>
      </c>
    </row>
    <row r="421" spans="39:44" x14ac:dyDescent="0.25">
      <c r="AM421" s="550">
        <v>45528</v>
      </c>
      <c r="AN421" s="551">
        <v>89.58</v>
      </c>
      <c r="AO421" s="551">
        <v>700343</v>
      </c>
      <c r="AP421" s="551">
        <v>136.12739999999999</v>
      </c>
      <c r="AQ421" s="551">
        <v>12194.292491999999</v>
      </c>
      <c r="AR421" s="551">
        <v>0.77200000000000002</v>
      </c>
    </row>
    <row r="422" spans="39:44" x14ac:dyDescent="0.25">
      <c r="AM422" s="550">
        <v>45527</v>
      </c>
      <c r="AN422" s="551">
        <v>89.61</v>
      </c>
      <c r="AO422" s="551">
        <v>649519</v>
      </c>
      <c r="AP422" s="551">
        <v>136.12739999999999</v>
      </c>
      <c r="AQ422" s="551">
        <v>12198.376313999999</v>
      </c>
      <c r="AR422" s="551">
        <v>0.77229999999999999</v>
      </c>
    </row>
    <row r="423" spans="39:44" x14ac:dyDescent="0.25">
      <c r="AM423" s="550">
        <v>45526</v>
      </c>
      <c r="AN423" s="551">
        <v>91.76</v>
      </c>
      <c r="AO423" s="551">
        <v>1061615</v>
      </c>
      <c r="AP423" s="551">
        <v>136.12739999999999</v>
      </c>
      <c r="AQ423" s="551">
        <v>12491.050224000001</v>
      </c>
      <c r="AR423" s="551">
        <v>0.79079999999999995</v>
      </c>
    </row>
    <row r="424" spans="39:44" x14ac:dyDescent="0.25">
      <c r="AM424" s="550">
        <v>45525</v>
      </c>
      <c r="AN424" s="551">
        <v>87.26</v>
      </c>
      <c r="AO424" s="551">
        <v>860446</v>
      </c>
      <c r="AP424" s="551">
        <v>136.12739999999999</v>
      </c>
      <c r="AQ424" s="551">
        <v>11878.476924000001</v>
      </c>
      <c r="AR424" s="551">
        <v>0.752</v>
      </c>
    </row>
    <row r="425" spans="39:44" x14ac:dyDescent="0.25">
      <c r="AM425" s="550">
        <v>45524</v>
      </c>
      <c r="AN425" s="551">
        <v>87.16</v>
      </c>
      <c r="AO425" s="551">
        <v>763959</v>
      </c>
      <c r="AP425" s="551">
        <v>136.12739999999999</v>
      </c>
      <c r="AQ425" s="551">
        <v>11864.864183999998</v>
      </c>
      <c r="AR425" s="551">
        <v>0.75109999999999999</v>
      </c>
    </row>
    <row r="426" spans="39:44" x14ac:dyDescent="0.25">
      <c r="AM426" s="550">
        <v>45523</v>
      </c>
      <c r="AN426" s="551">
        <v>87.16</v>
      </c>
      <c r="AO426" s="551">
        <v>763959</v>
      </c>
      <c r="AP426" s="551">
        <v>136.12739999999999</v>
      </c>
      <c r="AQ426" s="551">
        <v>11864.864183999998</v>
      </c>
      <c r="AR426" s="551">
        <v>0.75109999999999999</v>
      </c>
    </row>
    <row r="427" spans="39:44" x14ac:dyDescent="0.25">
      <c r="AM427" s="550">
        <v>45522</v>
      </c>
      <c r="AN427" s="551">
        <v>87.16</v>
      </c>
      <c r="AO427" s="551">
        <v>763959</v>
      </c>
      <c r="AP427" s="551">
        <v>136.12739999999999</v>
      </c>
      <c r="AQ427" s="551">
        <v>11864.864183999998</v>
      </c>
      <c r="AR427" s="551">
        <v>0.75109999999999999</v>
      </c>
    </row>
    <row r="428" spans="39:44" x14ac:dyDescent="0.25">
      <c r="AM428" s="550">
        <v>45521</v>
      </c>
      <c r="AN428" s="551">
        <v>86.14</v>
      </c>
      <c r="AO428" s="551">
        <v>1015129</v>
      </c>
      <c r="AP428" s="551">
        <v>136.12739999999999</v>
      </c>
      <c r="AQ428" s="551">
        <v>11726.014235999999</v>
      </c>
      <c r="AR428" s="551">
        <v>0.74239999999999995</v>
      </c>
    </row>
    <row r="429" spans="39:44" x14ac:dyDescent="0.25">
      <c r="AM429" s="550">
        <v>45520</v>
      </c>
      <c r="AN429" s="551">
        <v>83.71</v>
      </c>
      <c r="AO429" s="551">
        <v>929193</v>
      </c>
      <c r="AP429" s="551">
        <v>136.12739999999999</v>
      </c>
      <c r="AQ429" s="551">
        <v>11395.224653999998</v>
      </c>
      <c r="AR429" s="551">
        <v>0.72140000000000004</v>
      </c>
    </row>
    <row r="430" spans="39:44" x14ac:dyDescent="0.25">
      <c r="AM430" s="550">
        <v>45519</v>
      </c>
      <c r="AN430" s="551">
        <v>82.37</v>
      </c>
      <c r="AO430" s="551">
        <v>683297</v>
      </c>
      <c r="AP430" s="551">
        <v>136.12739999999999</v>
      </c>
      <c r="AQ430" s="551">
        <v>11212.813937999999</v>
      </c>
      <c r="AR430" s="551">
        <v>0.70989999999999998</v>
      </c>
    </row>
    <row r="431" spans="39:44" x14ac:dyDescent="0.25">
      <c r="AM431" s="550">
        <v>45518</v>
      </c>
      <c r="AN431" s="551">
        <v>83.42</v>
      </c>
      <c r="AO431" s="551">
        <v>765280</v>
      </c>
      <c r="AP431" s="551">
        <v>136.12739999999999</v>
      </c>
      <c r="AQ431" s="551">
        <v>11355.747707999999</v>
      </c>
      <c r="AR431" s="551">
        <v>0.71889999999999998</v>
      </c>
    </row>
    <row r="432" spans="39:44" x14ac:dyDescent="0.25">
      <c r="AM432" s="550">
        <v>45517</v>
      </c>
      <c r="AN432" s="551">
        <v>84.44</v>
      </c>
      <c r="AO432" s="551">
        <v>1240639</v>
      </c>
      <c r="AP432" s="551">
        <v>136.12739999999999</v>
      </c>
      <c r="AQ432" s="551">
        <v>11494.597656</v>
      </c>
      <c r="AR432" s="551">
        <v>0.72770000000000001</v>
      </c>
    </row>
    <row r="433" spans="39:44" x14ac:dyDescent="0.25">
      <c r="AM433" s="550">
        <v>45516</v>
      </c>
      <c r="AN433" s="551">
        <v>84.44</v>
      </c>
      <c r="AO433" s="551">
        <v>1240639</v>
      </c>
      <c r="AP433" s="551">
        <v>136.12739999999999</v>
      </c>
      <c r="AQ433" s="551">
        <v>11494.597656</v>
      </c>
      <c r="AR433" s="551">
        <v>0.72770000000000001</v>
      </c>
    </row>
    <row r="434" spans="39:44" x14ac:dyDescent="0.25">
      <c r="AM434" s="550">
        <v>45515</v>
      </c>
      <c r="AN434" s="551">
        <v>84.44</v>
      </c>
      <c r="AO434" s="551">
        <v>1240639</v>
      </c>
      <c r="AP434" s="551">
        <v>136.12739999999999</v>
      </c>
      <c r="AQ434" s="551">
        <v>11494.597656</v>
      </c>
      <c r="AR434" s="551">
        <v>0.72770000000000001</v>
      </c>
    </row>
    <row r="435" spans="39:44" x14ac:dyDescent="0.25">
      <c r="AM435" s="550">
        <v>45514</v>
      </c>
      <c r="AN435" s="551">
        <v>86.97</v>
      </c>
      <c r="AO435" s="551">
        <v>381478</v>
      </c>
      <c r="AP435" s="551">
        <v>136.12739999999999</v>
      </c>
      <c r="AQ435" s="551">
        <v>11838.999978</v>
      </c>
      <c r="AR435" s="551">
        <v>0.74950000000000006</v>
      </c>
    </row>
    <row r="436" spans="39:44" x14ac:dyDescent="0.25">
      <c r="AM436" s="550">
        <v>45513</v>
      </c>
      <c r="AN436" s="551">
        <v>86.97</v>
      </c>
      <c r="AO436" s="551">
        <v>381478</v>
      </c>
      <c r="AP436" s="551">
        <v>136.12739999999999</v>
      </c>
      <c r="AQ436" s="551">
        <v>11838.999978</v>
      </c>
      <c r="AR436" s="551">
        <v>0.74950000000000006</v>
      </c>
    </row>
    <row r="437" spans="39:44" x14ac:dyDescent="0.25">
      <c r="AM437" s="550">
        <v>45512</v>
      </c>
      <c r="AN437" s="551">
        <v>85.64</v>
      </c>
      <c r="AO437" s="551">
        <v>784620</v>
      </c>
      <c r="AP437" s="551">
        <v>136.12739999999999</v>
      </c>
      <c r="AQ437" s="551">
        <v>11657.950536</v>
      </c>
      <c r="AR437" s="551">
        <v>0.73799999999999999</v>
      </c>
    </row>
    <row r="438" spans="39:44" x14ac:dyDescent="0.25">
      <c r="AM438" s="550">
        <v>45511</v>
      </c>
      <c r="AN438" s="551">
        <v>85.68</v>
      </c>
      <c r="AO438" s="551">
        <v>940735</v>
      </c>
      <c r="AP438" s="551">
        <v>136.12739999999999</v>
      </c>
      <c r="AQ438" s="551">
        <v>11663.395632</v>
      </c>
      <c r="AR438" s="551">
        <v>0.73839999999999995</v>
      </c>
    </row>
    <row r="439" spans="39:44" x14ac:dyDescent="0.25">
      <c r="AM439" s="550">
        <v>45510</v>
      </c>
      <c r="AN439" s="551">
        <v>88.14</v>
      </c>
      <c r="AO439" s="551">
        <v>1025120</v>
      </c>
      <c r="AP439" s="551">
        <v>136.12739999999999</v>
      </c>
      <c r="AQ439" s="551">
        <v>11998.269036</v>
      </c>
      <c r="AR439" s="551">
        <v>0.78749999999999998</v>
      </c>
    </row>
    <row r="440" spans="39:44" x14ac:dyDescent="0.25">
      <c r="AM440" s="550">
        <v>45509</v>
      </c>
      <c r="AN440" s="551">
        <v>88.14</v>
      </c>
      <c r="AO440" s="551">
        <v>1025120</v>
      </c>
      <c r="AP440" s="551">
        <v>136.12739999999999</v>
      </c>
      <c r="AQ440" s="551">
        <v>11998.269036</v>
      </c>
      <c r="AR440" s="551">
        <v>0.78749999999999998</v>
      </c>
    </row>
    <row r="441" spans="39:44" x14ac:dyDescent="0.25">
      <c r="AM441" s="550">
        <v>45508</v>
      </c>
      <c r="AN441" s="551">
        <v>88.14</v>
      </c>
      <c r="AO441" s="551">
        <v>1025120</v>
      </c>
      <c r="AP441" s="551">
        <v>136.12739999999999</v>
      </c>
      <c r="AQ441" s="551">
        <v>11998.269036</v>
      </c>
      <c r="AR441" s="551">
        <v>0.78749999999999998</v>
      </c>
    </row>
    <row r="442" spans="39:44" x14ac:dyDescent="0.25">
      <c r="AM442" s="550">
        <v>45507</v>
      </c>
      <c r="AN442" s="551">
        <v>88.89</v>
      </c>
      <c r="AO442" s="551">
        <v>1324961</v>
      </c>
      <c r="AP442" s="551">
        <v>136.12739999999999</v>
      </c>
      <c r="AQ442" s="551">
        <v>12100.364586</v>
      </c>
      <c r="AR442" s="551">
        <v>0.79420000000000002</v>
      </c>
    </row>
    <row r="443" spans="39:44" x14ac:dyDescent="0.25">
      <c r="AM443" s="550">
        <v>45506</v>
      </c>
      <c r="AN443" s="551">
        <v>88.59</v>
      </c>
      <c r="AO443" s="551">
        <v>759459</v>
      </c>
      <c r="AP443" s="551">
        <v>136.12739999999999</v>
      </c>
      <c r="AQ443" s="551">
        <v>12059.526366</v>
      </c>
      <c r="AR443" s="551">
        <v>0.79149999999999998</v>
      </c>
    </row>
    <row r="444" spans="39:44" x14ac:dyDescent="0.25">
      <c r="AM444" s="550">
        <v>45505</v>
      </c>
      <c r="AN444" s="551">
        <v>89.26</v>
      </c>
      <c r="AO444" s="551">
        <v>708346</v>
      </c>
      <c r="AP444" s="551">
        <v>136.12739999999999</v>
      </c>
      <c r="AQ444" s="551">
        <v>12150.731723999999</v>
      </c>
      <c r="AR444" s="551">
        <v>0.79749999999999999</v>
      </c>
    </row>
    <row r="445" spans="39:44" x14ac:dyDescent="0.25">
      <c r="AM445" s="550">
        <v>45504</v>
      </c>
      <c r="AN445" s="551">
        <v>91.1</v>
      </c>
      <c r="AO445" s="551">
        <v>835729</v>
      </c>
      <c r="AP445" s="551">
        <v>136.12739999999999</v>
      </c>
      <c r="AQ445" s="551">
        <v>12401.206139999998</v>
      </c>
      <c r="AR445" s="551">
        <v>0.81389999999999996</v>
      </c>
    </row>
    <row r="446" spans="39:44" x14ac:dyDescent="0.25">
      <c r="AM446" s="550">
        <v>45503</v>
      </c>
      <c r="AN446" s="551">
        <v>89.78</v>
      </c>
      <c r="AO446" s="551">
        <v>1029437</v>
      </c>
      <c r="AP446" s="551">
        <v>136.12739999999999</v>
      </c>
      <c r="AQ446" s="551">
        <v>12221.517972</v>
      </c>
      <c r="AR446" s="551">
        <v>0.80220000000000002</v>
      </c>
    </row>
    <row r="447" spans="39:44" x14ac:dyDescent="0.25">
      <c r="AM447" s="550">
        <v>45502</v>
      </c>
      <c r="AN447" s="551">
        <v>89.78</v>
      </c>
      <c r="AO447" s="551">
        <v>1029437</v>
      </c>
      <c r="AP447" s="551">
        <v>136.12739999999999</v>
      </c>
      <c r="AQ447" s="551">
        <v>12221.517972</v>
      </c>
      <c r="AR447" s="551">
        <v>0.80220000000000002</v>
      </c>
    </row>
    <row r="448" spans="39:44" x14ac:dyDescent="0.25">
      <c r="AM448" s="550">
        <v>45501</v>
      </c>
      <c r="AN448" s="551">
        <v>89.78</v>
      </c>
      <c r="AO448" s="551">
        <v>1029437</v>
      </c>
      <c r="AP448" s="551">
        <v>136.12739999999999</v>
      </c>
      <c r="AQ448" s="551">
        <v>12221.517972</v>
      </c>
      <c r="AR448" s="551">
        <v>0.80220000000000002</v>
      </c>
    </row>
    <row r="449" spans="39:44" x14ac:dyDescent="0.25">
      <c r="AM449" s="550">
        <v>45500</v>
      </c>
      <c r="AN449" s="551">
        <v>88.91</v>
      </c>
      <c r="AO449" s="551">
        <v>680347</v>
      </c>
      <c r="AP449" s="551">
        <v>136.12739999999999</v>
      </c>
      <c r="AQ449" s="551">
        <v>12103.087133999999</v>
      </c>
      <c r="AR449" s="551">
        <v>0.7944</v>
      </c>
    </row>
    <row r="450" spans="39:44" x14ac:dyDescent="0.25">
      <c r="AM450" s="550">
        <v>45499</v>
      </c>
      <c r="AN450" s="551">
        <v>88.45</v>
      </c>
      <c r="AO450" s="551">
        <v>573106</v>
      </c>
      <c r="AP450" s="551">
        <v>136.12739999999999</v>
      </c>
      <c r="AQ450" s="551">
        <v>12040.46853</v>
      </c>
      <c r="AR450" s="551">
        <v>0.7903</v>
      </c>
    </row>
    <row r="451" spans="39:44" x14ac:dyDescent="0.25">
      <c r="AM451" s="550">
        <v>45498</v>
      </c>
      <c r="AN451" s="551">
        <v>88.45</v>
      </c>
      <c r="AO451" s="551">
        <v>573106</v>
      </c>
      <c r="AP451" s="551">
        <v>136.12739999999999</v>
      </c>
      <c r="AQ451" s="551">
        <v>12040.46853</v>
      </c>
      <c r="AR451" s="551">
        <v>0.7903</v>
      </c>
    </row>
    <row r="452" spans="39:44" x14ac:dyDescent="0.25">
      <c r="AM452" s="550">
        <v>45497</v>
      </c>
      <c r="AN452" s="551">
        <v>88.49</v>
      </c>
      <c r="AO452" s="551">
        <v>572935</v>
      </c>
      <c r="AP452" s="551">
        <v>136.12739999999999</v>
      </c>
      <c r="AQ452" s="551">
        <v>12045.913626</v>
      </c>
      <c r="AR452" s="551">
        <v>0.79059999999999997</v>
      </c>
    </row>
    <row r="453" spans="39:44" x14ac:dyDescent="0.25">
      <c r="AM453" s="550">
        <v>45496</v>
      </c>
      <c r="AN453" s="551">
        <v>86.59</v>
      </c>
      <c r="AO453" s="551">
        <v>652834</v>
      </c>
      <c r="AP453" s="551">
        <v>136.12739999999999</v>
      </c>
      <c r="AQ453" s="551">
        <v>11787.271565999999</v>
      </c>
      <c r="AR453" s="551">
        <v>0.77370000000000005</v>
      </c>
    </row>
    <row r="454" spans="39:44" x14ac:dyDescent="0.25">
      <c r="AM454" s="550">
        <v>45495</v>
      </c>
      <c r="AN454" s="551">
        <v>86.59</v>
      </c>
      <c r="AO454" s="551">
        <v>652834</v>
      </c>
      <c r="AP454" s="551">
        <v>136.12739999999999</v>
      </c>
      <c r="AQ454" s="551">
        <v>11787.271565999999</v>
      </c>
      <c r="AR454" s="551">
        <v>0.77370000000000005</v>
      </c>
    </row>
    <row r="455" spans="39:44" x14ac:dyDescent="0.25">
      <c r="AM455" s="550">
        <v>45494</v>
      </c>
      <c r="AN455" s="551">
        <v>86.59</v>
      </c>
      <c r="AO455" s="551">
        <v>652834</v>
      </c>
      <c r="AP455" s="551">
        <v>136.12739999999999</v>
      </c>
      <c r="AQ455" s="551">
        <v>11787.271565999999</v>
      </c>
      <c r="AR455" s="551">
        <v>0.77370000000000005</v>
      </c>
    </row>
    <row r="456" spans="39:44" x14ac:dyDescent="0.25">
      <c r="AM456" s="550">
        <v>45493</v>
      </c>
      <c r="AN456" s="551">
        <v>87.53</v>
      </c>
      <c r="AO456" s="551">
        <v>958052</v>
      </c>
      <c r="AP456" s="551">
        <v>136.12739999999999</v>
      </c>
      <c r="AQ456" s="551">
        <v>11915.231322</v>
      </c>
      <c r="AR456" s="551">
        <v>0.78210000000000002</v>
      </c>
    </row>
    <row r="457" spans="39:44" x14ac:dyDescent="0.25">
      <c r="AM457" s="550">
        <v>45492</v>
      </c>
      <c r="AN457" s="551">
        <v>87.93</v>
      </c>
      <c r="AO457" s="551">
        <v>689891</v>
      </c>
      <c r="AP457" s="551">
        <v>136.12739999999999</v>
      </c>
      <c r="AQ457" s="551">
        <v>11969.682282</v>
      </c>
      <c r="AR457" s="551">
        <v>0.78559999999999997</v>
      </c>
    </row>
    <row r="458" spans="39:44" x14ac:dyDescent="0.25">
      <c r="AM458" s="550">
        <v>45491</v>
      </c>
      <c r="AN458" s="551">
        <v>86.03</v>
      </c>
      <c r="AO458" s="551">
        <v>488356</v>
      </c>
      <c r="AP458" s="551">
        <v>136.12739999999999</v>
      </c>
      <c r="AQ458" s="551">
        <v>11711.040222</v>
      </c>
      <c r="AR458" s="551">
        <v>0.76870000000000005</v>
      </c>
    </row>
    <row r="459" spans="39:44" x14ac:dyDescent="0.25">
      <c r="AM459" s="550">
        <v>45490</v>
      </c>
      <c r="AN459" s="551">
        <v>85.76</v>
      </c>
      <c r="AO459" s="551">
        <v>590481</v>
      </c>
      <c r="AP459" s="551">
        <v>136.12739999999999</v>
      </c>
      <c r="AQ459" s="551">
        <v>11674.285824000001</v>
      </c>
      <c r="AR459" s="551">
        <v>0.76619999999999999</v>
      </c>
    </row>
    <row r="460" spans="39:44" x14ac:dyDescent="0.25">
      <c r="AM460" s="550">
        <v>45489</v>
      </c>
      <c r="AN460" s="551">
        <v>85.8</v>
      </c>
      <c r="AO460" s="551">
        <v>949710</v>
      </c>
      <c r="AP460" s="551">
        <v>136.12739999999999</v>
      </c>
      <c r="AQ460" s="551">
        <v>11679.73092</v>
      </c>
      <c r="AR460" s="551">
        <v>0.76659999999999995</v>
      </c>
    </row>
    <row r="461" spans="39:44" x14ac:dyDescent="0.25">
      <c r="AM461" s="550">
        <v>45488</v>
      </c>
      <c r="AN461" s="551">
        <v>85.8</v>
      </c>
      <c r="AO461" s="551">
        <v>949710</v>
      </c>
      <c r="AP461" s="551">
        <v>136.12739999999999</v>
      </c>
      <c r="AQ461" s="551">
        <v>11679.73092</v>
      </c>
      <c r="AR461" s="551">
        <v>0.76659999999999995</v>
      </c>
    </row>
    <row r="462" spans="39:44" x14ac:dyDescent="0.25">
      <c r="AM462" s="550">
        <v>45487</v>
      </c>
      <c r="AN462" s="551">
        <v>85.8</v>
      </c>
      <c r="AO462" s="551">
        <v>949710</v>
      </c>
      <c r="AP462" s="551">
        <v>136.12739999999999</v>
      </c>
      <c r="AQ462" s="551">
        <v>11679.73092</v>
      </c>
      <c r="AR462" s="551">
        <v>0.76659999999999995</v>
      </c>
    </row>
    <row r="463" spans="39:44" x14ac:dyDescent="0.25">
      <c r="AM463" s="550">
        <v>45486</v>
      </c>
      <c r="AN463" s="551">
        <v>85.35</v>
      </c>
      <c r="AO463" s="551">
        <v>435793</v>
      </c>
      <c r="AP463" s="551">
        <v>136.12739999999999</v>
      </c>
      <c r="AQ463" s="551">
        <v>11618.47359</v>
      </c>
      <c r="AR463" s="551">
        <v>0.76259999999999994</v>
      </c>
    </row>
    <row r="464" spans="39:44" x14ac:dyDescent="0.25">
      <c r="AM464" s="550">
        <v>45485</v>
      </c>
      <c r="AN464" s="551">
        <v>86.25</v>
      </c>
      <c r="AO464" s="551">
        <v>666596</v>
      </c>
      <c r="AP464" s="551">
        <v>136.12739999999999</v>
      </c>
      <c r="AQ464" s="551">
        <v>11740.98825</v>
      </c>
      <c r="AR464" s="551">
        <v>0.77059999999999995</v>
      </c>
    </row>
    <row r="465" spans="39:44" x14ac:dyDescent="0.25">
      <c r="AM465" s="550">
        <v>45484</v>
      </c>
      <c r="AN465" s="551">
        <v>85.09</v>
      </c>
      <c r="AO465" s="551">
        <v>819660</v>
      </c>
      <c r="AP465" s="551">
        <v>136.12739999999999</v>
      </c>
      <c r="AQ465" s="551">
        <v>11583.080465999999</v>
      </c>
      <c r="AR465" s="551">
        <v>0.76029999999999998</v>
      </c>
    </row>
    <row r="466" spans="39:44" x14ac:dyDescent="0.25">
      <c r="AM466" s="550">
        <v>45483</v>
      </c>
      <c r="AN466" s="551">
        <v>85.72</v>
      </c>
      <c r="AO466" s="551">
        <v>793190</v>
      </c>
      <c r="AP466" s="551">
        <v>136.12739999999999</v>
      </c>
      <c r="AQ466" s="551">
        <v>11668.840727999999</v>
      </c>
      <c r="AR466" s="551">
        <v>0.76590000000000003</v>
      </c>
    </row>
    <row r="467" spans="39:44" x14ac:dyDescent="0.25">
      <c r="AM467" s="550">
        <v>45482</v>
      </c>
      <c r="AN467" s="551">
        <v>87.34</v>
      </c>
      <c r="AO467" s="551">
        <v>3643597</v>
      </c>
      <c r="AP467" s="551">
        <v>136.12739999999999</v>
      </c>
      <c r="AQ467" s="551">
        <v>11889.367115999999</v>
      </c>
      <c r="AR467" s="551">
        <v>0.78039999999999998</v>
      </c>
    </row>
    <row r="468" spans="39:44" x14ac:dyDescent="0.25">
      <c r="AM468" s="550">
        <v>45481</v>
      </c>
      <c r="AN468" s="551">
        <v>87.34</v>
      </c>
      <c r="AO468" s="551">
        <v>3643597</v>
      </c>
      <c r="AP468" s="551">
        <v>136.12739999999999</v>
      </c>
      <c r="AQ468" s="551">
        <v>11889.367115999999</v>
      </c>
      <c r="AR468" s="551">
        <v>0.78039999999999998</v>
      </c>
    </row>
    <row r="469" spans="39:44" x14ac:dyDescent="0.25">
      <c r="AM469" s="550">
        <v>45480</v>
      </c>
      <c r="AN469" s="551">
        <v>87.34</v>
      </c>
      <c r="AO469" s="551">
        <v>3643597</v>
      </c>
      <c r="AP469" s="551">
        <v>136.12739999999999</v>
      </c>
      <c r="AQ469" s="551">
        <v>11889.367115999999</v>
      </c>
      <c r="AR469" s="551">
        <v>0.78039999999999998</v>
      </c>
    </row>
    <row r="470" spans="39:44" x14ac:dyDescent="0.25">
      <c r="AM470" s="550">
        <v>45479</v>
      </c>
      <c r="AN470" s="551">
        <v>85.86</v>
      </c>
      <c r="AO470" s="551">
        <v>905519</v>
      </c>
      <c r="AP470" s="551">
        <v>136.12739999999999</v>
      </c>
      <c r="AQ470" s="551">
        <v>11687.898563999999</v>
      </c>
      <c r="AR470" s="551">
        <v>0.7671</v>
      </c>
    </row>
    <row r="471" spans="39:44" x14ac:dyDescent="0.25">
      <c r="AM471" s="550">
        <v>45478</v>
      </c>
      <c r="AN471" s="551">
        <v>85.49</v>
      </c>
      <c r="AO471" s="551">
        <v>825707</v>
      </c>
      <c r="AP471" s="551">
        <v>136.12739999999999</v>
      </c>
      <c r="AQ471" s="551">
        <v>11637.531426</v>
      </c>
      <c r="AR471" s="551">
        <v>0.76380000000000003</v>
      </c>
    </row>
    <row r="472" spans="39:44" x14ac:dyDescent="0.25">
      <c r="AM472" s="550">
        <v>45477</v>
      </c>
      <c r="AN472" s="551">
        <v>86.47</v>
      </c>
      <c r="AO472" s="551">
        <v>1089207</v>
      </c>
      <c r="AP472" s="551">
        <v>136.12739999999999</v>
      </c>
      <c r="AQ472" s="551">
        <v>11770.936277999999</v>
      </c>
      <c r="AR472" s="551">
        <v>0.77259999999999995</v>
      </c>
    </row>
    <row r="473" spans="39:44" x14ac:dyDescent="0.25">
      <c r="AM473" s="550">
        <v>45476</v>
      </c>
      <c r="AN473" s="551">
        <v>89</v>
      </c>
      <c r="AO473" s="551">
        <v>610987</v>
      </c>
      <c r="AP473" s="551">
        <v>136.12739999999999</v>
      </c>
      <c r="AQ473" s="551">
        <v>12115.338599999999</v>
      </c>
      <c r="AR473" s="551">
        <v>0.79520000000000002</v>
      </c>
    </row>
    <row r="474" spans="39:44" x14ac:dyDescent="0.25">
      <c r="AM474" s="550">
        <v>45475</v>
      </c>
      <c r="AN474" s="551">
        <v>89</v>
      </c>
      <c r="AO474" s="551">
        <v>610987</v>
      </c>
      <c r="AP474" s="551">
        <v>136.12739999999999</v>
      </c>
      <c r="AQ474" s="551">
        <v>12115.338599999999</v>
      </c>
      <c r="AR474" s="551">
        <v>0.79520000000000002</v>
      </c>
    </row>
    <row r="475" spans="39:44" x14ac:dyDescent="0.25">
      <c r="AM475" s="550">
        <v>45474</v>
      </c>
      <c r="AN475" s="551">
        <v>89</v>
      </c>
      <c r="AO475" s="551">
        <v>610987</v>
      </c>
      <c r="AP475" s="551">
        <v>136.12739999999999</v>
      </c>
      <c r="AQ475" s="551">
        <v>12115.338599999999</v>
      </c>
      <c r="AR475" s="551">
        <v>0.79520000000000002</v>
      </c>
    </row>
    <row r="476" spans="39:44" x14ac:dyDescent="0.25">
      <c r="AM476" s="550">
        <v>45473</v>
      </c>
      <c r="AN476" s="551">
        <v>89</v>
      </c>
      <c r="AO476" s="551">
        <v>610987</v>
      </c>
      <c r="AP476" s="551">
        <v>136.12739999999999</v>
      </c>
      <c r="AQ476" s="551">
        <v>12115.338599999999</v>
      </c>
      <c r="AR476" s="551">
        <v>0.79520000000000002</v>
      </c>
    </row>
    <row r="477" spans="39:44" x14ac:dyDescent="0.25">
      <c r="AM477" s="550">
        <v>45472</v>
      </c>
      <c r="AN477" s="551">
        <v>89.25</v>
      </c>
      <c r="AO477" s="551">
        <v>818044</v>
      </c>
      <c r="AP477" s="551">
        <v>136.12739999999999</v>
      </c>
      <c r="AQ477" s="551">
        <v>12149.37045</v>
      </c>
      <c r="AR477" s="551">
        <v>0.7974</v>
      </c>
    </row>
    <row r="478" spans="39:44" x14ac:dyDescent="0.25">
      <c r="AM478" s="550">
        <v>45471</v>
      </c>
      <c r="AN478" s="551">
        <v>89.24</v>
      </c>
      <c r="AO478" s="551">
        <v>723828</v>
      </c>
      <c r="AP478" s="551">
        <v>136.12739999999999</v>
      </c>
      <c r="AQ478" s="551">
        <v>12148.009176</v>
      </c>
      <c r="AR478" s="551">
        <v>0.79730000000000001</v>
      </c>
    </row>
    <row r="479" spans="39:44" x14ac:dyDescent="0.25">
      <c r="AM479" s="550">
        <v>45470</v>
      </c>
      <c r="AN479" s="551">
        <v>90.14</v>
      </c>
      <c r="AO479" s="551">
        <v>706020</v>
      </c>
      <c r="AP479" s="551">
        <v>136.12739999999999</v>
      </c>
      <c r="AQ479" s="551">
        <v>12270.523836</v>
      </c>
      <c r="AR479" s="551">
        <v>0.8054</v>
      </c>
    </row>
    <row r="480" spans="39:44" x14ac:dyDescent="0.25">
      <c r="AM480" s="550">
        <v>45469</v>
      </c>
      <c r="AN480" s="551">
        <v>89.57</v>
      </c>
      <c r="AO480" s="551">
        <v>403154</v>
      </c>
      <c r="AP480" s="551">
        <v>136.12739999999999</v>
      </c>
      <c r="AQ480" s="551">
        <v>12192.931217999998</v>
      </c>
      <c r="AR480" s="551">
        <v>0.80030000000000001</v>
      </c>
    </row>
    <row r="481" spans="39:44" x14ac:dyDescent="0.25">
      <c r="AM481" s="550">
        <v>45468</v>
      </c>
      <c r="AN481" s="551">
        <v>89.62</v>
      </c>
      <c r="AO481" s="551">
        <v>594728</v>
      </c>
      <c r="AP481" s="551">
        <v>136.12739999999999</v>
      </c>
      <c r="AQ481" s="551">
        <v>12199.737588</v>
      </c>
      <c r="AR481" s="551">
        <v>0.80069999999999997</v>
      </c>
    </row>
    <row r="482" spans="39:44" x14ac:dyDescent="0.25">
      <c r="AM482" s="550">
        <v>45467</v>
      </c>
      <c r="AN482" s="551">
        <v>89.62</v>
      </c>
      <c r="AO482" s="551">
        <v>594728</v>
      </c>
      <c r="AP482" s="551">
        <v>136.12739999999999</v>
      </c>
      <c r="AQ482" s="551">
        <v>12199.737588</v>
      </c>
      <c r="AR482" s="551">
        <v>0.80069999999999997</v>
      </c>
    </row>
    <row r="483" spans="39:44" x14ac:dyDescent="0.25">
      <c r="AM483" s="550">
        <v>45466</v>
      </c>
      <c r="AN483" s="551">
        <v>89.62</v>
      </c>
      <c r="AO483" s="551">
        <v>594728</v>
      </c>
      <c r="AP483" s="551">
        <v>136.12739999999999</v>
      </c>
      <c r="AQ483" s="551">
        <v>12199.737588</v>
      </c>
      <c r="AR483" s="551">
        <v>0.80069999999999997</v>
      </c>
    </row>
    <row r="484" spans="39:44" x14ac:dyDescent="0.25">
      <c r="AM484" s="550">
        <v>45465</v>
      </c>
      <c r="AN484" s="551">
        <v>89.61</v>
      </c>
      <c r="AO484" s="551">
        <v>789641</v>
      </c>
      <c r="AP484" s="551">
        <v>136.12739999999999</v>
      </c>
      <c r="AQ484" s="551">
        <v>12198.376313999999</v>
      </c>
      <c r="AR484" s="551">
        <v>0.80059999999999998</v>
      </c>
    </row>
    <row r="485" spans="39:44" x14ac:dyDescent="0.25">
      <c r="AM485" s="550">
        <v>45464</v>
      </c>
      <c r="AN485" s="551">
        <v>91.09</v>
      </c>
      <c r="AO485" s="551">
        <v>641737</v>
      </c>
      <c r="AP485" s="551">
        <v>136.12739999999999</v>
      </c>
      <c r="AQ485" s="551">
        <v>12399.844865999999</v>
      </c>
      <c r="AR485" s="551">
        <v>0.81389999999999996</v>
      </c>
    </row>
    <row r="486" spans="39:44" x14ac:dyDescent="0.25">
      <c r="AM486" s="550">
        <v>45463</v>
      </c>
      <c r="AN486" s="551">
        <v>91.44</v>
      </c>
      <c r="AO486" s="551">
        <v>668594</v>
      </c>
      <c r="AP486" s="551">
        <v>136.12739999999999</v>
      </c>
      <c r="AQ486" s="551">
        <v>12447.489455999999</v>
      </c>
      <c r="AR486" s="551">
        <v>0.81699999999999995</v>
      </c>
    </row>
    <row r="487" spans="39:44" x14ac:dyDescent="0.25">
      <c r="AM487" s="550">
        <v>45462</v>
      </c>
      <c r="AN487" s="551">
        <v>92</v>
      </c>
      <c r="AO487" s="551">
        <v>435100</v>
      </c>
      <c r="AP487" s="551">
        <v>136.12739999999999</v>
      </c>
      <c r="AQ487" s="551">
        <v>12523.720799999999</v>
      </c>
      <c r="AR487" s="551">
        <v>0.82199999999999995</v>
      </c>
    </row>
    <row r="488" spans="39:44" x14ac:dyDescent="0.25">
      <c r="AM488" s="550">
        <v>45461</v>
      </c>
      <c r="AN488" s="551">
        <v>93.05</v>
      </c>
      <c r="AO488" s="551">
        <v>749101</v>
      </c>
      <c r="AP488" s="551">
        <v>136.12739999999999</v>
      </c>
      <c r="AQ488" s="551">
        <v>12666.654569999999</v>
      </c>
      <c r="AR488" s="551">
        <v>0.83140000000000003</v>
      </c>
    </row>
    <row r="489" spans="39:44" x14ac:dyDescent="0.25">
      <c r="AM489" s="550">
        <v>45460</v>
      </c>
      <c r="AN489" s="551">
        <v>93.05</v>
      </c>
      <c r="AO489" s="551">
        <v>749101</v>
      </c>
      <c r="AP489" s="551">
        <v>136.12739999999999</v>
      </c>
      <c r="AQ489" s="551">
        <v>12666.654569999999</v>
      </c>
      <c r="AR489" s="551">
        <v>0.83140000000000003</v>
      </c>
    </row>
    <row r="490" spans="39:44" x14ac:dyDescent="0.25">
      <c r="AM490" s="550">
        <v>45459</v>
      </c>
      <c r="AN490" s="551">
        <v>93.05</v>
      </c>
      <c r="AO490" s="551">
        <v>749101</v>
      </c>
      <c r="AP490" s="551">
        <v>136.12739999999999</v>
      </c>
      <c r="AQ490" s="551">
        <v>12666.654569999999</v>
      </c>
      <c r="AR490" s="551">
        <v>0.83140000000000003</v>
      </c>
    </row>
    <row r="491" spans="39:44" x14ac:dyDescent="0.25">
      <c r="AM491" s="550">
        <v>45458</v>
      </c>
      <c r="AN491" s="551">
        <v>92.7</v>
      </c>
      <c r="AO491" s="551">
        <v>775339</v>
      </c>
      <c r="AP491" s="551">
        <v>136.12739999999999</v>
      </c>
      <c r="AQ491" s="551">
        <v>12619.009980000001</v>
      </c>
      <c r="AR491" s="551">
        <v>0.82820000000000005</v>
      </c>
    </row>
    <row r="492" spans="39:44" x14ac:dyDescent="0.25">
      <c r="AM492" s="550">
        <v>45457</v>
      </c>
      <c r="AN492" s="551">
        <v>92.27</v>
      </c>
      <c r="AO492" s="551">
        <v>809988</v>
      </c>
      <c r="AP492" s="551">
        <v>136.12739999999999</v>
      </c>
      <c r="AQ492" s="551">
        <v>12560.475197999998</v>
      </c>
      <c r="AR492" s="551">
        <v>0.82440000000000002</v>
      </c>
    </row>
    <row r="493" spans="39:44" x14ac:dyDescent="0.25">
      <c r="AM493" s="550">
        <v>45456</v>
      </c>
      <c r="AN493" s="551">
        <v>93.14</v>
      </c>
      <c r="AO493" s="551">
        <v>1900397</v>
      </c>
      <c r="AP493" s="551">
        <v>136.12739999999999</v>
      </c>
      <c r="AQ493" s="551">
        <v>12678.906036</v>
      </c>
      <c r="AR493" s="551">
        <v>0.83220000000000005</v>
      </c>
    </row>
    <row r="494" spans="39:44" x14ac:dyDescent="0.25">
      <c r="AM494" s="550">
        <v>45455</v>
      </c>
      <c r="AN494" s="551">
        <v>96.29</v>
      </c>
      <c r="AO494" s="551">
        <v>981553</v>
      </c>
      <c r="AP494" s="551">
        <v>136.02350000000001</v>
      </c>
      <c r="AQ494" s="551">
        <v>13097.702815000002</v>
      </c>
      <c r="AR494" s="551">
        <v>0.86029999999999995</v>
      </c>
    </row>
    <row r="495" spans="39:44" x14ac:dyDescent="0.25">
      <c r="AM495" s="550">
        <v>45454</v>
      </c>
      <c r="AN495" s="551">
        <v>94.72</v>
      </c>
      <c r="AO495" s="551">
        <v>654285</v>
      </c>
      <c r="AP495" s="551">
        <v>136.02350000000001</v>
      </c>
      <c r="AQ495" s="551">
        <v>12884.145920000001</v>
      </c>
      <c r="AR495" s="551">
        <v>0.84630000000000005</v>
      </c>
    </row>
    <row r="496" spans="39:44" x14ac:dyDescent="0.25">
      <c r="AM496" s="550">
        <v>45453</v>
      </c>
      <c r="AN496" s="551">
        <v>94.72</v>
      </c>
      <c r="AO496" s="551">
        <v>654285</v>
      </c>
      <c r="AP496" s="551">
        <v>136.02350000000001</v>
      </c>
      <c r="AQ496" s="551">
        <v>12884.145920000001</v>
      </c>
      <c r="AR496" s="551">
        <v>0.84630000000000005</v>
      </c>
    </row>
    <row r="497" spans="39:44" x14ac:dyDescent="0.25">
      <c r="AM497" s="550">
        <v>45452</v>
      </c>
      <c r="AN497" s="551">
        <v>94.72</v>
      </c>
      <c r="AO497" s="551">
        <v>654285</v>
      </c>
      <c r="AP497" s="551">
        <v>136.02350000000001</v>
      </c>
      <c r="AQ497" s="551">
        <v>12884.145920000001</v>
      </c>
      <c r="AR497" s="551">
        <v>0.84630000000000005</v>
      </c>
    </row>
    <row r="498" spans="39:44" x14ac:dyDescent="0.25">
      <c r="AM498" s="550">
        <v>45451</v>
      </c>
      <c r="AN498" s="551">
        <v>94.23</v>
      </c>
      <c r="AO498" s="551">
        <v>486329</v>
      </c>
      <c r="AP498" s="551">
        <v>136.02350000000001</v>
      </c>
      <c r="AQ498" s="551">
        <v>12817.494405000001</v>
      </c>
      <c r="AR498" s="551">
        <v>0.84189999999999998</v>
      </c>
    </row>
    <row r="499" spans="39:44" x14ac:dyDescent="0.25">
      <c r="AM499" s="550">
        <v>45450</v>
      </c>
      <c r="AN499" s="551">
        <v>92.91</v>
      </c>
      <c r="AO499" s="551">
        <v>422412</v>
      </c>
      <c r="AP499" s="551">
        <v>136.02350000000001</v>
      </c>
      <c r="AQ499" s="551">
        <v>12637.943385</v>
      </c>
      <c r="AR499" s="551">
        <v>0.83009999999999995</v>
      </c>
    </row>
    <row r="500" spans="39:44" x14ac:dyDescent="0.25">
      <c r="AM500" s="550">
        <v>45449</v>
      </c>
      <c r="AN500" s="551">
        <v>92.36</v>
      </c>
      <c r="AO500" s="551">
        <v>538417</v>
      </c>
      <c r="AP500" s="551">
        <v>136.02350000000001</v>
      </c>
      <c r="AQ500" s="551">
        <v>12563.13046</v>
      </c>
      <c r="AR500" s="551">
        <v>0.82520000000000004</v>
      </c>
    </row>
    <row r="501" spans="39:44" x14ac:dyDescent="0.25">
      <c r="AM501" s="550">
        <v>45448</v>
      </c>
      <c r="AN501" s="551">
        <v>93.98</v>
      </c>
      <c r="AO501" s="551">
        <v>536478</v>
      </c>
      <c r="AP501" s="551">
        <v>136.02350000000001</v>
      </c>
      <c r="AQ501" s="551">
        <v>12783.488530000002</v>
      </c>
      <c r="AR501" s="551">
        <v>0.8397</v>
      </c>
    </row>
    <row r="502" spans="39:44" x14ac:dyDescent="0.25">
      <c r="AM502" s="550">
        <v>45447</v>
      </c>
      <c r="AN502" s="551">
        <v>94.05</v>
      </c>
      <c r="AO502" s="551">
        <v>613134</v>
      </c>
      <c r="AP502" s="551">
        <v>136.02350000000001</v>
      </c>
      <c r="AQ502" s="551">
        <v>12793.010175000001</v>
      </c>
      <c r="AR502" s="551">
        <v>0.84030000000000005</v>
      </c>
    </row>
    <row r="503" spans="39:44" x14ac:dyDescent="0.25">
      <c r="AM503" s="550">
        <v>45446</v>
      </c>
      <c r="AN503" s="551">
        <v>94.05</v>
      </c>
      <c r="AO503" s="551">
        <v>613134</v>
      </c>
      <c r="AP503" s="551">
        <v>136.02350000000001</v>
      </c>
      <c r="AQ503" s="551">
        <v>12793.010175000001</v>
      </c>
      <c r="AR503" s="551">
        <v>0.84030000000000005</v>
      </c>
    </row>
    <row r="504" spans="39:44" x14ac:dyDescent="0.25">
      <c r="AM504" s="550">
        <v>45445</v>
      </c>
      <c r="AN504" s="551">
        <v>94.05</v>
      </c>
      <c r="AO504" s="551">
        <v>613134</v>
      </c>
      <c r="AP504" s="551">
        <v>136.02350000000001</v>
      </c>
      <c r="AQ504" s="551">
        <v>12793.010175000001</v>
      </c>
      <c r="AR504" s="551">
        <v>0.84030000000000005</v>
      </c>
    </row>
    <row r="505" spans="39:44" x14ac:dyDescent="0.25">
      <c r="AM505" s="550">
        <v>45444</v>
      </c>
      <c r="AN505" s="551">
        <v>93.59</v>
      </c>
      <c r="AO505" s="551">
        <v>815699</v>
      </c>
      <c r="AP505" s="551">
        <v>136.02350000000001</v>
      </c>
      <c r="AQ505" s="551">
        <v>12730.439365000002</v>
      </c>
      <c r="AR505" s="551">
        <v>0.83620000000000005</v>
      </c>
    </row>
    <row r="506" spans="39:44" x14ac:dyDescent="0.25">
      <c r="AM506" s="550">
        <v>45443</v>
      </c>
      <c r="AN506" s="551">
        <v>94.01</v>
      </c>
      <c r="AO506" s="551">
        <v>577149</v>
      </c>
      <c r="AP506" s="551">
        <v>136.02350000000001</v>
      </c>
      <c r="AQ506" s="551">
        <v>12787.569235000003</v>
      </c>
      <c r="AR506" s="551">
        <v>0.83989999999999998</v>
      </c>
    </row>
    <row r="507" spans="39:44" x14ac:dyDescent="0.25">
      <c r="AM507" s="550">
        <v>45442</v>
      </c>
      <c r="AN507" s="551">
        <v>93.88</v>
      </c>
      <c r="AO507" s="551">
        <v>625618</v>
      </c>
      <c r="AP507" s="551">
        <v>136.02350000000001</v>
      </c>
      <c r="AQ507" s="551">
        <v>12769.886180000001</v>
      </c>
      <c r="AR507" s="551">
        <v>0.83879999999999999</v>
      </c>
    </row>
    <row r="508" spans="39:44" x14ac:dyDescent="0.25">
      <c r="AM508" s="550">
        <v>45441</v>
      </c>
      <c r="AN508" s="551">
        <v>92.65</v>
      </c>
      <c r="AO508" s="551">
        <v>454662</v>
      </c>
      <c r="AP508" s="551">
        <v>136.02350000000001</v>
      </c>
      <c r="AQ508" s="551">
        <v>12602.577275000001</v>
      </c>
      <c r="AR508" s="551">
        <v>0.82779999999999998</v>
      </c>
    </row>
    <row r="509" spans="39:44" x14ac:dyDescent="0.25">
      <c r="AM509" s="550">
        <v>45440</v>
      </c>
      <c r="AN509" s="551">
        <v>93.35</v>
      </c>
      <c r="AO509" s="551">
        <v>535455</v>
      </c>
      <c r="AP509" s="551">
        <v>136.02350000000001</v>
      </c>
      <c r="AQ509" s="551">
        <v>12697.793725</v>
      </c>
      <c r="AR509" s="551">
        <v>0.83409999999999995</v>
      </c>
    </row>
    <row r="510" spans="39:44" x14ac:dyDescent="0.25">
      <c r="AM510" s="550">
        <v>45439</v>
      </c>
      <c r="AN510" s="551">
        <v>93.35</v>
      </c>
      <c r="AO510" s="551">
        <v>535455</v>
      </c>
      <c r="AP510" s="551">
        <v>136.02350000000001</v>
      </c>
      <c r="AQ510" s="551">
        <v>12697.793725</v>
      </c>
      <c r="AR510" s="551">
        <v>0.83409999999999995</v>
      </c>
    </row>
    <row r="511" spans="39:44" x14ac:dyDescent="0.25">
      <c r="AM511" s="550">
        <v>45438</v>
      </c>
      <c r="AN511" s="551">
        <v>93.35</v>
      </c>
      <c r="AO511" s="551">
        <v>535455</v>
      </c>
      <c r="AP511" s="551">
        <v>136.02350000000001</v>
      </c>
      <c r="AQ511" s="551">
        <v>12697.793725</v>
      </c>
      <c r="AR511" s="551">
        <v>0.83409999999999995</v>
      </c>
    </row>
    <row r="512" spans="39:44" x14ac:dyDescent="0.25">
      <c r="AM512" s="550">
        <v>45437</v>
      </c>
      <c r="AN512" s="551">
        <v>93.24</v>
      </c>
      <c r="AO512" s="551">
        <v>596359</v>
      </c>
      <c r="AP512" s="551">
        <v>136.02350000000001</v>
      </c>
      <c r="AQ512" s="551">
        <v>12682.83114</v>
      </c>
      <c r="AR512" s="551">
        <v>0.83309999999999995</v>
      </c>
    </row>
    <row r="513" spans="39:44" x14ac:dyDescent="0.25">
      <c r="AM513" s="550">
        <v>45436</v>
      </c>
      <c r="AN513" s="551">
        <v>92.53</v>
      </c>
      <c r="AO513" s="551">
        <v>731038</v>
      </c>
      <c r="AP513" s="551">
        <v>136.02350000000001</v>
      </c>
      <c r="AQ513" s="551">
        <v>12586.254455000002</v>
      </c>
      <c r="AR513" s="551">
        <v>0.82669999999999999</v>
      </c>
    </row>
    <row r="514" spans="39:44" x14ac:dyDescent="0.25">
      <c r="AM514" s="550">
        <v>45435</v>
      </c>
      <c r="AN514" s="551">
        <v>93.92</v>
      </c>
      <c r="AO514" s="551">
        <v>778893</v>
      </c>
      <c r="AP514" s="551">
        <v>136.02350000000001</v>
      </c>
      <c r="AQ514" s="551">
        <v>12775.327120000002</v>
      </c>
      <c r="AR514" s="551">
        <v>0.83909999999999996</v>
      </c>
    </row>
    <row r="515" spans="39:44" x14ac:dyDescent="0.25">
      <c r="AM515" s="550">
        <v>45434</v>
      </c>
      <c r="AN515" s="551">
        <v>93.69</v>
      </c>
      <c r="AO515" s="551">
        <v>1154022</v>
      </c>
      <c r="AP515" s="551">
        <v>136.02350000000001</v>
      </c>
      <c r="AQ515" s="551">
        <v>12744.041715000001</v>
      </c>
      <c r="AR515" s="551">
        <v>0.83709999999999996</v>
      </c>
    </row>
    <row r="516" spans="39:44" x14ac:dyDescent="0.25">
      <c r="AM516" s="550">
        <v>45433</v>
      </c>
      <c r="AN516" s="551">
        <v>93.61</v>
      </c>
      <c r="AO516" s="551">
        <v>381374</v>
      </c>
      <c r="AP516" s="551">
        <v>136.02350000000001</v>
      </c>
      <c r="AQ516" s="551">
        <v>12733.159835</v>
      </c>
      <c r="AR516" s="551">
        <v>0.83640000000000003</v>
      </c>
    </row>
    <row r="517" spans="39:44" x14ac:dyDescent="0.25">
      <c r="AM517" s="550">
        <v>45432</v>
      </c>
      <c r="AN517" s="551">
        <v>93.61</v>
      </c>
      <c r="AO517" s="551">
        <v>381374</v>
      </c>
      <c r="AP517" s="551">
        <v>136.02350000000001</v>
      </c>
      <c r="AQ517" s="551">
        <v>12733.159835</v>
      </c>
      <c r="AR517" s="551">
        <v>0.83640000000000003</v>
      </c>
    </row>
    <row r="518" spans="39:44" x14ac:dyDescent="0.25">
      <c r="AM518" s="550">
        <v>45431</v>
      </c>
      <c r="AN518" s="551">
        <v>93.61</v>
      </c>
      <c r="AO518" s="551">
        <v>381374</v>
      </c>
      <c r="AP518" s="551">
        <v>136.02350000000001</v>
      </c>
      <c r="AQ518" s="551">
        <v>12733.159835</v>
      </c>
      <c r="AR518" s="551">
        <v>0.83640000000000003</v>
      </c>
    </row>
    <row r="519" spans="39:44" x14ac:dyDescent="0.25">
      <c r="AM519" s="550">
        <v>45430</v>
      </c>
      <c r="AN519" s="551">
        <v>95.5</v>
      </c>
      <c r="AO519" s="551">
        <v>342944</v>
      </c>
      <c r="AP519" s="551">
        <v>136.02350000000001</v>
      </c>
      <c r="AQ519" s="551">
        <v>12990.244250000002</v>
      </c>
      <c r="AR519" s="551">
        <v>0.85329999999999995</v>
      </c>
    </row>
    <row r="520" spans="39:44" x14ac:dyDescent="0.25">
      <c r="AM520" s="550">
        <v>45429</v>
      </c>
      <c r="AN520" s="551">
        <v>94.97</v>
      </c>
      <c r="AO520" s="551">
        <v>406658</v>
      </c>
      <c r="AP520" s="551">
        <v>136.02350000000001</v>
      </c>
      <c r="AQ520" s="551">
        <v>12918.151795000002</v>
      </c>
      <c r="AR520" s="551">
        <v>0.84850000000000003</v>
      </c>
    </row>
    <row r="521" spans="39:44" x14ac:dyDescent="0.25">
      <c r="AM521" s="550">
        <v>45428</v>
      </c>
      <c r="AN521" s="551">
        <v>96.14</v>
      </c>
      <c r="AO521" s="551">
        <v>490617</v>
      </c>
      <c r="AP521" s="551">
        <v>136.02350000000001</v>
      </c>
      <c r="AQ521" s="551">
        <v>13077.299290000001</v>
      </c>
      <c r="AR521" s="551">
        <v>0.85899999999999999</v>
      </c>
    </row>
    <row r="522" spans="39:44" x14ac:dyDescent="0.25">
      <c r="AM522" s="550">
        <v>45427</v>
      </c>
      <c r="AN522" s="551">
        <v>97.71</v>
      </c>
      <c r="AO522" s="551">
        <v>420051</v>
      </c>
      <c r="AP522" s="551">
        <v>136.02350000000001</v>
      </c>
      <c r="AQ522" s="551">
        <v>13290.856185000001</v>
      </c>
      <c r="AR522" s="551">
        <v>0.873</v>
      </c>
    </row>
    <row r="523" spans="39:44" x14ac:dyDescent="0.25">
      <c r="AM523" s="550">
        <v>45426</v>
      </c>
      <c r="AN523" s="551">
        <v>97.39</v>
      </c>
      <c r="AO523" s="551">
        <v>562999</v>
      </c>
      <c r="AP523" s="551">
        <v>136.02350000000001</v>
      </c>
      <c r="AQ523" s="551">
        <v>13247.328665000001</v>
      </c>
      <c r="AR523" s="551">
        <v>0.87009999999999998</v>
      </c>
    </row>
    <row r="524" spans="39:44" x14ac:dyDescent="0.25">
      <c r="AM524" s="550">
        <v>45425</v>
      </c>
      <c r="AN524" s="551">
        <v>97.39</v>
      </c>
      <c r="AO524" s="551">
        <v>562999</v>
      </c>
      <c r="AP524" s="551">
        <v>136.02350000000001</v>
      </c>
      <c r="AQ524" s="551">
        <v>13247.328665000001</v>
      </c>
      <c r="AR524" s="551">
        <v>0.87009999999999998</v>
      </c>
    </row>
    <row r="525" spans="39:44" x14ac:dyDescent="0.25">
      <c r="AM525" s="550">
        <v>45424</v>
      </c>
      <c r="AN525" s="551">
        <v>97.39</v>
      </c>
      <c r="AO525" s="551">
        <v>562999</v>
      </c>
      <c r="AP525" s="551">
        <v>136.02350000000001</v>
      </c>
      <c r="AQ525" s="551">
        <v>13247.328665000001</v>
      </c>
      <c r="AR525" s="551">
        <v>0.87009999999999998</v>
      </c>
    </row>
    <row r="526" spans="39:44" x14ac:dyDescent="0.25">
      <c r="AM526" s="550">
        <v>45423</v>
      </c>
      <c r="AN526" s="551">
        <v>97.07</v>
      </c>
      <c r="AO526" s="551">
        <v>627945</v>
      </c>
      <c r="AP526" s="551">
        <v>136.02350000000001</v>
      </c>
      <c r="AQ526" s="551">
        <v>13203.801144999999</v>
      </c>
      <c r="AR526" s="551">
        <v>0.86729999999999996</v>
      </c>
    </row>
    <row r="527" spans="39:44" x14ac:dyDescent="0.25">
      <c r="AM527" s="550">
        <v>45422</v>
      </c>
      <c r="AN527" s="551">
        <v>97.78</v>
      </c>
      <c r="AO527" s="551">
        <v>569682</v>
      </c>
      <c r="AP527" s="551">
        <v>136.02350000000001</v>
      </c>
      <c r="AQ527" s="551">
        <v>13300.377830000001</v>
      </c>
      <c r="AR527" s="551">
        <v>0.87360000000000004</v>
      </c>
    </row>
    <row r="528" spans="39:44" x14ac:dyDescent="0.25">
      <c r="AM528" s="550">
        <v>45421</v>
      </c>
      <c r="AN528" s="551">
        <v>97</v>
      </c>
      <c r="AO528" s="551">
        <v>527207</v>
      </c>
      <c r="AP528" s="551">
        <v>136.02350000000001</v>
      </c>
      <c r="AQ528" s="551">
        <v>13194.279500000001</v>
      </c>
      <c r="AR528" s="551">
        <v>0.86670000000000003</v>
      </c>
    </row>
    <row r="529" spans="39:44" x14ac:dyDescent="0.25">
      <c r="AM529" s="550">
        <v>45420</v>
      </c>
      <c r="AN529" s="551">
        <v>97.74</v>
      </c>
      <c r="AO529" s="551">
        <v>509826</v>
      </c>
      <c r="AP529" s="551">
        <v>136.02350000000001</v>
      </c>
      <c r="AQ529" s="551">
        <v>13294.936890000001</v>
      </c>
      <c r="AR529" s="551">
        <v>0.87329999999999997</v>
      </c>
    </row>
    <row r="530" spans="39:44" x14ac:dyDescent="0.25">
      <c r="AM530" s="550">
        <v>45419</v>
      </c>
      <c r="AN530" s="551">
        <v>98.08</v>
      </c>
      <c r="AO530" s="551">
        <v>830867</v>
      </c>
      <c r="AP530" s="551">
        <v>136.02350000000001</v>
      </c>
      <c r="AQ530" s="551">
        <v>13341.184880000001</v>
      </c>
      <c r="AR530" s="551">
        <v>0.90769999999999995</v>
      </c>
    </row>
    <row r="531" spans="39:44" x14ac:dyDescent="0.25">
      <c r="AM531" s="550">
        <v>45418</v>
      </c>
      <c r="AN531" s="551">
        <v>98.08</v>
      </c>
      <c r="AO531" s="551">
        <v>830867</v>
      </c>
      <c r="AP531" s="551">
        <v>136.02350000000001</v>
      </c>
      <c r="AQ531" s="551">
        <v>13341.184880000001</v>
      </c>
      <c r="AR531" s="551">
        <v>0.90769999999999995</v>
      </c>
    </row>
    <row r="532" spans="39:44" x14ac:dyDescent="0.25">
      <c r="AM532" s="550">
        <v>45417</v>
      </c>
      <c r="AN532" s="551">
        <v>98.08</v>
      </c>
      <c r="AO532" s="551">
        <v>830867</v>
      </c>
      <c r="AP532" s="551">
        <v>136.02350000000001</v>
      </c>
      <c r="AQ532" s="551">
        <v>13341.184880000001</v>
      </c>
      <c r="AR532" s="551">
        <v>0.90769999999999995</v>
      </c>
    </row>
    <row r="533" spans="39:44" x14ac:dyDescent="0.25">
      <c r="AM533" s="550">
        <v>45416</v>
      </c>
      <c r="AN533" s="551">
        <v>98.08</v>
      </c>
      <c r="AO533" s="551">
        <v>830867</v>
      </c>
      <c r="AP533" s="551">
        <v>136.02350000000001</v>
      </c>
      <c r="AQ533" s="551">
        <v>13341.184880000001</v>
      </c>
      <c r="AR533" s="551">
        <v>0.90769999999999995</v>
      </c>
    </row>
    <row r="534" spans="39:44" x14ac:dyDescent="0.25">
      <c r="AM534" s="550">
        <v>45415</v>
      </c>
      <c r="AN534" s="551">
        <v>97.31</v>
      </c>
      <c r="AO534" s="551">
        <v>539113</v>
      </c>
      <c r="AP534" s="551">
        <v>136.02350000000001</v>
      </c>
      <c r="AQ534" s="551">
        <v>13236.446785000002</v>
      </c>
      <c r="AR534" s="551">
        <v>0.90059999999999996</v>
      </c>
    </row>
    <row r="535" spans="39:44" x14ac:dyDescent="0.25">
      <c r="AM535" s="550">
        <v>45414</v>
      </c>
      <c r="AN535" s="551">
        <v>96.86</v>
      </c>
      <c r="AO535" s="551">
        <v>683267</v>
      </c>
      <c r="AP535" s="551">
        <v>136.02350000000001</v>
      </c>
      <c r="AQ535" s="551">
        <v>13175.236210000001</v>
      </c>
      <c r="AR535" s="551">
        <v>0.89649999999999996</v>
      </c>
    </row>
    <row r="536" spans="39:44" x14ac:dyDescent="0.25">
      <c r="AM536" s="550">
        <v>45413</v>
      </c>
      <c r="AN536" s="551">
        <v>95.85</v>
      </c>
      <c r="AO536" s="551">
        <v>1440547</v>
      </c>
      <c r="AP536" s="551">
        <v>136.02350000000001</v>
      </c>
      <c r="AQ536" s="551">
        <v>13037.852475</v>
      </c>
      <c r="AR536" s="551">
        <v>0.8871</v>
      </c>
    </row>
    <row r="537" spans="39:44" x14ac:dyDescent="0.25">
      <c r="AM537" s="550">
        <v>45412</v>
      </c>
      <c r="AN537" s="551">
        <v>97.61</v>
      </c>
      <c r="AO537" s="551">
        <v>694911</v>
      </c>
      <c r="AP537" s="551">
        <v>136.02350000000001</v>
      </c>
      <c r="AQ537" s="551">
        <v>13277.253835000001</v>
      </c>
      <c r="AR537" s="551">
        <v>0.90339999999999998</v>
      </c>
    </row>
    <row r="538" spans="39:44" x14ac:dyDescent="0.25">
      <c r="AM538" s="550">
        <v>45411</v>
      </c>
      <c r="AN538" s="551">
        <v>97.61</v>
      </c>
      <c r="AO538" s="551">
        <v>694911</v>
      </c>
      <c r="AP538" s="551">
        <v>136.02350000000001</v>
      </c>
      <c r="AQ538" s="551">
        <v>13277.253835000001</v>
      </c>
      <c r="AR538" s="551">
        <v>0.90339999999999998</v>
      </c>
    </row>
    <row r="539" spans="39:44" x14ac:dyDescent="0.25">
      <c r="AM539" s="550">
        <v>45410</v>
      </c>
      <c r="AN539" s="551">
        <v>97.61</v>
      </c>
      <c r="AO539" s="551">
        <v>694911</v>
      </c>
      <c r="AP539" s="551">
        <v>136.02350000000001</v>
      </c>
      <c r="AQ539" s="551">
        <v>13277.253835000001</v>
      </c>
      <c r="AR539" s="551">
        <v>0.90339999999999998</v>
      </c>
    </row>
    <row r="540" spans="39:44" x14ac:dyDescent="0.25">
      <c r="AM540" s="550">
        <v>45409</v>
      </c>
      <c r="AN540" s="551">
        <v>98.4</v>
      </c>
      <c r="AO540" s="551">
        <v>1181090</v>
      </c>
      <c r="AP540" s="551">
        <v>136.02350000000001</v>
      </c>
      <c r="AQ540" s="551">
        <v>13384.712400000002</v>
      </c>
      <c r="AR540" s="551">
        <v>0.91069999999999995</v>
      </c>
    </row>
    <row r="541" spans="39:44" x14ac:dyDescent="0.25">
      <c r="AM541" s="550">
        <v>45408</v>
      </c>
      <c r="AN541" s="551">
        <v>95.61</v>
      </c>
      <c r="AO541" s="551">
        <v>1238637</v>
      </c>
      <c r="AP541" s="551">
        <v>136.02350000000001</v>
      </c>
      <c r="AQ541" s="551">
        <v>13005.206835000001</v>
      </c>
      <c r="AR541" s="551">
        <v>0.88490000000000002</v>
      </c>
    </row>
    <row r="542" spans="39:44" x14ac:dyDescent="0.25">
      <c r="AM542" s="550">
        <v>45407</v>
      </c>
      <c r="AN542" s="551">
        <v>93.66</v>
      </c>
      <c r="AO542" s="551">
        <v>998356</v>
      </c>
      <c r="AP542" s="551">
        <v>136.02350000000001</v>
      </c>
      <c r="AQ542" s="551">
        <v>12739.961010000001</v>
      </c>
      <c r="AR542" s="551">
        <v>0.86680000000000001</v>
      </c>
    </row>
    <row r="543" spans="39:44" x14ac:dyDescent="0.25">
      <c r="AM543" s="550">
        <v>45406</v>
      </c>
      <c r="AN543" s="551">
        <v>91.59</v>
      </c>
      <c r="AO543" s="551">
        <v>909626</v>
      </c>
      <c r="AP543" s="551">
        <v>136.02350000000001</v>
      </c>
      <c r="AQ543" s="551">
        <v>12458.392365000002</v>
      </c>
      <c r="AR543" s="551">
        <v>0.84770000000000001</v>
      </c>
    </row>
    <row r="544" spans="39:44" x14ac:dyDescent="0.25">
      <c r="AM544" s="550">
        <v>45405</v>
      </c>
      <c r="AN544" s="551">
        <v>91.58</v>
      </c>
      <c r="AO544" s="551">
        <v>2169756</v>
      </c>
      <c r="AP544" s="551">
        <v>136.02350000000001</v>
      </c>
      <c r="AQ544" s="551">
        <v>12457.032130000001</v>
      </c>
      <c r="AR544" s="551">
        <v>0.84760000000000002</v>
      </c>
    </row>
    <row r="545" spans="39:44" x14ac:dyDescent="0.25">
      <c r="AM545" s="550">
        <v>45404</v>
      </c>
      <c r="AN545" s="551">
        <v>91.58</v>
      </c>
      <c r="AO545" s="551">
        <v>2169756</v>
      </c>
      <c r="AP545" s="551">
        <v>136.02350000000001</v>
      </c>
      <c r="AQ545" s="551">
        <v>12457.032130000001</v>
      </c>
      <c r="AR545" s="551">
        <v>0.84760000000000002</v>
      </c>
    </row>
    <row r="546" spans="39:44" x14ac:dyDescent="0.25">
      <c r="AM546" s="550">
        <v>45403</v>
      </c>
      <c r="AN546" s="551">
        <v>91.58</v>
      </c>
      <c r="AO546" s="551">
        <v>2169756</v>
      </c>
      <c r="AP546" s="551">
        <v>136.02350000000001</v>
      </c>
      <c r="AQ546" s="551">
        <v>12457.032130000001</v>
      </c>
      <c r="AR546" s="551">
        <v>0.84760000000000002</v>
      </c>
    </row>
    <row r="547" spans="39:44" x14ac:dyDescent="0.25">
      <c r="AM547" s="550">
        <v>45402</v>
      </c>
      <c r="AN547" s="551">
        <v>90.85</v>
      </c>
      <c r="AO547" s="551">
        <v>700733</v>
      </c>
      <c r="AP547" s="551">
        <v>136.02350000000001</v>
      </c>
      <c r="AQ547" s="551">
        <v>12357.734975000001</v>
      </c>
      <c r="AR547" s="551">
        <v>0.84079999999999999</v>
      </c>
    </row>
    <row r="548" spans="39:44" x14ac:dyDescent="0.25">
      <c r="AM548" s="550">
        <v>45401</v>
      </c>
      <c r="AN548" s="551">
        <v>91.44</v>
      </c>
      <c r="AO548" s="551">
        <v>502564</v>
      </c>
      <c r="AP548" s="551">
        <v>136.02350000000001</v>
      </c>
      <c r="AQ548" s="551">
        <v>12437.98884</v>
      </c>
      <c r="AR548" s="551">
        <v>0.84630000000000005</v>
      </c>
    </row>
    <row r="549" spans="39:44" x14ac:dyDescent="0.25">
      <c r="AM549" s="550">
        <v>45400</v>
      </c>
      <c r="AN549" s="551">
        <v>91.89</v>
      </c>
      <c r="AO549" s="551">
        <v>546287</v>
      </c>
      <c r="AP549" s="551">
        <v>136.02350000000001</v>
      </c>
      <c r="AQ549" s="551">
        <v>12499.199415000001</v>
      </c>
      <c r="AR549" s="551">
        <v>0.85050000000000003</v>
      </c>
    </row>
    <row r="550" spans="39:44" x14ac:dyDescent="0.25">
      <c r="AM550" s="550">
        <v>45399</v>
      </c>
      <c r="AN550" s="551">
        <v>91.35</v>
      </c>
      <c r="AO550" s="551">
        <v>532068</v>
      </c>
      <c r="AP550" s="551">
        <v>136.02350000000001</v>
      </c>
      <c r="AQ550" s="551">
        <v>12425.746725000001</v>
      </c>
      <c r="AR550" s="551">
        <v>0.84550000000000003</v>
      </c>
    </row>
    <row r="551" spans="39:44" x14ac:dyDescent="0.25">
      <c r="AM551" s="550">
        <v>45398</v>
      </c>
      <c r="AN551" s="551">
        <v>91.73</v>
      </c>
      <c r="AO551" s="551">
        <v>720217</v>
      </c>
      <c r="AP551" s="551">
        <v>136.02350000000001</v>
      </c>
      <c r="AQ551" s="551">
        <v>12477.435655000001</v>
      </c>
      <c r="AR551" s="551">
        <v>0.84899999999999998</v>
      </c>
    </row>
    <row r="552" spans="39:44" x14ac:dyDescent="0.25">
      <c r="AM552" s="550">
        <v>45397</v>
      </c>
      <c r="AN552" s="551">
        <v>91.73</v>
      </c>
      <c r="AO552" s="551">
        <v>720217</v>
      </c>
      <c r="AP552" s="551">
        <v>136.02350000000001</v>
      </c>
      <c r="AQ552" s="551">
        <v>12477.435655000001</v>
      </c>
      <c r="AR552" s="551">
        <v>0.84899999999999998</v>
      </c>
    </row>
    <row r="553" spans="39:44" x14ac:dyDescent="0.25">
      <c r="AM553" s="550">
        <v>45396</v>
      </c>
      <c r="AN553" s="551">
        <v>91.73</v>
      </c>
      <c r="AO553" s="551">
        <v>720217</v>
      </c>
      <c r="AP553" s="551">
        <v>136.02350000000001</v>
      </c>
      <c r="AQ553" s="551">
        <v>12477.435655000001</v>
      </c>
      <c r="AR553" s="551">
        <v>0.84899999999999998</v>
      </c>
    </row>
    <row r="554" spans="39:44" x14ac:dyDescent="0.25">
      <c r="AM554" s="550">
        <v>45395</v>
      </c>
      <c r="AN554" s="551">
        <v>90.61</v>
      </c>
      <c r="AO554" s="551">
        <v>678244</v>
      </c>
      <c r="AP554" s="551">
        <v>136.02350000000001</v>
      </c>
      <c r="AQ554" s="551">
        <v>12325.089335000001</v>
      </c>
      <c r="AR554" s="551">
        <v>0.83860000000000001</v>
      </c>
    </row>
    <row r="555" spans="39:44" x14ac:dyDescent="0.25">
      <c r="AM555" s="550">
        <v>45394</v>
      </c>
      <c r="AN555" s="551">
        <v>89.44</v>
      </c>
      <c r="AO555" s="551">
        <v>620483</v>
      </c>
      <c r="AP555" s="551">
        <v>136.02350000000001</v>
      </c>
      <c r="AQ555" s="551">
        <v>12165.941840000001</v>
      </c>
      <c r="AR555" s="551">
        <v>0.82779999999999998</v>
      </c>
    </row>
    <row r="556" spans="39:44" x14ac:dyDescent="0.25">
      <c r="AM556" s="550">
        <v>45393</v>
      </c>
      <c r="AN556" s="551">
        <v>88.57</v>
      </c>
      <c r="AO556" s="551">
        <v>599777</v>
      </c>
      <c r="AP556" s="551">
        <v>136.02350000000001</v>
      </c>
      <c r="AQ556" s="551">
        <v>12047.601395</v>
      </c>
      <c r="AR556" s="551">
        <v>0.81969999999999998</v>
      </c>
    </row>
    <row r="557" spans="39:44" x14ac:dyDescent="0.25">
      <c r="AM557" s="550">
        <v>45392</v>
      </c>
      <c r="AN557" s="551">
        <v>89.81</v>
      </c>
      <c r="AO557" s="551">
        <v>534182</v>
      </c>
      <c r="AP557" s="551">
        <v>136.02350000000001</v>
      </c>
      <c r="AQ557" s="551">
        <v>12216.270535000001</v>
      </c>
      <c r="AR557" s="551">
        <v>0.83120000000000005</v>
      </c>
    </row>
    <row r="558" spans="39:44" x14ac:dyDescent="0.25">
      <c r="AM558" s="550">
        <v>45391</v>
      </c>
      <c r="AN558" s="551">
        <v>89.38</v>
      </c>
      <c r="AO558" s="551">
        <v>551731</v>
      </c>
      <c r="AP558" s="551">
        <v>136.02350000000001</v>
      </c>
      <c r="AQ558" s="551">
        <v>12157.780430000001</v>
      </c>
      <c r="AR558" s="551">
        <v>0.82720000000000005</v>
      </c>
    </row>
    <row r="559" spans="39:44" x14ac:dyDescent="0.25">
      <c r="AM559" s="550">
        <v>45390</v>
      </c>
      <c r="AN559" s="551">
        <v>89.38</v>
      </c>
      <c r="AO559" s="551">
        <v>551731</v>
      </c>
      <c r="AP559" s="551">
        <v>136.02350000000001</v>
      </c>
      <c r="AQ559" s="551">
        <v>12157.780430000001</v>
      </c>
      <c r="AR559" s="551">
        <v>0.82720000000000005</v>
      </c>
    </row>
    <row r="560" spans="39:44" x14ac:dyDescent="0.25">
      <c r="AM560" s="550">
        <v>45389</v>
      </c>
      <c r="AN560" s="551">
        <v>89.38</v>
      </c>
      <c r="AO560" s="551">
        <v>551731</v>
      </c>
      <c r="AP560" s="551">
        <v>136.02350000000001</v>
      </c>
      <c r="AQ560" s="551">
        <v>12157.780430000001</v>
      </c>
      <c r="AR560" s="551">
        <v>0.82720000000000005</v>
      </c>
    </row>
    <row r="561" spans="39:44" x14ac:dyDescent="0.25">
      <c r="AM561" s="550">
        <v>45388</v>
      </c>
      <c r="AN561" s="551">
        <v>88.83</v>
      </c>
      <c r="AO561" s="551">
        <v>1423491</v>
      </c>
      <c r="AP561" s="551">
        <v>136.02350000000001</v>
      </c>
      <c r="AQ561" s="551">
        <v>12082.967505000001</v>
      </c>
      <c r="AR561" s="551">
        <v>0.82210000000000005</v>
      </c>
    </row>
    <row r="562" spans="39:44" x14ac:dyDescent="0.25">
      <c r="AM562" s="550">
        <v>45387</v>
      </c>
      <c r="AN562" s="551">
        <v>89.21</v>
      </c>
      <c r="AO562" s="551">
        <v>529899</v>
      </c>
      <c r="AP562" s="551">
        <v>136.02350000000001</v>
      </c>
      <c r="AQ562" s="551">
        <v>12134.656435000001</v>
      </c>
      <c r="AR562" s="551">
        <v>0.8256</v>
      </c>
    </row>
    <row r="563" spans="39:44" x14ac:dyDescent="0.25">
      <c r="AM563" s="550">
        <v>45386</v>
      </c>
      <c r="AN563" s="551">
        <v>89.4</v>
      </c>
      <c r="AO563" s="551">
        <v>479180</v>
      </c>
      <c r="AP563" s="551">
        <v>136.02350000000001</v>
      </c>
      <c r="AQ563" s="551">
        <v>12160.500900000003</v>
      </c>
      <c r="AR563" s="551">
        <v>0.82740000000000002</v>
      </c>
    </row>
    <row r="564" spans="39:44" x14ac:dyDescent="0.25">
      <c r="AM564" s="550">
        <v>45385</v>
      </c>
      <c r="AN564" s="551">
        <v>89.47</v>
      </c>
      <c r="AO564" s="551">
        <v>366193</v>
      </c>
      <c r="AP564" s="551">
        <v>136.02350000000001</v>
      </c>
      <c r="AQ564" s="551">
        <v>12170.022545000002</v>
      </c>
      <c r="AR564" s="551">
        <v>0.82809999999999995</v>
      </c>
    </row>
    <row r="565" spans="39:44" x14ac:dyDescent="0.25">
      <c r="AM565" s="550">
        <v>45384</v>
      </c>
      <c r="AN565" s="551">
        <v>89.53</v>
      </c>
      <c r="AO565" s="551">
        <v>544782</v>
      </c>
      <c r="AP565" s="551">
        <v>136.02350000000001</v>
      </c>
      <c r="AQ565" s="551">
        <v>12178.183955</v>
      </c>
      <c r="AR565" s="551">
        <v>0.8286</v>
      </c>
    </row>
    <row r="566" spans="39:44" x14ac:dyDescent="0.25">
      <c r="AM566" s="550">
        <v>45383</v>
      </c>
      <c r="AN566" s="551">
        <v>89.53</v>
      </c>
      <c r="AO566" s="551">
        <v>544782</v>
      </c>
      <c r="AP566" s="551">
        <v>136.02350000000001</v>
      </c>
      <c r="AQ566" s="551">
        <v>12178.183955</v>
      </c>
      <c r="AR566" s="551">
        <v>0.8286</v>
      </c>
    </row>
    <row r="567" spans="39:44" x14ac:dyDescent="0.25">
      <c r="AM567" s="550">
        <v>45382</v>
      </c>
      <c r="AN567" s="551">
        <v>89.53</v>
      </c>
      <c r="AO567" s="551">
        <v>544782</v>
      </c>
      <c r="AP567" s="551">
        <v>136.02350000000001</v>
      </c>
      <c r="AQ567" s="551">
        <v>12178.183955</v>
      </c>
      <c r="AR567" s="551">
        <v>0.8286</v>
      </c>
    </row>
    <row r="568" spans="39:44" x14ac:dyDescent="0.25">
      <c r="AM568" s="550">
        <v>45381</v>
      </c>
      <c r="AN568" s="551">
        <v>89.23</v>
      </c>
      <c r="AO568" s="551">
        <v>409464</v>
      </c>
      <c r="AP568" s="551">
        <v>136.02350000000001</v>
      </c>
      <c r="AQ568" s="551">
        <v>12137.376905000001</v>
      </c>
      <c r="AR568" s="551">
        <v>0.82579999999999998</v>
      </c>
    </row>
    <row r="569" spans="39:44" x14ac:dyDescent="0.25">
      <c r="AM569" s="550">
        <v>45380</v>
      </c>
      <c r="AN569" s="551">
        <v>88.11</v>
      </c>
      <c r="AO569" s="551">
        <v>549846</v>
      </c>
      <c r="AP569" s="551">
        <v>136.02350000000001</v>
      </c>
      <c r="AQ569" s="551">
        <v>11985.030585</v>
      </c>
      <c r="AR569" s="551">
        <v>0.8155</v>
      </c>
    </row>
    <row r="570" spans="39:44" x14ac:dyDescent="0.25">
      <c r="AM570" s="550">
        <v>45379</v>
      </c>
      <c r="AN570" s="551">
        <v>87.85</v>
      </c>
      <c r="AO570" s="551">
        <v>740705</v>
      </c>
      <c r="AP570" s="551">
        <v>136.02350000000001</v>
      </c>
      <c r="AQ570" s="551">
        <v>11949.664475</v>
      </c>
      <c r="AR570" s="551">
        <v>0.81310000000000004</v>
      </c>
    </row>
    <row r="571" spans="39:44" x14ac:dyDescent="0.25">
      <c r="AM571" s="550">
        <v>45378</v>
      </c>
      <c r="AN571" s="551">
        <v>89.19</v>
      </c>
      <c r="AO571" s="551">
        <v>574437</v>
      </c>
      <c r="AP571" s="551">
        <v>136.02350000000001</v>
      </c>
      <c r="AQ571" s="551">
        <v>12131.935965000001</v>
      </c>
      <c r="AR571" s="551">
        <v>0.82550000000000001</v>
      </c>
    </row>
    <row r="572" spans="39:44" x14ac:dyDescent="0.25">
      <c r="AM572" s="550">
        <v>45377</v>
      </c>
      <c r="AN572" s="551">
        <v>89.19</v>
      </c>
      <c r="AO572" s="551">
        <v>574437</v>
      </c>
      <c r="AP572" s="551">
        <v>136.02350000000001</v>
      </c>
      <c r="AQ572" s="551">
        <v>12131.935965000001</v>
      </c>
      <c r="AR572" s="551">
        <v>0.82550000000000001</v>
      </c>
    </row>
    <row r="573" spans="39:44" x14ac:dyDescent="0.25">
      <c r="AM573" s="550">
        <v>45376</v>
      </c>
      <c r="AN573" s="551">
        <v>89.19</v>
      </c>
      <c r="AO573" s="551">
        <v>574437</v>
      </c>
      <c r="AP573" s="551">
        <v>136.02350000000001</v>
      </c>
      <c r="AQ573" s="551">
        <v>12131.935965000001</v>
      </c>
      <c r="AR573" s="551">
        <v>0.82550000000000001</v>
      </c>
    </row>
    <row r="574" spans="39:44" x14ac:dyDescent="0.25">
      <c r="AM574" s="550">
        <v>45375</v>
      </c>
      <c r="AN574" s="551">
        <v>89.19</v>
      </c>
      <c r="AO574" s="551">
        <v>574437</v>
      </c>
      <c r="AP574" s="551">
        <v>136.02350000000001</v>
      </c>
      <c r="AQ574" s="551">
        <v>12131.935965000001</v>
      </c>
      <c r="AR574" s="551">
        <v>0.82550000000000001</v>
      </c>
    </row>
    <row r="575" spans="39:44" x14ac:dyDescent="0.25">
      <c r="AM575" s="550">
        <v>45374</v>
      </c>
      <c r="AN575" s="551">
        <v>90.7</v>
      </c>
      <c r="AO575" s="551">
        <v>514304</v>
      </c>
      <c r="AP575" s="551">
        <v>136.02350000000001</v>
      </c>
      <c r="AQ575" s="551">
        <v>12337.331450000001</v>
      </c>
      <c r="AR575" s="551">
        <v>0.83940000000000003</v>
      </c>
    </row>
    <row r="576" spans="39:44" x14ac:dyDescent="0.25">
      <c r="AM576" s="550">
        <v>45373</v>
      </c>
      <c r="AN576" s="551">
        <v>89.84</v>
      </c>
      <c r="AO576" s="551">
        <v>472717</v>
      </c>
      <c r="AP576" s="551">
        <v>136.02350000000001</v>
      </c>
      <c r="AQ576" s="551">
        <v>12220.351240000002</v>
      </c>
      <c r="AR576" s="551">
        <v>0.83150000000000002</v>
      </c>
    </row>
    <row r="577" spans="39:44" x14ac:dyDescent="0.25">
      <c r="AM577" s="550">
        <v>45372</v>
      </c>
      <c r="AN577" s="551">
        <v>88.81</v>
      </c>
      <c r="AO577" s="551">
        <v>728613</v>
      </c>
      <c r="AP577" s="551">
        <v>136.02350000000001</v>
      </c>
      <c r="AQ577" s="551">
        <v>12080.247035000002</v>
      </c>
      <c r="AR577" s="551">
        <v>0.82189999999999996</v>
      </c>
    </row>
    <row r="578" spans="39:44" x14ac:dyDescent="0.25">
      <c r="AM578" s="550">
        <v>45371</v>
      </c>
      <c r="AN578" s="551">
        <v>90.17</v>
      </c>
      <c r="AO578" s="551">
        <v>636845</v>
      </c>
      <c r="AP578" s="551">
        <v>136.02350000000001</v>
      </c>
      <c r="AQ578" s="551">
        <v>12265.238995000002</v>
      </c>
      <c r="AR578" s="551">
        <v>0.83450000000000002</v>
      </c>
    </row>
    <row r="579" spans="39:44" x14ac:dyDescent="0.25">
      <c r="AM579" s="550">
        <v>45370</v>
      </c>
      <c r="AN579" s="551">
        <v>89.54</v>
      </c>
      <c r="AO579" s="551">
        <v>600266</v>
      </c>
      <c r="AP579" s="551">
        <v>136.02350000000001</v>
      </c>
      <c r="AQ579" s="551">
        <v>12179.544190000002</v>
      </c>
      <c r="AR579" s="551">
        <v>0.82869999999999999</v>
      </c>
    </row>
    <row r="580" spans="39:44" x14ac:dyDescent="0.25">
      <c r="AM580" s="550">
        <v>45369</v>
      </c>
      <c r="AN580" s="551">
        <v>89.54</v>
      </c>
      <c r="AO580" s="551">
        <v>600266</v>
      </c>
      <c r="AP580" s="551">
        <v>136.02350000000001</v>
      </c>
      <c r="AQ580" s="551">
        <v>12179.544190000002</v>
      </c>
      <c r="AR580" s="551">
        <v>0.82869999999999999</v>
      </c>
    </row>
    <row r="581" spans="39:44" x14ac:dyDescent="0.25">
      <c r="AM581" s="550">
        <v>45368</v>
      </c>
      <c r="AN581" s="551">
        <v>89.54</v>
      </c>
      <c r="AO581" s="551">
        <v>600266</v>
      </c>
      <c r="AP581" s="551">
        <v>136.02350000000001</v>
      </c>
      <c r="AQ581" s="551">
        <v>12179.544190000002</v>
      </c>
      <c r="AR581" s="551">
        <v>0.82869999999999999</v>
      </c>
    </row>
    <row r="582" spans="39:44" x14ac:dyDescent="0.25">
      <c r="AM582" s="550">
        <v>45367</v>
      </c>
      <c r="AN582" s="551">
        <v>88.49</v>
      </c>
      <c r="AO582" s="551">
        <v>929649</v>
      </c>
      <c r="AP582" s="551">
        <v>136.02350000000001</v>
      </c>
      <c r="AQ582" s="551">
        <v>12036.719515000001</v>
      </c>
      <c r="AR582" s="551">
        <v>0.81899999999999995</v>
      </c>
    </row>
    <row r="583" spans="39:44" x14ac:dyDescent="0.25">
      <c r="AM583" s="550">
        <v>45366</v>
      </c>
      <c r="AN583" s="551">
        <v>87.33</v>
      </c>
      <c r="AO583" s="551">
        <v>1140096</v>
      </c>
      <c r="AP583" s="551">
        <v>136.02350000000001</v>
      </c>
      <c r="AQ583" s="551">
        <v>11878.932255000002</v>
      </c>
      <c r="AR583" s="551">
        <v>0.80830000000000002</v>
      </c>
    </row>
    <row r="584" spans="39:44" x14ac:dyDescent="0.25">
      <c r="AM584" s="550">
        <v>45365</v>
      </c>
      <c r="AN584" s="551">
        <v>88.59</v>
      </c>
      <c r="AO584" s="551">
        <v>1589947</v>
      </c>
      <c r="AP584" s="551">
        <v>136.02341999999999</v>
      </c>
      <c r="AQ584" s="551">
        <v>12050.3147778</v>
      </c>
      <c r="AR584" s="551">
        <v>0.81989999999999996</v>
      </c>
    </row>
    <row r="585" spans="39:44" x14ac:dyDescent="0.25">
      <c r="AM585" s="550">
        <v>45364</v>
      </c>
      <c r="AN585" s="551">
        <v>88.75</v>
      </c>
      <c r="AO585" s="551">
        <v>975701</v>
      </c>
      <c r="AP585" s="551">
        <v>136.02341999999999</v>
      </c>
      <c r="AQ585" s="551">
        <v>12072.078524999999</v>
      </c>
      <c r="AR585" s="551">
        <v>0.82140000000000002</v>
      </c>
    </row>
    <row r="586" spans="39:44" x14ac:dyDescent="0.25">
      <c r="AM586" s="550">
        <v>45363</v>
      </c>
      <c r="AN586" s="551">
        <v>90.24</v>
      </c>
      <c r="AO586" s="551">
        <v>1122202</v>
      </c>
      <c r="AP586" s="551">
        <v>136.02341999999999</v>
      </c>
      <c r="AQ586" s="551">
        <v>12274.753420799998</v>
      </c>
      <c r="AR586" s="551">
        <v>0.83520000000000005</v>
      </c>
    </row>
    <row r="587" spans="39:44" x14ac:dyDescent="0.25">
      <c r="AM587" s="550">
        <v>45362</v>
      </c>
      <c r="AN587" s="551">
        <v>90.24</v>
      </c>
      <c r="AO587" s="551">
        <v>1122202</v>
      </c>
      <c r="AP587" s="551">
        <v>136.02341999999999</v>
      </c>
      <c r="AQ587" s="551">
        <v>12274.753420799998</v>
      </c>
      <c r="AR587" s="551">
        <v>0.83520000000000005</v>
      </c>
    </row>
    <row r="588" spans="39:44" x14ac:dyDescent="0.25">
      <c r="AM588" s="550">
        <v>45361</v>
      </c>
      <c r="AN588" s="551">
        <v>90.24</v>
      </c>
      <c r="AO588" s="551">
        <v>1122202</v>
      </c>
      <c r="AP588" s="551">
        <v>136.02341999999999</v>
      </c>
      <c r="AQ588" s="551">
        <v>12274.753420799998</v>
      </c>
      <c r="AR588" s="551">
        <v>0.83520000000000005</v>
      </c>
    </row>
    <row r="589" spans="39:44" x14ac:dyDescent="0.25">
      <c r="AM589" s="550">
        <v>45360</v>
      </c>
      <c r="AN589" s="551">
        <v>89.73</v>
      </c>
      <c r="AO589" s="551">
        <v>2019192</v>
      </c>
      <c r="AP589" s="551">
        <v>136.02341999999999</v>
      </c>
      <c r="AQ589" s="551">
        <v>12205.3814766</v>
      </c>
      <c r="AR589" s="551">
        <v>0.83050000000000002</v>
      </c>
    </row>
    <row r="590" spans="39:44" x14ac:dyDescent="0.25">
      <c r="AM590" s="550">
        <v>45359</v>
      </c>
      <c r="AN590" s="551">
        <v>88.19</v>
      </c>
      <c r="AO590" s="551">
        <v>814452</v>
      </c>
      <c r="AP590" s="551">
        <v>136.02341999999999</v>
      </c>
      <c r="AQ590" s="551">
        <v>11995.905409799998</v>
      </c>
      <c r="AR590" s="551">
        <v>0.81620000000000004</v>
      </c>
    </row>
    <row r="591" spans="39:44" x14ac:dyDescent="0.25">
      <c r="AM591" s="550">
        <v>45358</v>
      </c>
      <c r="AN591" s="551">
        <v>89.7</v>
      </c>
      <c r="AO591" s="551">
        <v>916378</v>
      </c>
      <c r="AP591" s="551">
        <v>136.02341999999999</v>
      </c>
      <c r="AQ591" s="551">
        <v>12201.300773999999</v>
      </c>
      <c r="AR591" s="551">
        <v>0.83020000000000005</v>
      </c>
    </row>
    <row r="592" spans="39:44" x14ac:dyDescent="0.25">
      <c r="AM592" s="550">
        <v>45357</v>
      </c>
      <c r="AN592" s="551">
        <v>89.62</v>
      </c>
      <c r="AO592" s="551">
        <v>622714</v>
      </c>
      <c r="AP592" s="551">
        <v>135.98724999999999</v>
      </c>
      <c r="AQ592" s="551">
        <v>12187.177345</v>
      </c>
      <c r="AR592" s="551">
        <v>0.82940000000000003</v>
      </c>
    </row>
    <row r="593" spans="39:44" x14ac:dyDescent="0.25">
      <c r="AM593" s="550">
        <v>45356</v>
      </c>
      <c r="AN593" s="551">
        <v>89.36</v>
      </c>
      <c r="AO593" s="551">
        <v>409581</v>
      </c>
      <c r="AP593" s="551">
        <v>135.98724999999999</v>
      </c>
      <c r="AQ593" s="551">
        <v>12151.820659999999</v>
      </c>
      <c r="AR593" s="551">
        <v>0.82699999999999996</v>
      </c>
    </row>
    <row r="594" spans="39:44" x14ac:dyDescent="0.25">
      <c r="AM594" s="550">
        <v>45355</v>
      </c>
      <c r="AN594" s="551">
        <v>89.36</v>
      </c>
      <c r="AO594" s="551">
        <v>409581</v>
      </c>
      <c r="AP594" s="551">
        <v>135.98724999999999</v>
      </c>
      <c r="AQ594" s="551">
        <v>12151.820659999999</v>
      </c>
      <c r="AR594" s="551">
        <v>0.82699999999999996</v>
      </c>
    </row>
    <row r="595" spans="39:44" x14ac:dyDescent="0.25">
      <c r="AM595" s="550">
        <v>45354</v>
      </c>
      <c r="AN595" s="551">
        <v>89.36</v>
      </c>
      <c r="AO595" s="551">
        <v>409581</v>
      </c>
      <c r="AP595" s="551">
        <v>135.98724999999999</v>
      </c>
      <c r="AQ595" s="551">
        <v>12151.820659999999</v>
      </c>
      <c r="AR595" s="551">
        <v>0.82699999999999996</v>
      </c>
    </row>
    <row r="596" spans="39:44" x14ac:dyDescent="0.25">
      <c r="AM596" s="550">
        <v>45353</v>
      </c>
      <c r="AN596" s="551">
        <v>88.75</v>
      </c>
      <c r="AO596" s="551">
        <v>422640</v>
      </c>
      <c r="AP596" s="551">
        <v>135.98724999999999</v>
      </c>
      <c r="AQ596" s="551">
        <v>12068.868437499999</v>
      </c>
      <c r="AR596" s="551">
        <v>0.82140000000000002</v>
      </c>
    </row>
    <row r="597" spans="39:44" x14ac:dyDescent="0.25">
      <c r="AM597" s="550">
        <v>45352</v>
      </c>
      <c r="AN597" s="551">
        <v>88.17</v>
      </c>
      <c r="AO597" s="551">
        <v>627052</v>
      </c>
      <c r="AP597" s="551">
        <v>135.98724999999999</v>
      </c>
      <c r="AQ597" s="551">
        <v>11989.995832499999</v>
      </c>
      <c r="AR597" s="551">
        <v>0.81599999999999995</v>
      </c>
    </row>
    <row r="598" spans="39:44" x14ac:dyDescent="0.25">
      <c r="AM598" s="550">
        <v>45351</v>
      </c>
      <c r="AN598" s="551">
        <v>88.26</v>
      </c>
      <c r="AO598" s="551">
        <v>666480</v>
      </c>
      <c r="AP598" s="551">
        <v>135.98724999999999</v>
      </c>
      <c r="AQ598" s="551">
        <v>12002.234684999999</v>
      </c>
      <c r="AR598" s="551">
        <v>0.81689999999999996</v>
      </c>
    </row>
    <row r="599" spans="39:44" x14ac:dyDescent="0.25">
      <c r="AM599" s="550">
        <v>45350</v>
      </c>
      <c r="AN599" s="551">
        <v>88.78</v>
      </c>
      <c r="AO599" s="551">
        <v>456357</v>
      </c>
      <c r="AP599" s="551">
        <v>135.98724999999999</v>
      </c>
      <c r="AQ599" s="551">
        <v>12072.948054999999</v>
      </c>
      <c r="AR599" s="551">
        <v>0.82169999999999999</v>
      </c>
    </row>
    <row r="600" spans="39:44" x14ac:dyDescent="0.25">
      <c r="AM600" s="550">
        <v>45349</v>
      </c>
      <c r="AN600" s="551">
        <v>88.5</v>
      </c>
      <c r="AO600" s="551">
        <v>908908</v>
      </c>
      <c r="AP600" s="551">
        <v>135.98724999999999</v>
      </c>
      <c r="AQ600" s="551">
        <v>12034.871625</v>
      </c>
      <c r="AR600" s="551">
        <v>0.81910000000000005</v>
      </c>
    </row>
    <row r="601" spans="39:44" x14ac:dyDescent="0.25">
      <c r="AM601" s="550">
        <v>45348</v>
      </c>
      <c r="AN601" s="551">
        <v>88.5</v>
      </c>
      <c r="AO601" s="551">
        <v>908908</v>
      </c>
      <c r="AP601" s="551">
        <v>135.98724999999999</v>
      </c>
      <c r="AQ601" s="551">
        <v>12034.871625</v>
      </c>
      <c r="AR601" s="551">
        <v>0.81910000000000005</v>
      </c>
    </row>
    <row r="602" spans="39:44" x14ac:dyDescent="0.25">
      <c r="AM602" s="550">
        <v>45347</v>
      </c>
      <c r="AN602" s="551">
        <v>88.5</v>
      </c>
      <c r="AO602" s="551">
        <v>908908</v>
      </c>
      <c r="AP602" s="551">
        <v>135.98724999999999</v>
      </c>
      <c r="AQ602" s="551">
        <v>12034.871625</v>
      </c>
      <c r="AR602" s="551">
        <v>0.81910000000000005</v>
      </c>
    </row>
    <row r="603" spans="39:44" x14ac:dyDescent="0.25">
      <c r="AM603" s="550">
        <v>45346</v>
      </c>
      <c r="AN603" s="551">
        <v>88.45</v>
      </c>
      <c r="AO603" s="551">
        <v>435254</v>
      </c>
      <c r="AP603" s="551">
        <v>135.98724999999999</v>
      </c>
      <c r="AQ603" s="551">
        <v>12028.0722625</v>
      </c>
      <c r="AR603" s="551">
        <v>0.81859999999999999</v>
      </c>
    </row>
    <row r="604" spans="39:44" x14ac:dyDescent="0.25">
      <c r="AM604" s="550">
        <v>45345</v>
      </c>
      <c r="AN604" s="551">
        <v>87.41</v>
      </c>
      <c r="AO604" s="551">
        <v>486904</v>
      </c>
      <c r="AP604" s="551">
        <v>135.98724999999999</v>
      </c>
      <c r="AQ604" s="551">
        <v>11886.645522499999</v>
      </c>
      <c r="AR604" s="551">
        <v>0.80900000000000005</v>
      </c>
    </row>
    <row r="605" spans="39:44" x14ac:dyDescent="0.25">
      <c r="AM605" s="550">
        <v>45344</v>
      </c>
      <c r="AN605" s="551">
        <v>88.83</v>
      </c>
      <c r="AO605" s="551">
        <v>893615</v>
      </c>
      <c r="AP605" s="551">
        <v>135.98724999999999</v>
      </c>
      <c r="AQ605" s="551">
        <v>12079.747417499999</v>
      </c>
      <c r="AR605" s="551">
        <v>0.82210000000000005</v>
      </c>
    </row>
    <row r="606" spans="39:44" x14ac:dyDescent="0.25">
      <c r="AM606" s="550">
        <v>45343</v>
      </c>
      <c r="AN606" s="551">
        <v>90.51</v>
      </c>
      <c r="AO606" s="551">
        <v>788875</v>
      </c>
      <c r="AP606" s="551">
        <v>135.98724999999999</v>
      </c>
      <c r="AQ606" s="551">
        <v>12308.205997499999</v>
      </c>
      <c r="AR606" s="551">
        <v>0.8377</v>
      </c>
    </row>
    <row r="607" spans="39:44" x14ac:dyDescent="0.25">
      <c r="AM607" s="550">
        <v>45342</v>
      </c>
      <c r="AN607" s="551">
        <v>90.51</v>
      </c>
      <c r="AO607" s="551">
        <v>788875</v>
      </c>
      <c r="AP607" s="551">
        <v>135.98724999999999</v>
      </c>
      <c r="AQ607" s="551">
        <v>12308.205997499999</v>
      </c>
      <c r="AR607" s="551">
        <v>0.8377</v>
      </c>
    </row>
    <row r="608" spans="39:44" x14ac:dyDescent="0.25">
      <c r="AM608" s="550">
        <v>45341</v>
      </c>
      <c r="AN608" s="551">
        <v>90.51</v>
      </c>
      <c r="AO608" s="551">
        <v>788875</v>
      </c>
      <c r="AP608" s="551">
        <v>135.98724999999999</v>
      </c>
      <c r="AQ608" s="551">
        <v>12308.205997499999</v>
      </c>
      <c r="AR608" s="551">
        <v>0.8377</v>
      </c>
    </row>
    <row r="609" spans="39:44" x14ac:dyDescent="0.25">
      <c r="AM609" s="550">
        <v>45340</v>
      </c>
      <c r="AN609" s="551">
        <v>90.51</v>
      </c>
      <c r="AO609" s="551">
        <v>788875</v>
      </c>
      <c r="AP609" s="551">
        <v>135.98724999999999</v>
      </c>
      <c r="AQ609" s="551">
        <v>12308.205997499999</v>
      </c>
      <c r="AR609" s="551">
        <v>0.8377</v>
      </c>
    </row>
    <row r="610" spans="39:44" x14ac:dyDescent="0.25">
      <c r="AM610" s="550">
        <v>45339</v>
      </c>
      <c r="AN610" s="551">
        <v>89.56</v>
      </c>
      <c r="AO610" s="551">
        <v>977625</v>
      </c>
      <c r="AP610" s="551">
        <v>135.98724999999999</v>
      </c>
      <c r="AQ610" s="551">
        <v>12179.018109999999</v>
      </c>
      <c r="AR610" s="551">
        <v>0.82889999999999997</v>
      </c>
    </row>
    <row r="611" spans="39:44" x14ac:dyDescent="0.25">
      <c r="AM611" s="550">
        <v>45338</v>
      </c>
      <c r="AN611" s="551">
        <v>89.33</v>
      </c>
      <c r="AO611" s="551">
        <v>892408</v>
      </c>
      <c r="AP611" s="551">
        <v>135.98724999999999</v>
      </c>
      <c r="AQ611" s="551">
        <v>12147.741042499998</v>
      </c>
      <c r="AR611" s="551">
        <v>0.82679999999999998</v>
      </c>
    </row>
    <row r="612" spans="39:44" x14ac:dyDescent="0.25">
      <c r="AM612" s="550">
        <v>45337</v>
      </c>
      <c r="AN612" s="551">
        <v>88.35</v>
      </c>
      <c r="AO612" s="551">
        <v>1016222</v>
      </c>
      <c r="AP612" s="551">
        <v>135.98724999999999</v>
      </c>
      <c r="AQ612" s="551">
        <v>12014.473537499998</v>
      </c>
      <c r="AR612" s="551">
        <v>0.81769999999999998</v>
      </c>
    </row>
    <row r="613" spans="39:44" x14ac:dyDescent="0.25">
      <c r="AM613" s="550">
        <v>45336</v>
      </c>
      <c r="AN613" s="551">
        <v>89.06</v>
      </c>
      <c r="AO613" s="551">
        <v>652079</v>
      </c>
      <c r="AP613" s="551">
        <v>135.98724999999999</v>
      </c>
      <c r="AQ613" s="551">
        <v>12111.024485</v>
      </c>
      <c r="AR613" s="551">
        <v>0.82430000000000003</v>
      </c>
    </row>
    <row r="614" spans="39:44" x14ac:dyDescent="0.25">
      <c r="AM614" s="550">
        <v>45335</v>
      </c>
      <c r="AN614" s="551">
        <v>88.72</v>
      </c>
      <c r="AO614" s="551">
        <v>1252782</v>
      </c>
      <c r="AP614" s="551">
        <v>135.98724999999999</v>
      </c>
      <c r="AQ614" s="551">
        <v>12064.78882</v>
      </c>
      <c r="AR614" s="551">
        <v>0.82110000000000005</v>
      </c>
    </row>
    <row r="615" spans="39:44" x14ac:dyDescent="0.25">
      <c r="AM615" s="550">
        <v>45334</v>
      </c>
      <c r="AN615" s="551">
        <v>88.72</v>
      </c>
      <c r="AO615" s="551">
        <v>1252782</v>
      </c>
      <c r="AP615" s="551">
        <v>135.98724999999999</v>
      </c>
      <c r="AQ615" s="551">
        <v>12064.78882</v>
      </c>
      <c r="AR615" s="551">
        <v>0.82110000000000005</v>
      </c>
    </row>
    <row r="616" spans="39:44" x14ac:dyDescent="0.25">
      <c r="AM616" s="550">
        <v>45333</v>
      </c>
      <c r="AN616" s="551">
        <v>88.72</v>
      </c>
      <c r="AO616" s="551">
        <v>1252782</v>
      </c>
      <c r="AP616" s="551">
        <v>135.98724999999999</v>
      </c>
      <c r="AQ616" s="551">
        <v>12064.78882</v>
      </c>
      <c r="AR616" s="551">
        <v>0.82110000000000005</v>
      </c>
    </row>
    <row r="617" spans="39:44" x14ac:dyDescent="0.25">
      <c r="AM617" s="550">
        <v>45332</v>
      </c>
      <c r="AN617" s="551">
        <v>88.79</v>
      </c>
      <c r="AO617" s="551">
        <v>457403</v>
      </c>
      <c r="AP617" s="551">
        <v>135.98724999999999</v>
      </c>
      <c r="AQ617" s="551">
        <v>12074.3079275</v>
      </c>
      <c r="AR617" s="551">
        <v>0.82179999999999997</v>
      </c>
    </row>
    <row r="618" spans="39:44" x14ac:dyDescent="0.25">
      <c r="AM618" s="550">
        <v>45331</v>
      </c>
      <c r="AN618" s="551">
        <v>89.17</v>
      </c>
      <c r="AO618" s="551">
        <v>471428</v>
      </c>
      <c r="AP618" s="551">
        <v>135.98724999999999</v>
      </c>
      <c r="AQ618" s="551">
        <v>12125.983082499999</v>
      </c>
      <c r="AR618" s="551">
        <v>0.82530000000000003</v>
      </c>
    </row>
    <row r="619" spans="39:44" x14ac:dyDescent="0.25">
      <c r="AM619" s="550">
        <v>45330</v>
      </c>
      <c r="AN619" s="551">
        <v>91.58</v>
      </c>
      <c r="AO619" s="551">
        <v>552075</v>
      </c>
      <c r="AP619" s="551">
        <v>135.98724999999999</v>
      </c>
      <c r="AQ619" s="551">
        <v>12453.712354999998</v>
      </c>
      <c r="AR619" s="551">
        <v>0.84760000000000002</v>
      </c>
    </row>
    <row r="620" spans="39:44" x14ac:dyDescent="0.25">
      <c r="AM620" s="550">
        <v>45329</v>
      </c>
      <c r="AN620" s="551">
        <v>92.43</v>
      </c>
      <c r="AO620" s="551">
        <v>338768</v>
      </c>
      <c r="AP620" s="551">
        <v>135.98724999999999</v>
      </c>
      <c r="AQ620" s="551">
        <v>12569.3015175</v>
      </c>
      <c r="AR620" s="551">
        <v>0.89100000000000001</v>
      </c>
    </row>
    <row r="621" spans="39:44" x14ac:dyDescent="0.25">
      <c r="AM621" s="550">
        <v>45328</v>
      </c>
      <c r="AN621" s="551">
        <v>92.43</v>
      </c>
      <c r="AO621" s="551">
        <v>338768</v>
      </c>
      <c r="AP621" s="551">
        <v>135.98724999999999</v>
      </c>
      <c r="AQ621" s="551">
        <v>12569.3015175</v>
      </c>
      <c r="AR621" s="551">
        <v>0.89100000000000001</v>
      </c>
    </row>
    <row r="622" spans="39:44" x14ac:dyDescent="0.25">
      <c r="AM622" s="550">
        <v>45327</v>
      </c>
      <c r="AN622" s="551">
        <v>92.43</v>
      </c>
      <c r="AO622" s="551">
        <v>338768</v>
      </c>
      <c r="AP622" s="551">
        <v>135.98724999999999</v>
      </c>
      <c r="AQ622" s="551">
        <v>12569.3015175</v>
      </c>
      <c r="AR622" s="551">
        <v>0.89100000000000001</v>
      </c>
    </row>
    <row r="623" spans="39:44" x14ac:dyDescent="0.25">
      <c r="AM623" s="550">
        <v>45326</v>
      </c>
      <c r="AN623" s="551">
        <v>92.43</v>
      </c>
      <c r="AO623" s="551">
        <v>338768</v>
      </c>
      <c r="AP623" s="551">
        <v>135.98724999999999</v>
      </c>
      <c r="AQ623" s="551">
        <v>12569.3015175</v>
      </c>
      <c r="AR623" s="551">
        <v>0.89100000000000001</v>
      </c>
    </row>
    <row r="624" spans="39:44" x14ac:dyDescent="0.25">
      <c r="AM624" s="550">
        <v>45325</v>
      </c>
      <c r="AN624" s="551">
        <v>92.91</v>
      </c>
      <c r="AO624" s="551">
        <v>337323</v>
      </c>
      <c r="AP624" s="551">
        <v>135.98724999999999</v>
      </c>
      <c r="AQ624" s="551">
        <v>12634.575397499999</v>
      </c>
      <c r="AR624" s="551">
        <v>0.89559999999999995</v>
      </c>
    </row>
    <row r="625" spans="39:44" x14ac:dyDescent="0.25">
      <c r="AM625" s="550">
        <v>45324</v>
      </c>
      <c r="AN625" s="551">
        <v>92.55</v>
      </c>
      <c r="AO625" s="551">
        <v>360038</v>
      </c>
      <c r="AP625" s="551">
        <v>135.98724999999999</v>
      </c>
      <c r="AQ625" s="551">
        <v>12585.619987499998</v>
      </c>
      <c r="AR625" s="551">
        <v>0.8921</v>
      </c>
    </row>
    <row r="626" spans="39:44" x14ac:dyDescent="0.25">
      <c r="AM626" s="550">
        <v>45323</v>
      </c>
      <c r="AN626" s="551">
        <v>92.24</v>
      </c>
      <c r="AO626" s="551">
        <v>515022</v>
      </c>
      <c r="AP626" s="551">
        <v>135.98724999999999</v>
      </c>
      <c r="AQ626" s="551">
        <v>12543.463939999998</v>
      </c>
      <c r="AR626" s="551">
        <v>0.88919999999999999</v>
      </c>
    </row>
    <row r="627" spans="39:44" x14ac:dyDescent="0.25">
      <c r="AM627" s="550">
        <v>45322</v>
      </c>
      <c r="AN627" s="551">
        <v>92.09</v>
      </c>
      <c r="AO627" s="551">
        <v>459945</v>
      </c>
      <c r="AP627" s="551">
        <v>135.98724999999999</v>
      </c>
      <c r="AQ627" s="551">
        <v>12523.0658525</v>
      </c>
      <c r="AR627" s="551">
        <v>0.88770000000000004</v>
      </c>
    </row>
    <row r="628" spans="39:44" x14ac:dyDescent="0.25">
      <c r="AM628" s="550">
        <v>45321</v>
      </c>
      <c r="AN628" s="551">
        <v>92.09</v>
      </c>
      <c r="AO628" s="551">
        <v>459945</v>
      </c>
      <c r="AP628" s="551">
        <v>135.98724999999999</v>
      </c>
      <c r="AQ628" s="551">
        <v>12523.0658525</v>
      </c>
      <c r="AR628" s="551">
        <v>0.88770000000000004</v>
      </c>
    </row>
    <row r="629" spans="39:44" x14ac:dyDescent="0.25">
      <c r="AM629" s="550">
        <v>45320</v>
      </c>
      <c r="AN629" s="551">
        <v>92.09</v>
      </c>
      <c r="AO629" s="551">
        <v>459945</v>
      </c>
      <c r="AP629" s="551">
        <v>135.98724999999999</v>
      </c>
      <c r="AQ629" s="551">
        <v>12523.0658525</v>
      </c>
      <c r="AR629" s="551">
        <v>0.88770000000000004</v>
      </c>
    </row>
    <row r="630" spans="39:44" x14ac:dyDescent="0.25">
      <c r="AM630" s="550">
        <v>45319</v>
      </c>
      <c r="AN630" s="551">
        <v>92.09</v>
      </c>
      <c r="AO630" s="551">
        <v>459945</v>
      </c>
      <c r="AP630" s="551">
        <v>135.98724999999999</v>
      </c>
      <c r="AQ630" s="551">
        <v>12523.0658525</v>
      </c>
      <c r="AR630" s="551">
        <v>0.88770000000000004</v>
      </c>
    </row>
    <row r="631" spans="39:44" x14ac:dyDescent="0.25">
      <c r="AM631" s="550">
        <v>45318</v>
      </c>
      <c r="AN631" s="551">
        <v>92.65</v>
      </c>
      <c r="AO631" s="551">
        <v>464049</v>
      </c>
      <c r="AP631" s="551">
        <v>135.98724999999999</v>
      </c>
      <c r="AQ631" s="551">
        <v>12599.2187125</v>
      </c>
      <c r="AR631" s="551">
        <v>0.8931</v>
      </c>
    </row>
    <row r="632" spans="39:44" x14ac:dyDescent="0.25">
      <c r="AM632" s="550">
        <v>45317</v>
      </c>
      <c r="AN632" s="551">
        <v>91.34</v>
      </c>
      <c r="AO632" s="551">
        <v>601450</v>
      </c>
      <c r="AP632" s="551">
        <v>135.98724999999999</v>
      </c>
      <c r="AQ632" s="551">
        <v>12421.075414999999</v>
      </c>
      <c r="AR632" s="551">
        <v>0.88049999999999995</v>
      </c>
    </row>
    <row r="633" spans="39:44" x14ac:dyDescent="0.25">
      <c r="AM633" s="550">
        <v>45316</v>
      </c>
      <c r="AN633" s="551">
        <v>93.45</v>
      </c>
      <c r="AO633" s="551">
        <v>1177304</v>
      </c>
      <c r="AP633" s="551">
        <v>135.98724999999999</v>
      </c>
      <c r="AQ633" s="551">
        <v>12708.008512499999</v>
      </c>
      <c r="AR633" s="551">
        <v>0.90080000000000005</v>
      </c>
    </row>
    <row r="634" spans="39:44" x14ac:dyDescent="0.25">
      <c r="AM634" s="550">
        <v>45315</v>
      </c>
      <c r="AN634" s="551">
        <v>92.91</v>
      </c>
      <c r="AO634" s="551">
        <v>715775</v>
      </c>
      <c r="AP634" s="551">
        <v>135.98724999999999</v>
      </c>
      <c r="AQ634" s="551">
        <v>12634.575397499999</v>
      </c>
      <c r="AR634" s="551">
        <v>0.89559999999999995</v>
      </c>
    </row>
    <row r="635" spans="39:44" x14ac:dyDescent="0.25">
      <c r="AM635" s="550">
        <v>45314</v>
      </c>
      <c r="AN635" s="551">
        <v>92.28</v>
      </c>
      <c r="AO635" s="551">
        <v>1819704</v>
      </c>
      <c r="AP635" s="551">
        <v>135.98724999999999</v>
      </c>
      <c r="AQ635" s="551">
        <v>12548.903429999998</v>
      </c>
      <c r="AR635" s="551">
        <v>0.88949999999999996</v>
      </c>
    </row>
    <row r="636" spans="39:44" x14ac:dyDescent="0.25">
      <c r="AM636" s="550">
        <v>45313</v>
      </c>
      <c r="AN636" s="551">
        <v>92.28</v>
      </c>
      <c r="AO636" s="551">
        <v>1819704</v>
      </c>
      <c r="AP636" s="551">
        <v>135.98724999999999</v>
      </c>
      <c r="AQ636" s="551">
        <v>12548.903429999998</v>
      </c>
      <c r="AR636" s="551">
        <v>0.88949999999999996</v>
      </c>
    </row>
    <row r="637" spans="39:44" x14ac:dyDescent="0.25">
      <c r="AM637" s="550">
        <v>45312</v>
      </c>
      <c r="AN637" s="551">
        <v>92.28</v>
      </c>
      <c r="AO637" s="551">
        <v>1819704</v>
      </c>
      <c r="AP637" s="551">
        <v>135.98724999999999</v>
      </c>
      <c r="AQ637" s="551">
        <v>12548.903429999998</v>
      </c>
      <c r="AR637" s="551">
        <v>0.88949999999999996</v>
      </c>
    </row>
    <row r="638" spans="39:44" x14ac:dyDescent="0.25">
      <c r="AM638" s="550">
        <v>45311</v>
      </c>
      <c r="AN638" s="551">
        <v>93.29</v>
      </c>
      <c r="AO638" s="551">
        <v>1318329</v>
      </c>
      <c r="AP638" s="551">
        <v>135.98724999999999</v>
      </c>
      <c r="AQ638" s="551">
        <v>12686.2505525</v>
      </c>
      <c r="AR638" s="551">
        <v>0.89929999999999999</v>
      </c>
    </row>
    <row r="639" spans="39:44" x14ac:dyDescent="0.25">
      <c r="AM639" s="550">
        <v>45310</v>
      </c>
      <c r="AN639" s="551">
        <v>92.7</v>
      </c>
      <c r="AO639" s="551">
        <v>963238</v>
      </c>
      <c r="AP639" s="551">
        <v>135.98724999999999</v>
      </c>
      <c r="AQ639" s="551">
        <v>12606.018075</v>
      </c>
      <c r="AR639" s="551">
        <v>0.89359999999999995</v>
      </c>
    </row>
    <row r="640" spans="39:44" x14ac:dyDescent="0.25">
      <c r="AM640" s="550">
        <v>45309</v>
      </c>
      <c r="AN640" s="551">
        <v>92.22</v>
      </c>
      <c r="AO640" s="551">
        <v>884721</v>
      </c>
      <c r="AP640" s="551">
        <v>135.98724999999999</v>
      </c>
      <c r="AQ640" s="551">
        <v>12540.744194999999</v>
      </c>
      <c r="AR640" s="551">
        <v>0.88900000000000001</v>
      </c>
    </row>
    <row r="641" spans="39:44" x14ac:dyDescent="0.25">
      <c r="AM641" s="550">
        <v>45308</v>
      </c>
      <c r="AN641" s="551">
        <v>91.59</v>
      </c>
      <c r="AO641" s="551">
        <v>932156</v>
      </c>
      <c r="AP641" s="551">
        <v>135.98724999999999</v>
      </c>
      <c r="AQ641" s="551">
        <v>12455.072227499999</v>
      </c>
      <c r="AR641" s="551">
        <v>0.88290000000000002</v>
      </c>
    </row>
    <row r="642" spans="39:44" x14ac:dyDescent="0.25">
      <c r="AM642" s="550">
        <v>45307</v>
      </c>
      <c r="AN642" s="551">
        <v>91.23</v>
      </c>
      <c r="AO642" s="551">
        <v>478472</v>
      </c>
      <c r="AP642" s="551">
        <v>135.98724999999999</v>
      </c>
      <c r="AQ642" s="551">
        <v>12406.1168175</v>
      </c>
      <c r="AR642" s="551">
        <v>0.87939999999999996</v>
      </c>
    </row>
    <row r="643" spans="39:44" x14ac:dyDescent="0.25">
      <c r="AM643" s="550">
        <v>45306</v>
      </c>
      <c r="AN643" s="551">
        <v>91.23</v>
      </c>
      <c r="AO643" s="551">
        <v>478472</v>
      </c>
      <c r="AP643" s="551">
        <v>135.98724999999999</v>
      </c>
      <c r="AQ643" s="551">
        <v>12406.1168175</v>
      </c>
      <c r="AR643" s="551">
        <v>0.87939999999999996</v>
      </c>
    </row>
    <row r="644" spans="39:44" x14ac:dyDescent="0.25">
      <c r="AM644" s="550">
        <v>45305</v>
      </c>
      <c r="AN644" s="551">
        <v>91.23</v>
      </c>
      <c r="AO644" s="551">
        <v>478472</v>
      </c>
      <c r="AP644" s="551">
        <v>135.98724999999999</v>
      </c>
      <c r="AQ644" s="551">
        <v>12406.1168175</v>
      </c>
      <c r="AR644" s="551">
        <v>0.87939999999999996</v>
      </c>
    </row>
    <row r="645" spans="39:44" x14ac:dyDescent="0.25">
      <c r="AM645" s="550">
        <v>45304</v>
      </c>
      <c r="AN645" s="551">
        <v>91.5</v>
      </c>
      <c r="AO645" s="551">
        <v>895606</v>
      </c>
      <c r="AP645" s="551">
        <v>135.98724999999999</v>
      </c>
      <c r="AQ645" s="551">
        <v>12442.833374999998</v>
      </c>
      <c r="AR645" s="551">
        <v>0.88200000000000001</v>
      </c>
    </row>
    <row r="646" spans="39:44" x14ac:dyDescent="0.25">
      <c r="AM646" s="550">
        <v>45303</v>
      </c>
      <c r="AN646" s="551">
        <v>90.83</v>
      </c>
      <c r="AO646" s="551">
        <v>573214</v>
      </c>
      <c r="AP646" s="551">
        <v>135.98724999999999</v>
      </c>
      <c r="AQ646" s="551">
        <v>12351.721917499999</v>
      </c>
      <c r="AR646" s="551">
        <v>0.87560000000000004</v>
      </c>
    </row>
    <row r="647" spans="39:44" x14ac:dyDescent="0.25">
      <c r="AM647" s="550">
        <v>45302</v>
      </c>
      <c r="AN647" s="551">
        <v>90.63</v>
      </c>
      <c r="AO647" s="551">
        <v>858726</v>
      </c>
      <c r="AP647" s="551">
        <v>135.98724999999999</v>
      </c>
      <c r="AQ647" s="551">
        <v>12324.524467499998</v>
      </c>
      <c r="AR647" s="551">
        <v>0.87360000000000004</v>
      </c>
    </row>
    <row r="648" spans="39:44" x14ac:dyDescent="0.25">
      <c r="AM648" s="550">
        <v>45301</v>
      </c>
      <c r="AN648" s="551">
        <v>90.6</v>
      </c>
      <c r="AO648" s="551">
        <v>827603</v>
      </c>
      <c r="AP648" s="551">
        <v>135.98724999999999</v>
      </c>
      <c r="AQ648" s="551">
        <v>12320.444849999998</v>
      </c>
      <c r="AR648" s="551">
        <v>0.87329999999999997</v>
      </c>
    </row>
    <row r="649" spans="39:44" x14ac:dyDescent="0.25">
      <c r="AM649" s="550">
        <v>45300</v>
      </c>
      <c r="AN649" s="551">
        <v>89.54</v>
      </c>
      <c r="AO649" s="551">
        <v>896581</v>
      </c>
      <c r="AP649" s="551">
        <v>135.98724999999999</v>
      </c>
      <c r="AQ649" s="551">
        <v>12176.298365000001</v>
      </c>
      <c r="AR649" s="551">
        <v>0.86309999999999998</v>
      </c>
    </row>
    <row r="650" spans="39:44" x14ac:dyDescent="0.25">
      <c r="AM650" s="550">
        <v>45299</v>
      </c>
      <c r="AN650" s="551">
        <v>89.54</v>
      </c>
      <c r="AO650" s="551">
        <v>896581</v>
      </c>
      <c r="AP650" s="551">
        <v>135.98724999999999</v>
      </c>
      <c r="AQ650" s="551">
        <v>12176.298365000001</v>
      </c>
      <c r="AR650" s="551">
        <v>0.86309999999999998</v>
      </c>
    </row>
    <row r="651" spans="39:44" x14ac:dyDescent="0.25">
      <c r="AM651" s="550">
        <v>45298</v>
      </c>
      <c r="AN651" s="551">
        <v>89.54</v>
      </c>
      <c r="AO651" s="551">
        <v>896581</v>
      </c>
      <c r="AP651" s="551">
        <v>135.98724999999999</v>
      </c>
      <c r="AQ651" s="551">
        <v>12176.298365000001</v>
      </c>
      <c r="AR651" s="551">
        <v>0.86309999999999998</v>
      </c>
    </row>
    <row r="652" spans="39:44" x14ac:dyDescent="0.25">
      <c r="AM652" s="550">
        <v>45297</v>
      </c>
      <c r="AN652" s="551">
        <v>88.86</v>
      </c>
      <c r="AO652" s="551">
        <v>1970749</v>
      </c>
      <c r="AP652" s="551">
        <v>135.98724999999999</v>
      </c>
      <c r="AQ652" s="551">
        <v>12083.827034999998</v>
      </c>
      <c r="AR652" s="551">
        <v>0.85660000000000003</v>
      </c>
    </row>
    <row r="653" spans="39:44" x14ac:dyDescent="0.25">
      <c r="AM653" s="550">
        <v>45296</v>
      </c>
      <c r="AN653" s="551">
        <v>87.8</v>
      </c>
      <c r="AO653" s="551">
        <v>940899</v>
      </c>
      <c r="AP653" s="551">
        <v>135.98724999999999</v>
      </c>
      <c r="AQ653" s="551">
        <v>11939.680549999999</v>
      </c>
      <c r="AR653" s="551">
        <v>0.84640000000000004</v>
      </c>
    </row>
    <row r="654" spans="39:44" x14ac:dyDescent="0.25">
      <c r="AM654" s="550">
        <v>45295</v>
      </c>
      <c r="AN654" s="551">
        <v>87.4</v>
      </c>
      <c r="AO654" s="551">
        <v>720971</v>
      </c>
      <c r="AP654" s="551">
        <v>135.98724999999999</v>
      </c>
      <c r="AQ654" s="551">
        <v>11885.28565</v>
      </c>
      <c r="AR654" s="551">
        <v>0.84250000000000003</v>
      </c>
    </row>
    <row r="655" spans="39:44" x14ac:dyDescent="0.25">
      <c r="AM655" s="550">
        <v>45294</v>
      </c>
      <c r="AN655" s="551">
        <v>88.62</v>
      </c>
      <c r="AO655" s="551">
        <v>830632</v>
      </c>
      <c r="AP655" s="551">
        <v>135.98724999999999</v>
      </c>
      <c r="AQ655" s="551">
        <v>12051.190095</v>
      </c>
      <c r="AR655" s="551">
        <v>0.85429999999999995</v>
      </c>
    </row>
    <row r="656" spans="39:44" x14ac:dyDescent="0.25">
      <c r="AM656" s="550">
        <v>45293</v>
      </c>
      <c r="AN656" s="551">
        <v>87.59</v>
      </c>
      <c r="AO656" s="551">
        <v>283889</v>
      </c>
      <c r="AP656" s="551">
        <v>135.98724999999999</v>
      </c>
      <c r="AQ656" s="551">
        <v>11911.1232275</v>
      </c>
      <c r="AR656" s="551">
        <v>0.84430000000000005</v>
      </c>
    </row>
    <row r="657" spans="39:44" x14ac:dyDescent="0.25">
      <c r="AM657" s="550">
        <v>45292</v>
      </c>
      <c r="AN657" s="551">
        <v>87.59</v>
      </c>
      <c r="AO657" s="551">
        <v>283889</v>
      </c>
      <c r="AP657" s="551">
        <v>135.98724999999999</v>
      </c>
      <c r="AQ657" s="551">
        <v>11911.1232275</v>
      </c>
      <c r="AR657" s="551">
        <v>0.84430000000000005</v>
      </c>
    </row>
    <row r="658" spans="39:44" x14ac:dyDescent="0.25">
      <c r="AM658" s="550">
        <v>45291</v>
      </c>
      <c r="AN658" s="551">
        <v>87.59</v>
      </c>
      <c r="AO658" s="551">
        <v>283889</v>
      </c>
      <c r="AP658" s="551">
        <v>135.98724999999999</v>
      </c>
      <c r="AQ658" s="551">
        <v>11911.1232275</v>
      </c>
      <c r="AR658" s="551">
        <v>0.84430000000000005</v>
      </c>
    </row>
    <row r="659" spans="39:44" x14ac:dyDescent="0.25">
      <c r="AM659" s="550">
        <v>45290</v>
      </c>
      <c r="AN659" s="551">
        <v>87.47</v>
      </c>
      <c r="AO659" s="551">
        <v>676612</v>
      </c>
      <c r="AP659" s="551">
        <v>135.98724999999999</v>
      </c>
      <c r="AQ659" s="551">
        <v>11894.804757499998</v>
      </c>
      <c r="AR659" s="551">
        <v>0.84319999999999995</v>
      </c>
    </row>
    <row r="660" spans="39:44" x14ac:dyDescent="0.25">
      <c r="AM660" s="550">
        <v>45289</v>
      </c>
      <c r="AN660" s="551">
        <v>87.47</v>
      </c>
      <c r="AO660" s="551">
        <v>676612</v>
      </c>
      <c r="AP660" s="551">
        <v>135.98724999999999</v>
      </c>
      <c r="AQ660" s="551">
        <v>11894.804757499998</v>
      </c>
      <c r="AR660" s="551">
        <v>0.84319999999999995</v>
      </c>
    </row>
    <row r="661" spans="39:44" x14ac:dyDescent="0.25">
      <c r="AM661" s="550">
        <v>45288</v>
      </c>
      <c r="AN661" s="551">
        <v>86.87</v>
      </c>
      <c r="AO661" s="551">
        <v>635308</v>
      </c>
      <c r="AP661" s="551">
        <v>135.98724999999999</v>
      </c>
      <c r="AQ661" s="551">
        <v>11813.212407499999</v>
      </c>
      <c r="AR661" s="551">
        <v>0.83740000000000003</v>
      </c>
    </row>
    <row r="662" spans="39:44" x14ac:dyDescent="0.25">
      <c r="AM662" s="550">
        <v>45287</v>
      </c>
      <c r="AN662" s="551">
        <v>86.86</v>
      </c>
      <c r="AO662" s="551">
        <v>556762</v>
      </c>
      <c r="AP662" s="551">
        <v>135.98724999999999</v>
      </c>
      <c r="AQ662" s="551">
        <v>11811.852534999998</v>
      </c>
      <c r="AR662" s="551">
        <v>0.83730000000000004</v>
      </c>
    </row>
    <row r="663" spans="39:44" x14ac:dyDescent="0.25">
      <c r="AM663" s="550">
        <v>45286</v>
      </c>
      <c r="AN663" s="551">
        <v>86.98</v>
      </c>
      <c r="AO663" s="551">
        <v>671893</v>
      </c>
      <c r="AP663" s="551">
        <v>135.98724999999999</v>
      </c>
      <c r="AQ663" s="551">
        <v>11828.171005</v>
      </c>
      <c r="AR663" s="551">
        <v>0.83850000000000002</v>
      </c>
    </row>
    <row r="664" spans="39:44" x14ac:dyDescent="0.25">
      <c r="AM664" s="550">
        <v>45285</v>
      </c>
      <c r="AN664" s="551">
        <v>86.98</v>
      </c>
      <c r="AO664" s="551">
        <v>671893</v>
      </c>
      <c r="AP664" s="551">
        <v>135.98724999999999</v>
      </c>
      <c r="AQ664" s="551">
        <v>11828.171005</v>
      </c>
      <c r="AR664" s="551">
        <v>0.83850000000000002</v>
      </c>
    </row>
    <row r="665" spans="39:44" x14ac:dyDescent="0.25">
      <c r="AM665" s="550">
        <v>45284</v>
      </c>
      <c r="AN665" s="551">
        <v>86.98</v>
      </c>
      <c r="AO665" s="551">
        <v>671893</v>
      </c>
      <c r="AP665" s="551">
        <v>135.98724999999999</v>
      </c>
      <c r="AQ665" s="551">
        <v>11828.171005</v>
      </c>
      <c r="AR665" s="551">
        <v>0.83850000000000002</v>
      </c>
    </row>
    <row r="666" spans="39:44" x14ac:dyDescent="0.25">
      <c r="AM666" s="550">
        <v>45283</v>
      </c>
      <c r="AN666" s="551">
        <v>86.99</v>
      </c>
      <c r="AO666" s="551">
        <v>767304</v>
      </c>
      <c r="AP666" s="551">
        <v>135.98724999999999</v>
      </c>
      <c r="AQ666" s="551">
        <v>11829.530877499998</v>
      </c>
      <c r="AR666" s="551">
        <v>0.83850000000000002</v>
      </c>
    </row>
    <row r="667" spans="39:44" x14ac:dyDescent="0.25">
      <c r="AM667" s="550">
        <v>45282</v>
      </c>
      <c r="AN667" s="551">
        <v>87.11</v>
      </c>
      <c r="AO667" s="551">
        <v>967063</v>
      </c>
      <c r="AP667" s="551">
        <v>135.98724999999999</v>
      </c>
      <c r="AQ667" s="551">
        <v>11845.8493475</v>
      </c>
      <c r="AR667" s="551">
        <v>0.8397</v>
      </c>
    </row>
    <row r="668" spans="39:44" x14ac:dyDescent="0.25">
      <c r="AM668" s="550">
        <v>45281</v>
      </c>
      <c r="AN668" s="551">
        <v>86.4</v>
      </c>
      <c r="AO668" s="551">
        <v>1535439</v>
      </c>
      <c r="AP668" s="551">
        <v>138.72678999999999</v>
      </c>
      <c r="AQ668" s="551">
        <v>11985.994656000001</v>
      </c>
      <c r="AR668" s="551">
        <v>0.83289999999999997</v>
      </c>
    </row>
    <row r="669" spans="39:44" x14ac:dyDescent="0.25">
      <c r="AM669" s="550">
        <v>45280</v>
      </c>
      <c r="AN669" s="551">
        <v>80.47</v>
      </c>
      <c r="AO669" s="551">
        <v>1352122</v>
      </c>
      <c r="AP669" s="551">
        <v>138.72678999999999</v>
      </c>
      <c r="AQ669" s="551">
        <v>11163.3447913</v>
      </c>
      <c r="AR669" s="551">
        <v>0.77569999999999995</v>
      </c>
    </row>
    <row r="670" spans="39:44" x14ac:dyDescent="0.25">
      <c r="AM670" s="550">
        <v>45279</v>
      </c>
      <c r="AN670" s="551">
        <v>80.31</v>
      </c>
      <c r="AO670" s="551">
        <v>994324</v>
      </c>
      <c r="AP670" s="551">
        <v>138.72678999999999</v>
      </c>
      <c r="AQ670" s="551">
        <v>11141.1485049</v>
      </c>
      <c r="AR670" s="551">
        <v>0.7742</v>
      </c>
    </row>
    <row r="671" spans="39:44" x14ac:dyDescent="0.25">
      <c r="AM671" s="550">
        <v>45278</v>
      </c>
      <c r="AN671" s="551">
        <v>80.31</v>
      </c>
      <c r="AO671" s="551">
        <v>994324</v>
      </c>
      <c r="AP671" s="551">
        <v>138.72678999999999</v>
      </c>
      <c r="AQ671" s="551">
        <v>11141.1485049</v>
      </c>
      <c r="AR671" s="551">
        <v>0.7742</v>
      </c>
    </row>
    <row r="672" spans="39:44" x14ac:dyDescent="0.25">
      <c r="AM672" s="550">
        <v>45277</v>
      </c>
      <c r="AN672" s="551">
        <v>80.31</v>
      </c>
      <c r="AO672" s="551">
        <v>994324</v>
      </c>
      <c r="AP672" s="551">
        <v>138.72678999999999</v>
      </c>
      <c r="AQ672" s="551">
        <v>11141.1485049</v>
      </c>
      <c r="AR672" s="551">
        <v>0.7742</v>
      </c>
    </row>
    <row r="673" spans="39:44" x14ac:dyDescent="0.25">
      <c r="AM673" s="550">
        <v>45276</v>
      </c>
      <c r="AN673" s="551">
        <v>78.14</v>
      </c>
      <c r="AO673" s="551">
        <v>649226</v>
      </c>
      <c r="AP673" s="551">
        <v>138.72678999999999</v>
      </c>
      <c r="AQ673" s="551">
        <v>10840.1113706</v>
      </c>
      <c r="AR673" s="551">
        <v>0.75319999999999998</v>
      </c>
    </row>
    <row r="674" spans="39:44" x14ac:dyDescent="0.25">
      <c r="AM674" s="550">
        <v>45275</v>
      </c>
      <c r="AN674" s="551">
        <v>78.27</v>
      </c>
      <c r="AO674" s="551">
        <v>621161</v>
      </c>
      <c r="AP674" s="551">
        <v>138.72678999999999</v>
      </c>
      <c r="AQ674" s="551">
        <v>10858.145853299999</v>
      </c>
      <c r="AR674" s="551">
        <v>0.75449999999999995</v>
      </c>
    </row>
    <row r="675" spans="39:44" x14ac:dyDescent="0.25">
      <c r="AM675" s="550">
        <v>45274</v>
      </c>
      <c r="AN675" s="551">
        <v>78.34</v>
      </c>
      <c r="AO675" s="551">
        <v>639328</v>
      </c>
      <c r="AP675" s="551">
        <v>138.72678999999999</v>
      </c>
      <c r="AQ675" s="551">
        <v>10867.8567286</v>
      </c>
      <c r="AR675" s="551">
        <v>0.75519999999999998</v>
      </c>
    </row>
    <row r="676" spans="39:44" x14ac:dyDescent="0.25">
      <c r="AM676" s="550">
        <v>45273</v>
      </c>
      <c r="AN676" s="551">
        <v>78.900000000000006</v>
      </c>
      <c r="AO676" s="551">
        <v>475913</v>
      </c>
      <c r="AP676" s="551">
        <v>138.72678999999999</v>
      </c>
      <c r="AQ676" s="551">
        <v>10945.543731</v>
      </c>
      <c r="AR676" s="551">
        <v>0.76060000000000005</v>
      </c>
    </row>
    <row r="677" spans="39:44" x14ac:dyDescent="0.25">
      <c r="AM677" s="550">
        <v>45272</v>
      </c>
      <c r="AN677" s="551">
        <v>79.010000000000005</v>
      </c>
      <c r="AO677" s="551">
        <v>591938</v>
      </c>
      <c r="AP677" s="551">
        <v>138.72678999999999</v>
      </c>
      <c r="AQ677" s="551">
        <v>10960.803677899999</v>
      </c>
      <c r="AR677" s="551">
        <v>0.76160000000000005</v>
      </c>
    </row>
    <row r="678" spans="39:44" x14ac:dyDescent="0.25">
      <c r="AM678" s="550">
        <v>45271</v>
      </c>
      <c r="AN678" s="551">
        <v>79.010000000000005</v>
      </c>
      <c r="AO678" s="551">
        <v>591938</v>
      </c>
      <c r="AP678" s="551">
        <v>138.72678999999999</v>
      </c>
      <c r="AQ678" s="551">
        <v>10960.803677899999</v>
      </c>
      <c r="AR678" s="551">
        <v>0.76160000000000005</v>
      </c>
    </row>
    <row r="679" spans="39:44" x14ac:dyDescent="0.25">
      <c r="AM679" s="550">
        <v>45270</v>
      </c>
      <c r="AN679" s="551">
        <v>79.010000000000005</v>
      </c>
      <c r="AO679" s="551">
        <v>591938</v>
      </c>
      <c r="AP679" s="551">
        <v>138.72678999999999</v>
      </c>
      <c r="AQ679" s="551">
        <v>10960.803677899999</v>
      </c>
      <c r="AR679" s="551">
        <v>0.76160000000000005</v>
      </c>
    </row>
    <row r="680" spans="39:44" x14ac:dyDescent="0.25">
      <c r="AM680" s="550">
        <v>45269</v>
      </c>
      <c r="AN680" s="551">
        <v>77.8</v>
      </c>
      <c r="AO680" s="551">
        <v>522645</v>
      </c>
      <c r="AP680" s="551">
        <v>138.72678999999999</v>
      </c>
      <c r="AQ680" s="551">
        <v>10792.944261999999</v>
      </c>
      <c r="AR680" s="551">
        <v>0.75</v>
      </c>
    </row>
    <row r="681" spans="39:44" x14ac:dyDescent="0.25">
      <c r="AM681" s="550">
        <v>45268</v>
      </c>
      <c r="AN681" s="551">
        <v>76.17</v>
      </c>
      <c r="AO681" s="551">
        <v>637499</v>
      </c>
      <c r="AP681" s="551">
        <v>138.72678999999999</v>
      </c>
      <c r="AQ681" s="551">
        <v>10566.819594299999</v>
      </c>
      <c r="AR681" s="551">
        <v>0.73419999999999996</v>
      </c>
    </row>
    <row r="682" spans="39:44" x14ac:dyDescent="0.25">
      <c r="AM682" s="550">
        <v>45267</v>
      </c>
      <c r="AN682" s="551">
        <v>76.55</v>
      </c>
      <c r="AO682" s="551">
        <v>434135</v>
      </c>
      <c r="AP682" s="551">
        <v>138.72678999999999</v>
      </c>
      <c r="AQ682" s="551">
        <v>10619.535774499998</v>
      </c>
      <c r="AR682" s="551">
        <v>0.7379</v>
      </c>
    </row>
    <row r="683" spans="39:44" x14ac:dyDescent="0.25">
      <c r="AM683" s="550">
        <v>45266</v>
      </c>
      <c r="AN683" s="551">
        <v>75.55</v>
      </c>
      <c r="AO683" s="551">
        <v>451775</v>
      </c>
      <c r="AP683" s="551">
        <v>138.72678999999999</v>
      </c>
      <c r="AQ683" s="551">
        <v>10480.808984499999</v>
      </c>
      <c r="AR683" s="551">
        <v>0.72829999999999995</v>
      </c>
    </row>
    <row r="684" spans="39:44" x14ac:dyDescent="0.25">
      <c r="AM684" s="550">
        <v>45265</v>
      </c>
      <c r="AN684" s="551">
        <v>74.81</v>
      </c>
      <c r="AO684" s="551">
        <v>581906</v>
      </c>
      <c r="AP684" s="551">
        <v>138.72678999999999</v>
      </c>
      <c r="AQ684" s="551">
        <v>10378.1511599</v>
      </c>
      <c r="AR684" s="551">
        <v>0.72109999999999996</v>
      </c>
    </row>
    <row r="685" spans="39:44" x14ac:dyDescent="0.25">
      <c r="AM685" s="550">
        <v>45264</v>
      </c>
      <c r="AN685" s="551">
        <v>74.81</v>
      </c>
      <c r="AO685" s="551">
        <v>581906</v>
      </c>
      <c r="AP685" s="551">
        <v>138.72678999999999</v>
      </c>
      <c r="AQ685" s="551">
        <v>10378.1511599</v>
      </c>
      <c r="AR685" s="551">
        <v>0.72109999999999996</v>
      </c>
    </row>
    <row r="686" spans="39:44" x14ac:dyDescent="0.25">
      <c r="AM686" s="550">
        <v>45263</v>
      </c>
      <c r="AN686" s="551">
        <v>74.81</v>
      </c>
      <c r="AO686" s="551">
        <v>581906</v>
      </c>
      <c r="AP686" s="551">
        <v>138.72678999999999</v>
      </c>
      <c r="AQ686" s="551">
        <v>10378.1511599</v>
      </c>
      <c r="AR686" s="551">
        <v>0.72109999999999996</v>
      </c>
    </row>
    <row r="687" spans="39:44" x14ac:dyDescent="0.25">
      <c r="AM687" s="550">
        <v>45262</v>
      </c>
      <c r="AN687" s="551">
        <v>76.28</v>
      </c>
      <c r="AO687" s="551">
        <v>385728</v>
      </c>
      <c r="AP687" s="551">
        <v>138.72678999999999</v>
      </c>
      <c r="AQ687" s="551">
        <v>10582.079541199999</v>
      </c>
      <c r="AR687" s="551">
        <v>0.73529999999999995</v>
      </c>
    </row>
    <row r="688" spans="39:44" x14ac:dyDescent="0.25">
      <c r="AM688" s="550">
        <v>45261</v>
      </c>
      <c r="AN688" s="551">
        <v>76.22</v>
      </c>
      <c r="AO688" s="551">
        <v>523182</v>
      </c>
      <c r="AP688" s="551">
        <v>138.72678999999999</v>
      </c>
      <c r="AQ688" s="551">
        <v>10573.755933799999</v>
      </c>
      <c r="AR688" s="551">
        <v>0.73470000000000002</v>
      </c>
    </row>
    <row r="689" spans="39:44" x14ac:dyDescent="0.25">
      <c r="AM689" s="550">
        <v>45260</v>
      </c>
      <c r="AN689" s="551">
        <v>76.099999999999994</v>
      </c>
      <c r="AO689" s="551">
        <v>478400</v>
      </c>
      <c r="AP689" s="551">
        <v>138.72678999999999</v>
      </c>
      <c r="AQ689" s="551">
        <v>10557.108718999998</v>
      </c>
      <c r="AR689" s="551">
        <v>0.73360000000000003</v>
      </c>
    </row>
    <row r="690" spans="39:44" x14ac:dyDescent="0.25">
      <c r="AM690" s="550">
        <v>45259</v>
      </c>
      <c r="AN690" s="551">
        <v>76.7</v>
      </c>
      <c r="AO690" s="551">
        <v>723354</v>
      </c>
      <c r="AP690" s="551">
        <v>138.72678999999999</v>
      </c>
      <c r="AQ690" s="551">
        <v>10640.344793</v>
      </c>
      <c r="AR690" s="551">
        <v>0.73939999999999995</v>
      </c>
    </row>
    <row r="691" spans="39:44" x14ac:dyDescent="0.25">
      <c r="AM691" s="550">
        <v>45258</v>
      </c>
      <c r="AN691" s="551">
        <v>77.98</v>
      </c>
      <c r="AO691" s="551">
        <v>770571</v>
      </c>
      <c r="AP691" s="551">
        <v>138.72678999999999</v>
      </c>
      <c r="AQ691" s="551">
        <v>10817.9150842</v>
      </c>
      <c r="AR691" s="551">
        <v>0.75170000000000003</v>
      </c>
    </row>
    <row r="692" spans="39:44" x14ac:dyDescent="0.25">
      <c r="AM692" s="550">
        <v>45257</v>
      </c>
      <c r="AN692" s="551">
        <v>77.98</v>
      </c>
      <c r="AO692" s="551">
        <v>770571</v>
      </c>
      <c r="AP692" s="551">
        <v>138.72678999999999</v>
      </c>
      <c r="AQ692" s="551">
        <v>10817.9150842</v>
      </c>
      <c r="AR692" s="551">
        <v>0.75170000000000003</v>
      </c>
    </row>
    <row r="693" spans="39:44" x14ac:dyDescent="0.25">
      <c r="AM693" s="550">
        <v>45256</v>
      </c>
      <c r="AN693" s="551">
        <v>77.98</v>
      </c>
      <c r="AO693" s="551">
        <v>770571</v>
      </c>
      <c r="AP693" s="551">
        <v>138.72678999999999</v>
      </c>
      <c r="AQ693" s="551">
        <v>10817.9150842</v>
      </c>
      <c r="AR693" s="551">
        <v>0.75170000000000003</v>
      </c>
    </row>
    <row r="694" spans="39:44" x14ac:dyDescent="0.25">
      <c r="AM694" s="550">
        <v>45255</v>
      </c>
      <c r="AN694" s="551">
        <v>78.11</v>
      </c>
      <c r="AO694" s="551">
        <v>781802</v>
      </c>
      <c r="AP694" s="551">
        <v>138.72678999999999</v>
      </c>
      <c r="AQ694" s="551">
        <v>10835.949566899999</v>
      </c>
      <c r="AR694" s="551">
        <v>0.75290000000000001</v>
      </c>
    </row>
    <row r="695" spans="39:44" x14ac:dyDescent="0.25">
      <c r="AM695" s="550">
        <v>45254</v>
      </c>
      <c r="AN695" s="551">
        <v>79.959999999999994</v>
      </c>
      <c r="AO695" s="551">
        <v>562723</v>
      </c>
      <c r="AP695" s="551">
        <v>138.72678999999999</v>
      </c>
      <c r="AQ695" s="551">
        <v>11092.594128399998</v>
      </c>
      <c r="AR695" s="551">
        <v>0.77080000000000004</v>
      </c>
    </row>
    <row r="696" spans="39:44" x14ac:dyDescent="0.25">
      <c r="AM696" s="550">
        <v>45253</v>
      </c>
      <c r="AN696" s="551">
        <v>83.75</v>
      </c>
      <c r="AO696" s="551">
        <v>633947</v>
      </c>
      <c r="AP696" s="551">
        <v>138.72678999999999</v>
      </c>
      <c r="AQ696" s="551">
        <v>11618.368662499999</v>
      </c>
      <c r="AR696" s="551">
        <v>0.80730000000000002</v>
      </c>
    </row>
    <row r="697" spans="39:44" x14ac:dyDescent="0.25">
      <c r="AM697" s="550">
        <v>45252</v>
      </c>
      <c r="AN697" s="551">
        <v>82.28</v>
      </c>
      <c r="AO697" s="551">
        <v>568798</v>
      </c>
      <c r="AP697" s="551">
        <v>138.72678999999999</v>
      </c>
      <c r="AQ697" s="551">
        <v>11414.440281199999</v>
      </c>
      <c r="AR697" s="551">
        <v>0.79310000000000003</v>
      </c>
    </row>
    <row r="698" spans="39:44" x14ac:dyDescent="0.25">
      <c r="AM698" s="550">
        <v>45251</v>
      </c>
      <c r="AN698" s="551">
        <v>80.75</v>
      </c>
      <c r="AO698" s="551">
        <v>650774</v>
      </c>
      <c r="AP698" s="551">
        <v>138.72678999999999</v>
      </c>
      <c r="AQ698" s="551">
        <v>11202.188292499999</v>
      </c>
      <c r="AR698" s="551">
        <v>0.77839999999999998</v>
      </c>
    </row>
    <row r="699" spans="39:44" x14ac:dyDescent="0.25">
      <c r="AM699" s="550">
        <v>45250</v>
      </c>
      <c r="AN699" s="551">
        <v>80.75</v>
      </c>
      <c r="AO699" s="551">
        <v>650774</v>
      </c>
      <c r="AP699" s="551">
        <v>138.72678999999999</v>
      </c>
      <c r="AQ699" s="551">
        <v>11202.188292499999</v>
      </c>
      <c r="AR699" s="551">
        <v>0.77839999999999998</v>
      </c>
    </row>
    <row r="700" spans="39:44" x14ac:dyDescent="0.25">
      <c r="AM700" s="550">
        <v>45249</v>
      </c>
      <c r="AN700" s="551">
        <v>80.75</v>
      </c>
      <c r="AO700" s="551">
        <v>650774</v>
      </c>
      <c r="AP700" s="551">
        <v>138.72678999999999</v>
      </c>
      <c r="AQ700" s="551">
        <v>11202.188292499999</v>
      </c>
      <c r="AR700" s="551">
        <v>0.77839999999999998</v>
      </c>
    </row>
    <row r="701" spans="39:44" x14ac:dyDescent="0.25">
      <c r="AM701" s="550">
        <v>45248</v>
      </c>
      <c r="AN701" s="551">
        <v>82.61</v>
      </c>
      <c r="AO701" s="551">
        <v>397247</v>
      </c>
      <c r="AP701" s="551">
        <v>138.72678999999999</v>
      </c>
      <c r="AQ701" s="551">
        <v>11460.2201219</v>
      </c>
      <c r="AR701" s="551">
        <v>0.79630000000000001</v>
      </c>
    </row>
    <row r="702" spans="39:44" x14ac:dyDescent="0.25">
      <c r="AM702" s="550">
        <v>45247</v>
      </c>
      <c r="AN702" s="551">
        <v>83.78</v>
      </c>
      <c r="AO702" s="551">
        <v>355211</v>
      </c>
      <c r="AP702" s="551">
        <v>138.72678999999999</v>
      </c>
      <c r="AQ702" s="551">
        <v>11622.5304662</v>
      </c>
      <c r="AR702" s="551">
        <v>0.80759999999999998</v>
      </c>
    </row>
    <row r="703" spans="39:44" x14ac:dyDescent="0.25">
      <c r="AM703" s="550">
        <v>45246</v>
      </c>
      <c r="AN703" s="551">
        <v>82.87</v>
      </c>
      <c r="AO703" s="551">
        <v>512593</v>
      </c>
      <c r="AP703" s="551">
        <v>138.72678999999999</v>
      </c>
      <c r="AQ703" s="551">
        <v>11496.2890873</v>
      </c>
      <c r="AR703" s="551">
        <v>0.79879999999999995</v>
      </c>
    </row>
    <row r="704" spans="39:44" x14ac:dyDescent="0.25">
      <c r="AM704" s="550">
        <v>45245</v>
      </c>
      <c r="AN704" s="551">
        <v>82.58</v>
      </c>
      <c r="AO704" s="551">
        <v>255132</v>
      </c>
      <c r="AP704" s="551">
        <v>138.72678999999999</v>
      </c>
      <c r="AQ704" s="551">
        <v>11456.058318199999</v>
      </c>
      <c r="AR704" s="551">
        <v>0.79600000000000004</v>
      </c>
    </row>
    <row r="705" spans="39:44" x14ac:dyDescent="0.25">
      <c r="AM705" s="550">
        <v>45244</v>
      </c>
      <c r="AN705" s="551">
        <v>82.04</v>
      </c>
      <c r="AO705" s="551">
        <v>374702</v>
      </c>
      <c r="AP705" s="551">
        <v>138.72678999999999</v>
      </c>
      <c r="AQ705" s="551">
        <v>11381.1458516</v>
      </c>
      <c r="AR705" s="551">
        <v>0.79079999999999995</v>
      </c>
    </row>
    <row r="706" spans="39:44" x14ac:dyDescent="0.25">
      <c r="AM706" s="550">
        <v>45243</v>
      </c>
      <c r="AN706" s="551">
        <v>82.04</v>
      </c>
      <c r="AO706" s="551">
        <v>374702</v>
      </c>
      <c r="AP706" s="551">
        <v>138.72678999999999</v>
      </c>
      <c r="AQ706" s="551">
        <v>11381.1458516</v>
      </c>
      <c r="AR706" s="551">
        <v>0.79079999999999995</v>
      </c>
    </row>
    <row r="707" spans="39:44" x14ac:dyDescent="0.25">
      <c r="AM707" s="550">
        <v>45242</v>
      </c>
      <c r="AN707" s="551">
        <v>82.04</v>
      </c>
      <c r="AO707" s="551">
        <v>374702</v>
      </c>
      <c r="AP707" s="551">
        <v>138.72678999999999</v>
      </c>
      <c r="AQ707" s="551">
        <v>11381.1458516</v>
      </c>
      <c r="AR707" s="551">
        <v>0.79079999999999995</v>
      </c>
    </row>
    <row r="708" spans="39:44" x14ac:dyDescent="0.25">
      <c r="AM708" s="550">
        <v>45241</v>
      </c>
      <c r="AN708" s="551">
        <v>80.7</v>
      </c>
      <c r="AO708" s="551">
        <v>481489</v>
      </c>
      <c r="AP708" s="551">
        <v>138.72678999999999</v>
      </c>
      <c r="AQ708" s="551">
        <v>11195.251952999999</v>
      </c>
      <c r="AR708" s="551">
        <v>0.77790000000000004</v>
      </c>
    </row>
    <row r="709" spans="39:44" x14ac:dyDescent="0.25">
      <c r="AM709" s="550">
        <v>45240</v>
      </c>
      <c r="AN709" s="551">
        <v>80.89</v>
      </c>
      <c r="AO709" s="551">
        <v>806763</v>
      </c>
      <c r="AP709" s="551">
        <v>138.72678999999999</v>
      </c>
      <c r="AQ709" s="551">
        <v>11221.6100431</v>
      </c>
      <c r="AR709" s="551">
        <v>0.77969999999999995</v>
      </c>
    </row>
    <row r="710" spans="39:44" x14ac:dyDescent="0.25">
      <c r="AM710" s="550">
        <v>45239</v>
      </c>
      <c r="AN710" s="551">
        <v>79.58</v>
      </c>
      <c r="AO710" s="551">
        <v>546047</v>
      </c>
      <c r="AP710" s="551">
        <v>138.72678999999999</v>
      </c>
      <c r="AQ710" s="551">
        <v>11039.877948199999</v>
      </c>
      <c r="AR710" s="551">
        <v>0.7671</v>
      </c>
    </row>
    <row r="711" spans="39:44" x14ac:dyDescent="0.25">
      <c r="AM711" s="550">
        <v>45238</v>
      </c>
      <c r="AN711" s="551">
        <v>81.06</v>
      </c>
      <c r="AO711" s="551">
        <v>492133</v>
      </c>
      <c r="AP711" s="551">
        <v>138.72678999999999</v>
      </c>
      <c r="AQ711" s="551">
        <v>11245.193597400001</v>
      </c>
      <c r="AR711" s="551">
        <v>0.78139999999999998</v>
      </c>
    </row>
    <row r="712" spans="39:44" x14ac:dyDescent="0.25">
      <c r="AM712" s="550">
        <v>45237</v>
      </c>
      <c r="AN712" s="551">
        <v>83.04</v>
      </c>
      <c r="AO712" s="551">
        <v>681547</v>
      </c>
      <c r="AP712" s="551">
        <v>138.72678999999999</v>
      </c>
      <c r="AQ712" s="551">
        <v>11519.872641600001</v>
      </c>
      <c r="AR712" s="551">
        <v>0.8266</v>
      </c>
    </row>
    <row r="713" spans="39:44" x14ac:dyDescent="0.25">
      <c r="AM713" s="550">
        <v>45236</v>
      </c>
      <c r="AN713" s="551">
        <v>83.04</v>
      </c>
      <c r="AO713" s="551">
        <v>681547</v>
      </c>
      <c r="AP713" s="551">
        <v>138.72678999999999</v>
      </c>
      <c r="AQ713" s="551">
        <v>11519.872641600001</v>
      </c>
      <c r="AR713" s="551">
        <v>0.8266</v>
      </c>
    </row>
    <row r="714" spans="39:44" x14ac:dyDescent="0.25">
      <c r="AM714" s="550">
        <v>45235</v>
      </c>
      <c r="AN714" s="551">
        <v>83.04</v>
      </c>
      <c r="AO714" s="551">
        <v>681547</v>
      </c>
      <c r="AP714" s="551">
        <v>138.72678999999999</v>
      </c>
      <c r="AQ714" s="551">
        <v>11519.872641600001</v>
      </c>
      <c r="AR714" s="551">
        <v>0.8266</v>
      </c>
    </row>
    <row r="715" spans="39:44" x14ac:dyDescent="0.25">
      <c r="AM715" s="550">
        <v>45234</v>
      </c>
      <c r="AN715" s="551">
        <v>83.61</v>
      </c>
      <c r="AO715" s="551">
        <v>499177</v>
      </c>
      <c r="AP715" s="551">
        <v>138.72678999999999</v>
      </c>
      <c r="AQ715" s="551">
        <v>11598.946911899999</v>
      </c>
      <c r="AR715" s="551">
        <v>0.83230000000000004</v>
      </c>
    </row>
    <row r="716" spans="39:44" x14ac:dyDescent="0.25">
      <c r="AM716" s="550">
        <v>45233</v>
      </c>
      <c r="AN716" s="551">
        <v>83.56</v>
      </c>
      <c r="AO716" s="551">
        <v>797054</v>
      </c>
      <c r="AP716" s="551">
        <v>138.72678999999999</v>
      </c>
      <c r="AQ716" s="551">
        <v>11592.0105724</v>
      </c>
      <c r="AR716" s="551">
        <v>0.83179999999999998</v>
      </c>
    </row>
    <row r="717" spans="39:44" x14ac:dyDescent="0.25">
      <c r="AM717" s="550">
        <v>45232</v>
      </c>
      <c r="AN717" s="551">
        <v>81.75</v>
      </c>
      <c r="AO717" s="551">
        <v>730235</v>
      </c>
      <c r="AP717" s="551">
        <v>138.72678999999999</v>
      </c>
      <c r="AQ717" s="551">
        <v>11340.9150825</v>
      </c>
      <c r="AR717" s="551">
        <v>0.81379999999999997</v>
      </c>
    </row>
    <row r="718" spans="39:44" x14ac:dyDescent="0.25">
      <c r="AM718" s="550">
        <v>45231</v>
      </c>
      <c r="AN718" s="551">
        <v>81.98</v>
      </c>
      <c r="AO718" s="551">
        <v>792502</v>
      </c>
      <c r="AP718" s="551">
        <v>138.72678999999999</v>
      </c>
      <c r="AQ718" s="551">
        <v>11372.822244200001</v>
      </c>
      <c r="AR718" s="551">
        <v>0.81610000000000005</v>
      </c>
    </row>
    <row r="719" spans="39:44" x14ac:dyDescent="0.25">
      <c r="AM719" s="550">
        <v>45230</v>
      </c>
      <c r="AN719" s="551">
        <v>82.01</v>
      </c>
      <c r="AO719" s="551">
        <v>782279</v>
      </c>
      <c r="AP719" s="551">
        <v>138.72678999999999</v>
      </c>
      <c r="AQ719" s="551">
        <v>11376.984047899999</v>
      </c>
      <c r="AR719" s="551">
        <v>0.81640000000000001</v>
      </c>
    </row>
    <row r="720" spans="39:44" x14ac:dyDescent="0.25">
      <c r="AM720" s="550">
        <v>45229</v>
      </c>
      <c r="AN720" s="551">
        <v>82.01</v>
      </c>
      <c r="AO720" s="551">
        <v>782279</v>
      </c>
      <c r="AP720" s="551">
        <v>138.72678999999999</v>
      </c>
      <c r="AQ720" s="551">
        <v>11376.984047899999</v>
      </c>
      <c r="AR720" s="551">
        <v>0.81640000000000001</v>
      </c>
    </row>
    <row r="721" spans="39:44" x14ac:dyDescent="0.25">
      <c r="AM721" s="550">
        <v>45228</v>
      </c>
      <c r="AN721" s="551">
        <v>82.01</v>
      </c>
      <c r="AO721" s="551">
        <v>782279</v>
      </c>
      <c r="AP721" s="551">
        <v>138.72678999999999</v>
      </c>
      <c r="AQ721" s="551">
        <v>11376.984047899999</v>
      </c>
      <c r="AR721" s="551">
        <v>0.81640000000000001</v>
      </c>
    </row>
    <row r="722" spans="39:44" x14ac:dyDescent="0.25">
      <c r="AM722" s="550">
        <v>45227</v>
      </c>
      <c r="AN722" s="551">
        <v>81.790000000000006</v>
      </c>
      <c r="AO722" s="551">
        <v>709500</v>
      </c>
      <c r="AP722" s="551">
        <v>138.72678999999999</v>
      </c>
      <c r="AQ722" s="551">
        <v>11346.4641541</v>
      </c>
      <c r="AR722" s="551">
        <v>0.81420000000000003</v>
      </c>
    </row>
    <row r="723" spans="39:44" x14ac:dyDescent="0.25">
      <c r="AM723" s="550">
        <v>45226</v>
      </c>
      <c r="AN723" s="551">
        <v>83.57</v>
      </c>
      <c r="AO723" s="551">
        <v>972739</v>
      </c>
      <c r="AP723" s="551">
        <v>138.72678999999999</v>
      </c>
      <c r="AQ723" s="551">
        <v>11593.397840299998</v>
      </c>
      <c r="AR723" s="551">
        <v>0.83189999999999997</v>
      </c>
    </row>
    <row r="724" spans="39:44" x14ac:dyDescent="0.25">
      <c r="AM724" s="550">
        <v>45225</v>
      </c>
      <c r="AN724" s="551">
        <v>83.61</v>
      </c>
      <c r="AO724" s="551">
        <v>1084393</v>
      </c>
      <c r="AP724" s="551">
        <v>138.72678999999999</v>
      </c>
      <c r="AQ724" s="551">
        <v>11598.946911899999</v>
      </c>
      <c r="AR724" s="551">
        <v>0.83230000000000004</v>
      </c>
    </row>
    <row r="725" spans="39:44" x14ac:dyDescent="0.25">
      <c r="AM725" s="550">
        <v>45224</v>
      </c>
      <c r="AN725" s="551">
        <v>84.72</v>
      </c>
      <c r="AO725" s="551">
        <v>594743</v>
      </c>
      <c r="AP725" s="551">
        <v>138.72678999999999</v>
      </c>
      <c r="AQ725" s="551">
        <v>11752.933648799999</v>
      </c>
      <c r="AR725" s="551">
        <v>0.84340000000000004</v>
      </c>
    </row>
    <row r="726" spans="39:44" x14ac:dyDescent="0.25">
      <c r="AM726" s="550">
        <v>45223</v>
      </c>
      <c r="AN726" s="551">
        <v>83.93</v>
      </c>
      <c r="AO726" s="551">
        <v>1749841</v>
      </c>
      <c r="AP726" s="551">
        <v>138.72678999999999</v>
      </c>
      <c r="AQ726" s="551">
        <v>11643.3394847</v>
      </c>
      <c r="AR726" s="551">
        <v>0.83550000000000002</v>
      </c>
    </row>
    <row r="727" spans="39:44" x14ac:dyDescent="0.25">
      <c r="AM727" s="550">
        <v>45222</v>
      </c>
      <c r="AN727" s="551">
        <v>83.93</v>
      </c>
      <c r="AO727" s="551">
        <v>1749841</v>
      </c>
      <c r="AP727" s="551">
        <v>138.72678999999999</v>
      </c>
      <c r="AQ727" s="551">
        <v>11643.3394847</v>
      </c>
      <c r="AR727" s="551">
        <v>0.83550000000000002</v>
      </c>
    </row>
    <row r="728" spans="39:44" x14ac:dyDescent="0.25">
      <c r="AM728" s="550">
        <v>45221</v>
      </c>
      <c r="AN728" s="551">
        <v>83.93</v>
      </c>
      <c r="AO728" s="551">
        <v>1749841</v>
      </c>
      <c r="AP728" s="551">
        <v>138.72678999999999</v>
      </c>
      <c r="AQ728" s="551">
        <v>11643.3394847</v>
      </c>
      <c r="AR728" s="551">
        <v>0.83550000000000002</v>
      </c>
    </row>
    <row r="729" spans="39:44" x14ac:dyDescent="0.25">
      <c r="AM729" s="550">
        <v>45220</v>
      </c>
      <c r="AN729" s="551">
        <v>84</v>
      </c>
      <c r="AO729" s="551">
        <v>761926</v>
      </c>
      <c r="AP729" s="551">
        <v>138.72678999999999</v>
      </c>
      <c r="AQ729" s="551">
        <v>11653.050359999999</v>
      </c>
      <c r="AR729" s="551">
        <v>0.83620000000000005</v>
      </c>
    </row>
    <row r="730" spans="39:44" x14ac:dyDescent="0.25">
      <c r="AM730" s="550">
        <v>45219</v>
      </c>
      <c r="AN730" s="551">
        <v>82.58</v>
      </c>
      <c r="AO730" s="551">
        <v>1058249</v>
      </c>
      <c r="AP730" s="551">
        <v>138.72678999999999</v>
      </c>
      <c r="AQ730" s="551">
        <v>11456.058318199999</v>
      </c>
      <c r="AR730" s="551">
        <v>0.82210000000000005</v>
      </c>
    </row>
    <row r="731" spans="39:44" x14ac:dyDescent="0.25">
      <c r="AM731" s="550">
        <v>45218</v>
      </c>
      <c r="AN731" s="551">
        <v>85.5</v>
      </c>
      <c r="AO731" s="551">
        <v>606173</v>
      </c>
      <c r="AP731" s="551">
        <v>138.72678999999999</v>
      </c>
      <c r="AQ731" s="551">
        <v>11861.140545</v>
      </c>
      <c r="AR731" s="551">
        <v>0.85109999999999997</v>
      </c>
    </row>
    <row r="732" spans="39:44" x14ac:dyDescent="0.25">
      <c r="AM732" s="550">
        <v>45217</v>
      </c>
      <c r="AN732" s="551">
        <v>85.28</v>
      </c>
      <c r="AO732" s="551">
        <v>521828</v>
      </c>
      <c r="AP732" s="551">
        <v>138.72678999999999</v>
      </c>
      <c r="AQ732" s="551">
        <v>11830.620651199999</v>
      </c>
      <c r="AR732" s="551">
        <v>0.84889999999999999</v>
      </c>
    </row>
    <row r="733" spans="39:44" x14ac:dyDescent="0.25">
      <c r="AM733" s="550">
        <v>45216</v>
      </c>
      <c r="AN733" s="551">
        <v>84.87</v>
      </c>
      <c r="AO733" s="551">
        <v>320160</v>
      </c>
      <c r="AP733" s="551">
        <v>138.72678999999999</v>
      </c>
      <c r="AQ733" s="551">
        <v>11773.742667300001</v>
      </c>
      <c r="AR733" s="551">
        <v>0.84489999999999998</v>
      </c>
    </row>
    <row r="734" spans="39:44" x14ac:dyDescent="0.25">
      <c r="AM734" s="550">
        <v>45215</v>
      </c>
      <c r="AN734" s="551">
        <v>84.87</v>
      </c>
      <c r="AO734" s="551">
        <v>320160</v>
      </c>
      <c r="AP734" s="551">
        <v>138.72678999999999</v>
      </c>
      <c r="AQ734" s="551">
        <v>11773.742667300001</v>
      </c>
      <c r="AR734" s="551">
        <v>0.84489999999999998</v>
      </c>
    </row>
    <row r="735" spans="39:44" x14ac:dyDescent="0.25">
      <c r="AM735" s="550">
        <v>45214</v>
      </c>
      <c r="AN735" s="551">
        <v>84.87</v>
      </c>
      <c r="AO735" s="551">
        <v>320160</v>
      </c>
      <c r="AP735" s="551">
        <v>138.72678999999999</v>
      </c>
      <c r="AQ735" s="551">
        <v>11773.742667300001</v>
      </c>
      <c r="AR735" s="551">
        <v>0.84489999999999998</v>
      </c>
    </row>
    <row r="736" spans="39:44" x14ac:dyDescent="0.25">
      <c r="AM736" s="550">
        <v>45213</v>
      </c>
      <c r="AN736" s="551">
        <v>84.93</v>
      </c>
      <c r="AO736" s="551">
        <v>628607</v>
      </c>
      <c r="AP736" s="551">
        <v>138.72678999999999</v>
      </c>
      <c r="AQ736" s="551">
        <v>11782.066274700001</v>
      </c>
      <c r="AR736" s="551">
        <v>0.84550000000000003</v>
      </c>
    </row>
    <row r="737" spans="39:44" x14ac:dyDescent="0.25">
      <c r="AM737" s="550">
        <v>45212</v>
      </c>
      <c r="AN737" s="551">
        <v>85.48</v>
      </c>
      <c r="AO737" s="551">
        <v>682888</v>
      </c>
      <c r="AP737" s="551">
        <v>138.72678999999999</v>
      </c>
      <c r="AQ737" s="551">
        <v>11858.366009200001</v>
      </c>
      <c r="AR737" s="551">
        <v>0.85089999999999999</v>
      </c>
    </row>
    <row r="738" spans="39:44" x14ac:dyDescent="0.25">
      <c r="AM738" s="550">
        <v>45211</v>
      </c>
      <c r="AN738" s="551">
        <v>86.72</v>
      </c>
      <c r="AO738" s="551">
        <v>551631</v>
      </c>
      <c r="AP738" s="551">
        <v>138.72678999999999</v>
      </c>
      <c r="AQ738" s="551">
        <v>12030.3872288</v>
      </c>
      <c r="AR738" s="551">
        <v>0.86329999999999996</v>
      </c>
    </row>
    <row r="739" spans="39:44" x14ac:dyDescent="0.25">
      <c r="AM739" s="550">
        <v>45210</v>
      </c>
      <c r="AN739" s="551">
        <v>88.57</v>
      </c>
      <c r="AO739" s="551">
        <v>476855</v>
      </c>
      <c r="AP739" s="551">
        <v>138.72678999999999</v>
      </c>
      <c r="AQ739" s="551">
        <v>12287.031790299998</v>
      </c>
      <c r="AR739" s="551">
        <v>0.88170000000000004</v>
      </c>
    </row>
    <row r="740" spans="39:44" x14ac:dyDescent="0.25">
      <c r="AM740" s="550">
        <v>45209</v>
      </c>
      <c r="AN740" s="551">
        <v>88.57</v>
      </c>
      <c r="AO740" s="551">
        <v>476855</v>
      </c>
      <c r="AP740" s="551">
        <v>138.72678999999999</v>
      </c>
      <c r="AQ740" s="551">
        <v>12287.031790299998</v>
      </c>
      <c r="AR740" s="551">
        <v>0.88170000000000004</v>
      </c>
    </row>
    <row r="741" spans="39:44" x14ac:dyDescent="0.25">
      <c r="AM741" s="550">
        <v>45208</v>
      </c>
      <c r="AN741" s="551">
        <v>88.57</v>
      </c>
      <c r="AO741" s="551">
        <v>476855</v>
      </c>
      <c r="AP741" s="551">
        <v>138.72678999999999</v>
      </c>
      <c r="AQ741" s="551">
        <v>12287.031790299998</v>
      </c>
      <c r="AR741" s="551">
        <v>0.88170000000000004</v>
      </c>
    </row>
    <row r="742" spans="39:44" x14ac:dyDescent="0.25">
      <c r="AM742" s="550">
        <v>45207</v>
      </c>
      <c r="AN742" s="551">
        <v>88.57</v>
      </c>
      <c r="AO742" s="551">
        <v>476855</v>
      </c>
      <c r="AP742" s="551">
        <v>138.72678999999999</v>
      </c>
      <c r="AQ742" s="551">
        <v>12287.031790299998</v>
      </c>
      <c r="AR742" s="551">
        <v>0.88170000000000004</v>
      </c>
    </row>
    <row r="743" spans="39:44" x14ac:dyDescent="0.25">
      <c r="AM743" s="550">
        <v>45206</v>
      </c>
      <c r="AN743" s="551">
        <v>87.75</v>
      </c>
      <c r="AO743" s="551">
        <v>1336263</v>
      </c>
      <c r="AP743" s="551">
        <v>138.72678999999999</v>
      </c>
      <c r="AQ743" s="551">
        <v>12173.2758225</v>
      </c>
      <c r="AR743" s="551">
        <v>0.87350000000000005</v>
      </c>
    </row>
    <row r="744" spans="39:44" x14ac:dyDescent="0.25">
      <c r="AM744" s="550">
        <v>45205</v>
      </c>
      <c r="AN744" s="551">
        <v>88.04</v>
      </c>
      <c r="AO744" s="551">
        <v>566578</v>
      </c>
      <c r="AP744" s="551">
        <v>138.72678999999999</v>
      </c>
      <c r="AQ744" s="551">
        <v>12213.5065916</v>
      </c>
      <c r="AR744" s="551">
        <v>0.87639999999999996</v>
      </c>
    </row>
    <row r="745" spans="39:44" x14ac:dyDescent="0.25">
      <c r="AM745" s="550">
        <v>45204</v>
      </c>
      <c r="AN745" s="551">
        <v>87.72</v>
      </c>
      <c r="AO745" s="551">
        <v>439032</v>
      </c>
      <c r="AP745" s="551">
        <v>138.72678999999999</v>
      </c>
      <c r="AQ745" s="551">
        <v>12169.114018799999</v>
      </c>
      <c r="AR745" s="551">
        <v>0.87319999999999998</v>
      </c>
    </row>
    <row r="746" spans="39:44" x14ac:dyDescent="0.25">
      <c r="AM746" s="550">
        <v>45203</v>
      </c>
      <c r="AN746" s="551">
        <v>88.12</v>
      </c>
      <c r="AO746" s="551">
        <v>544369</v>
      </c>
      <c r="AP746" s="551">
        <v>138.72678999999999</v>
      </c>
      <c r="AQ746" s="551">
        <v>12224.604734799999</v>
      </c>
      <c r="AR746" s="551">
        <v>0.87719999999999998</v>
      </c>
    </row>
    <row r="747" spans="39:44" x14ac:dyDescent="0.25">
      <c r="AM747" s="550">
        <v>45202</v>
      </c>
      <c r="AN747" s="551">
        <v>86.87</v>
      </c>
      <c r="AO747" s="551">
        <v>418828</v>
      </c>
      <c r="AP747" s="551">
        <v>138.72678999999999</v>
      </c>
      <c r="AQ747" s="551">
        <v>12051.1962473</v>
      </c>
      <c r="AR747" s="551">
        <v>0.86480000000000001</v>
      </c>
    </row>
    <row r="748" spans="39:44" x14ac:dyDescent="0.25">
      <c r="AM748" s="550">
        <v>45201</v>
      </c>
      <c r="AN748" s="551">
        <v>86.87</v>
      </c>
      <c r="AO748" s="551">
        <v>418828</v>
      </c>
      <c r="AP748" s="551">
        <v>138.72678999999999</v>
      </c>
      <c r="AQ748" s="551">
        <v>12051.1962473</v>
      </c>
      <c r="AR748" s="551">
        <v>0.86480000000000001</v>
      </c>
    </row>
    <row r="749" spans="39:44" x14ac:dyDescent="0.25">
      <c r="AM749" s="550">
        <v>45200</v>
      </c>
      <c r="AN749" s="551">
        <v>86.87</v>
      </c>
      <c r="AO749" s="551">
        <v>418828</v>
      </c>
      <c r="AP749" s="551">
        <v>138.72678999999999</v>
      </c>
      <c r="AQ749" s="551">
        <v>12051.1962473</v>
      </c>
      <c r="AR749" s="551">
        <v>0.86480000000000001</v>
      </c>
    </row>
    <row r="750" spans="39:44" x14ac:dyDescent="0.25">
      <c r="AM750" s="550">
        <v>45199</v>
      </c>
      <c r="AN750" s="551">
        <v>86.25</v>
      </c>
      <c r="AO750" s="551">
        <v>442380</v>
      </c>
      <c r="AP750" s="551">
        <v>138.72678999999999</v>
      </c>
      <c r="AQ750" s="551">
        <v>11965.185637499999</v>
      </c>
      <c r="AR750" s="551">
        <v>0.85860000000000003</v>
      </c>
    </row>
    <row r="751" spans="39:44" x14ac:dyDescent="0.25">
      <c r="AM751" s="550">
        <v>45198</v>
      </c>
      <c r="AN751" s="551">
        <v>88.2</v>
      </c>
      <c r="AO751" s="551">
        <v>676177</v>
      </c>
      <c r="AP751" s="551">
        <v>138.72678999999999</v>
      </c>
      <c r="AQ751" s="551">
        <v>12235.702878</v>
      </c>
      <c r="AR751" s="551">
        <v>0.878</v>
      </c>
    </row>
    <row r="752" spans="39:44" x14ac:dyDescent="0.25">
      <c r="AM752" s="550">
        <v>45197</v>
      </c>
      <c r="AN752" s="551">
        <v>87.35</v>
      </c>
      <c r="AO752" s="551">
        <v>634509</v>
      </c>
      <c r="AP752" s="551">
        <v>138.72678999999999</v>
      </c>
      <c r="AQ752" s="551">
        <v>12117.7851065</v>
      </c>
      <c r="AR752" s="551">
        <v>0.86960000000000004</v>
      </c>
    </row>
    <row r="753" spans="39:44" x14ac:dyDescent="0.25">
      <c r="AM753" s="550">
        <v>45196</v>
      </c>
      <c r="AN753" s="551">
        <v>86.86</v>
      </c>
      <c r="AO753" s="551">
        <v>687100</v>
      </c>
      <c r="AP753" s="551">
        <v>138.72678999999999</v>
      </c>
      <c r="AQ753" s="551">
        <v>12049.808979399999</v>
      </c>
      <c r="AR753" s="551">
        <v>0.86470000000000002</v>
      </c>
    </row>
    <row r="754" spans="39:44" x14ac:dyDescent="0.25">
      <c r="AM754" s="550">
        <v>45195</v>
      </c>
      <c r="AN754" s="551">
        <v>86.89</v>
      </c>
      <c r="AO754" s="551">
        <v>547505</v>
      </c>
      <c r="AP754" s="551">
        <v>138.72678999999999</v>
      </c>
      <c r="AQ754" s="551">
        <v>12053.9707831</v>
      </c>
      <c r="AR754" s="551">
        <v>0.86499999999999999</v>
      </c>
    </row>
    <row r="755" spans="39:44" x14ac:dyDescent="0.25">
      <c r="AM755" s="550">
        <v>45194</v>
      </c>
      <c r="AN755" s="551">
        <v>86.89</v>
      </c>
      <c r="AO755" s="551">
        <v>547505</v>
      </c>
      <c r="AP755" s="551">
        <v>138.72678999999999</v>
      </c>
      <c r="AQ755" s="551">
        <v>12053.9707831</v>
      </c>
      <c r="AR755" s="551">
        <v>0.86499999999999999</v>
      </c>
    </row>
    <row r="756" spans="39:44" x14ac:dyDescent="0.25">
      <c r="AM756" s="550">
        <v>45193</v>
      </c>
      <c r="AN756" s="551">
        <v>86.89</v>
      </c>
      <c r="AO756" s="551">
        <v>547505</v>
      </c>
      <c r="AP756" s="551">
        <v>138.72678999999999</v>
      </c>
      <c r="AQ756" s="551">
        <v>12053.9707831</v>
      </c>
      <c r="AR756" s="551">
        <v>0.86499999999999999</v>
      </c>
    </row>
    <row r="757" spans="39:44" x14ac:dyDescent="0.25">
      <c r="AM757" s="550">
        <v>45192</v>
      </c>
      <c r="AN757" s="551">
        <v>86.13</v>
      </c>
      <c r="AO757" s="551">
        <v>530819</v>
      </c>
      <c r="AP757" s="551">
        <v>138.72678999999999</v>
      </c>
      <c r="AQ757" s="551">
        <v>11948.5384227</v>
      </c>
      <c r="AR757" s="551">
        <v>0.85740000000000005</v>
      </c>
    </row>
    <row r="758" spans="39:44" x14ac:dyDescent="0.25">
      <c r="AM758" s="550">
        <v>45191</v>
      </c>
      <c r="AN758" s="551">
        <v>87.48</v>
      </c>
      <c r="AO758" s="551">
        <v>455687</v>
      </c>
      <c r="AP758" s="551">
        <v>138.72678999999999</v>
      </c>
      <c r="AQ758" s="551">
        <v>12135.8195892</v>
      </c>
      <c r="AR758" s="551">
        <v>0.87080000000000002</v>
      </c>
    </row>
    <row r="759" spans="39:44" x14ac:dyDescent="0.25">
      <c r="AM759" s="550">
        <v>45190</v>
      </c>
      <c r="AN759" s="551">
        <v>87.88</v>
      </c>
      <c r="AO759" s="551">
        <v>642020</v>
      </c>
      <c r="AP759" s="551">
        <v>138.72678999999999</v>
      </c>
      <c r="AQ759" s="551">
        <v>12191.310305199999</v>
      </c>
      <c r="AR759" s="551">
        <v>0.87480000000000002</v>
      </c>
    </row>
    <row r="760" spans="39:44" x14ac:dyDescent="0.25">
      <c r="AM760" s="550">
        <v>45189</v>
      </c>
      <c r="AN760" s="551">
        <v>89.86</v>
      </c>
      <c r="AO760" s="551">
        <v>910523</v>
      </c>
      <c r="AP760" s="551">
        <v>138.72678999999999</v>
      </c>
      <c r="AQ760" s="551">
        <v>12465.989349399999</v>
      </c>
      <c r="AR760" s="551">
        <v>0.89449999999999996</v>
      </c>
    </row>
    <row r="761" spans="39:44" x14ac:dyDescent="0.25">
      <c r="AM761" s="550">
        <v>45188</v>
      </c>
      <c r="AN761" s="551">
        <v>88.43</v>
      </c>
      <c r="AO761" s="551">
        <v>1077879</v>
      </c>
      <c r="AP761" s="551">
        <v>138.72678999999999</v>
      </c>
      <c r="AQ761" s="551">
        <v>12267.610039700001</v>
      </c>
      <c r="AR761" s="551">
        <v>0.88029999999999997</v>
      </c>
    </row>
    <row r="762" spans="39:44" x14ac:dyDescent="0.25">
      <c r="AM762" s="550">
        <v>45187</v>
      </c>
      <c r="AN762" s="551">
        <v>88.43</v>
      </c>
      <c r="AO762" s="551">
        <v>1077879</v>
      </c>
      <c r="AP762" s="551">
        <v>138.72678999999999</v>
      </c>
      <c r="AQ762" s="551">
        <v>12267.610039700001</v>
      </c>
      <c r="AR762" s="551">
        <v>0.88029999999999997</v>
      </c>
    </row>
    <row r="763" spans="39:44" x14ac:dyDescent="0.25">
      <c r="AM763" s="550">
        <v>45186</v>
      </c>
      <c r="AN763" s="551">
        <v>88.43</v>
      </c>
      <c r="AO763" s="551">
        <v>1077879</v>
      </c>
      <c r="AP763" s="551">
        <v>138.72678999999999</v>
      </c>
      <c r="AQ763" s="551">
        <v>12267.610039700001</v>
      </c>
      <c r="AR763" s="551">
        <v>0.88029999999999997</v>
      </c>
    </row>
    <row r="764" spans="39:44" x14ac:dyDescent="0.25">
      <c r="AM764" s="550">
        <v>45185</v>
      </c>
      <c r="AN764" s="551">
        <v>87.38</v>
      </c>
      <c r="AO764" s="551">
        <v>782116</v>
      </c>
      <c r="AP764" s="551">
        <v>138.72678999999999</v>
      </c>
      <c r="AQ764" s="551">
        <v>12121.946910199998</v>
      </c>
      <c r="AR764" s="551">
        <v>0.86980000000000002</v>
      </c>
    </row>
    <row r="765" spans="39:44" x14ac:dyDescent="0.25">
      <c r="AM765" s="550">
        <v>45184</v>
      </c>
      <c r="AN765" s="551">
        <v>85.57</v>
      </c>
      <c r="AO765" s="551">
        <v>582969</v>
      </c>
      <c r="AP765" s="551">
        <v>138.72678999999999</v>
      </c>
      <c r="AQ765" s="551">
        <v>11870.851420299998</v>
      </c>
      <c r="AR765" s="551">
        <v>0.8518</v>
      </c>
    </row>
    <row r="766" spans="39:44" x14ac:dyDescent="0.25">
      <c r="AM766" s="550">
        <v>45183</v>
      </c>
      <c r="AN766" s="551">
        <v>85.4</v>
      </c>
      <c r="AO766" s="551">
        <v>1084920</v>
      </c>
      <c r="AP766" s="551">
        <v>138.99879000000001</v>
      </c>
      <c r="AQ766" s="551">
        <v>11870.496666000003</v>
      </c>
      <c r="AR766" s="551">
        <v>0.85009999999999997</v>
      </c>
    </row>
    <row r="767" spans="39:44" x14ac:dyDescent="0.25">
      <c r="AM767" s="550">
        <v>45182</v>
      </c>
      <c r="AN767" s="551">
        <v>87.05</v>
      </c>
      <c r="AO767" s="551">
        <v>1140186</v>
      </c>
      <c r="AP767" s="551">
        <v>138.99879000000001</v>
      </c>
      <c r="AQ767" s="551">
        <v>12099.8446695</v>
      </c>
      <c r="AR767" s="551">
        <v>0.86660000000000004</v>
      </c>
    </row>
    <row r="768" spans="39:44" x14ac:dyDescent="0.25">
      <c r="AM768" s="550">
        <v>45181</v>
      </c>
      <c r="AN768" s="551">
        <v>86.52</v>
      </c>
      <c r="AO768" s="551">
        <v>601300</v>
      </c>
      <c r="AP768" s="551">
        <v>138.99879000000001</v>
      </c>
      <c r="AQ768" s="551">
        <v>12026.175310800001</v>
      </c>
      <c r="AR768" s="551">
        <v>0.86129999999999995</v>
      </c>
    </row>
    <row r="769" spans="39:44" x14ac:dyDescent="0.25">
      <c r="AM769" s="550">
        <v>45180</v>
      </c>
      <c r="AN769" s="551">
        <v>86.52</v>
      </c>
      <c r="AO769" s="551">
        <v>601300</v>
      </c>
      <c r="AP769" s="551">
        <v>138.99879000000001</v>
      </c>
      <c r="AQ769" s="551">
        <v>12026.175310800001</v>
      </c>
      <c r="AR769" s="551">
        <v>0.86129999999999995</v>
      </c>
    </row>
    <row r="770" spans="39:44" x14ac:dyDescent="0.25">
      <c r="AM770" s="550">
        <v>45179</v>
      </c>
      <c r="AN770" s="551">
        <v>86.52</v>
      </c>
      <c r="AO770" s="551">
        <v>601300</v>
      </c>
      <c r="AP770" s="551">
        <v>138.99879000000001</v>
      </c>
      <c r="AQ770" s="551">
        <v>12026.175310800001</v>
      </c>
      <c r="AR770" s="551">
        <v>0.86129999999999995</v>
      </c>
    </row>
    <row r="771" spans="39:44" x14ac:dyDescent="0.25">
      <c r="AM771" s="550">
        <v>45178</v>
      </c>
      <c r="AN771" s="551">
        <v>86.82</v>
      </c>
      <c r="AO771" s="551">
        <v>689155</v>
      </c>
      <c r="AP771" s="551">
        <v>138.99879000000001</v>
      </c>
      <c r="AQ771" s="551">
        <v>12067.874947800001</v>
      </c>
      <c r="AR771" s="551">
        <v>0.86429999999999996</v>
      </c>
    </row>
    <row r="772" spans="39:44" x14ac:dyDescent="0.25">
      <c r="AM772" s="550">
        <v>45177</v>
      </c>
      <c r="AN772" s="551">
        <v>87.35</v>
      </c>
      <c r="AO772" s="551">
        <v>521129</v>
      </c>
      <c r="AP772" s="551">
        <v>138.99879000000001</v>
      </c>
      <c r="AQ772" s="551">
        <v>12141.5443065</v>
      </c>
      <c r="AR772" s="551">
        <v>0.86960000000000004</v>
      </c>
    </row>
    <row r="773" spans="39:44" x14ac:dyDescent="0.25">
      <c r="AM773" s="550">
        <v>45176</v>
      </c>
      <c r="AN773" s="551">
        <v>87.5</v>
      </c>
      <c r="AO773" s="551">
        <v>443186</v>
      </c>
      <c r="AP773" s="551">
        <v>138.99879000000001</v>
      </c>
      <c r="AQ773" s="551">
        <v>12162.394125000001</v>
      </c>
      <c r="AR773" s="551">
        <v>0.871</v>
      </c>
    </row>
    <row r="774" spans="39:44" x14ac:dyDescent="0.25">
      <c r="AM774" s="550">
        <v>45175</v>
      </c>
      <c r="AN774" s="551">
        <v>87</v>
      </c>
      <c r="AO774" s="551">
        <v>436519</v>
      </c>
      <c r="AP774" s="551">
        <v>138.99879000000001</v>
      </c>
      <c r="AQ774" s="551">
        <v>12092.894730000002</v>
      </c>
      <c r="AR774" s="551">
        <v>0.86609999999999998</v>
      </c>
    </row>
    <row r="775" spans="39:44" x14ac:dyDescent="0.25">
      <c r="AM775" s="550">
        <v>45174</v>
      </c>
      <c r="AN775" s="551">
        <v>86.99</v>
      </c>
      <c r="AO775" s="551">
        <v>418919</v>
      </c>
      <c r="AP775" s="551">
        <v>138.99879000000001</v>
      </c>
      <c r="AQ775" s="551">
        <v>12091.5047421</v>
      </c>
      <c r="AR775" s="551">
        <v>0.86599999999999999</v>
      </c>
    </row>
    <row r="776" spans="39:44" x14ac:dyDescent="0.25">
      <c r="AM776" s="550">
        <v>45173</v>
      </c>
      <c r="AN776" s="551">
        <v>86.99</v>
      </c>
      <c r="AO776" s="551">
        <v>418919</v>
      </c>
      <c r="AP776" s="551">
        <v>138.99879000000001</v>
      </c>
      <c r="AQ776" s="551">
        <v>12091.5047421</v>
      </c>
      <c r="AR776" s="551">
        <v>0.86599999999999999</v>
      </c>
    </row>
    <row r="777" spans="39:44" x14ac:dyDescent="0.25">
      <c r="AM777" s="550">
        <v>45172</v>
      </c>
      <c r="AN777" s="551">
        <v>86.99</v>
      </c>
      <c r="AO777" s="551">
        <v>418919</v>
      </c>
      <c r="AP777" s="551">
        <v>138.99879000000001</v>
      </c>
      <c r="AQ777" s="551">
        <v>12091.5047421</v>
      </c>
      <c r="AR777" s="551">
        <v>0.86599999999999999</v>
      </c>
    </row>
    <row r="778" spans="39:44" x14ac:dyDescent="0.25">
      <c r="AM778" s="550">
        <v>45171</v>
      </c>
      <c r="AN778" s="551">
        <v>86.37</v>
      </c>
      <c r="AO778" s="551">
        <v>625075</v>
      </c>
      <c r="AP778" s="551">
        <v>138.99879000000001</v>
      </c>
      <c r="AQ778" s="551">
        <v>12005.325492300002</v>
      </c>
      <c r="AR778" s="551">
        <v>0.85980000000000001</v>
      </c>
    </row>
    <row r="779" spans="39:44" x14ac:dyDescent="0.25">
      <c r="AM779" s="550">
        <v>45170</v>
      </c>
      <c r="AN779" s="551">
        <v>87.64</v>
      </c>
      <c r="AO779" s="551">
        <v>556664</v>
      </c>
      <c r="AP779" s="551">
        <v>138.99879000000001</v>
      </c>
      <c r="AQ779" s="551">
        <v>12181.853955600001</v>
      </c>
      <c r="AR779" s="551">
        <v>0.87239999999999995</v>
      </c>
    </row>
    <row r="780" spans="39:44" x14ac:dyDescent="0.25">
      <c r="AM780" s="550">
        <v>45169</v>
      </c>
      <c r="AN780" s="551">
        <v>88.32</v>
      </c>
      <c r="AO780" s="551">
        <v>387007</v>
      </c>
      <c r="AP780" s="551">
        <v>138.99879000000001</v>
      </c>
      <c r="AQ780" s="551">
        <v>12276.373132799999</v>
      </c>
      <c r="AR780" s="551">
        <v>0.87919999999999998</v>
      </c>
    </row>
    <row r="781" spans="39:44" x14ac:dyDescent="0.25">
      <c r="AM781" s="550">
        <v>45168</v>
      </c>
      <c r="AN781" s="551">
        <v>87.86</v>
      </c>
      <c r="AO781" s="551">
        <v>439336</v>
      </c>
      <c r="AP781" s="551">
        <v>138.99879000000001</v>
      </c>
      <c r="AQ781" s="551">
        <v>12212.433689400001</v>
      </c>
      <c r="AR781" s="551">
        <v>0.87460000000000004</v>
      </c>
    </row>
    <row r="782" spans="39:44" x14ac:dyDescent="0.25">
      <c r="AM782" s="550">
        <v>45167</v>
      </c>
      <c r="AN782" s="551">
        <v>88.44</v>
      </c>
      <c r="AO782" s="551">
        <v>506501</v>
      </c>
      <c r="AP782" s="551">
        <v>138.99879000000001</v>
      </c>
      <c r="AQ782" s="551">
        <v>12293.0529876</v>
      </c>
      <c r="AR782" s="551">
        <v>0.88039999999999996</v>
      </c>
    </row>
    <row r="783" spans="39:44" x14ac:dyDescent="0.25">
      <c r="AM783" s="550">
        <v>45166</v>
      </c>
      <c r="AN783" s="551">
        <v>88.44</v>
      </c>
      <c r="AO783" s="551">
        <v>506501</v>
      </c>
      <c r="AP783" s="551">
        <v>138.99879000000001</v>
      </c>
      <c r="AQ783" s="551">
        <v>12293.0529876</v>
      </c>
      <c r="AR783" s="551">
        <v>0.88039999999999996</v>
      </c>
    </row>
    <row r="784" spans="39:44" x14ac:dyDescent="0.25">
      <c r="AM784" s="550">
        <v>45165</v>
      </c>
      <c r="AN784" s="551">
        <v>88.44</v>
      </c>
      <c r="AO784" s="551">
        <v>506501</v>
      </c>
      <c r="AP784" s="551">
        <v>138.99879000000001</v>
      </c>
      <c r="AQ784" s="551">
        <v>12293.0529876</v>
      </c>
      <c r="AR784" s="551">
        <v>0.88039999999999996</v>
      </c>
    </row>
    <row r="785" spans="39:44" x14ac:dyDescent="0.25">
      <c r="AM785" s="550">
        <v>45164</v>
      </c>
      <c r="AN785" s="551">
        <v>88.94</v>
      </c>
      <c r="AO785" s="551">
        <v>460606</v>
      </c>
      <c r="AP785" s="551">
        <v>138.99879000000001</v>
      </c>
      <c r="AQ785" s="551">
        <v>12362.552382600001</v>
      </c>
      <c r="AR785" s="551">
        <v>0.88539999999999996</v>
      </c>
    </row>
    <row r="786" spans="39:44" x14ac:dyDescent="0.25">
      <c r="AM786" s="550">
        <v>45163</v>
      </c>
      <c r="AN786" s="551">
        <v>88.7</v>
      </c>
      <c r="AO786" s="551">
        <v>518075</v>
      </c>
      <c r="AP786" s="551">
        <v>138.99879000000001</v>
      </c>
      <c r="AQ786" s="551">
        <v>12329.192673000001</v>
      </c>
      <c r="AR786" s="551">
        <v>0.88300000000000001</v>
      </c>
    </row>
    <row r="787" spans="39:44" x14ac:dyDescent="0.25">
      <c r="AM787" s="550">
        <v>45162</v>
      </c>
      <c r="AN787" s="551">
        <v>88.32</v>
      </c>
      <c r="AO787" s="551">
        <v>474860</v>
      </c>
      <c r="AP787" s="551">
        <v>138.99879000000001</v>
      </c>
      <c r="AQ787" s="551">
        <v>12276.373132799999</v>
      </c>
      <c r="AR787" s="551">
        <v>0.87919999999999998</v>
      </c>
    </row>
    <row r="788" spans="39:44" x14ac:dyDescent="0.25">
      <c r="AM788" s="550">
        <v>45161</v>
      </c>
      <c r="AN788" s="551">
        <v>87.32</v>
      </c>
      <c r="AO788" s="551">
        <v>421007</v>
      </c>
      <c r="AP788" s="551">
        <v>138.99879000000001</v>
      </c>
      <c r="AQ788" s="551">
        <v>12137.3743428</v>
      </c>
      <c r="AR788" s="551">
        <v>0.86929999999999996</v>
      </c>
    </row>
    <row r="789" spans="39:44" x14ac:dyDescent="0.25">
      <c r="AM789" s="550">
        <v>45160</v>
      </c>
      <c r="AN789" s="551">
        <v>86.64</v>
      </c>
      <c r="AO789" s="551">
        <v>427671</v>
      </c>
      <c r="AP789" s="551">
        <v>138.99879000000001</v>
      </c>
      <c r="AQ789" s="551">
        <v>12042.855165600002</v>
      </c>
      <c r="AR789" s="551">
        <v>0.86250000000000004</v>
      </c>
    </row>
    <row r="790" spans="39:44" x14ac:dyDescent="0.25">
      <c r="AM790" s="550">
        <v>45159</v>
      </c>
      <c r="AN790" s="551">
        <v>86.64</v>
      </c>
      <c r="AO790" s="551">
        <v>427671</v>
      </c>
      <c r="AP790" s="551">
        <v>138.99879000000001</v>
      </c>
      <c r="AQ790" s="551">
        <v>12042.855165600002</v>
      </c>
      <c r="AR790" s="551">
        <v>0.86250000000000004</v>
      </c>
    </row>
    <row r="791" spans="39:44" x14ac:dyDescent="0.25">
      <c r="AM791" s="550">
        <v>45158</v>
      </c>
      <c r="AN791" s="551">
        <v>86.64</v>
      </c>
      <c r="AO791" s="551">
        <v>427671</v>
      </c>
      <c r="AP791" s="551">
        <v>138.99879000000001</v>
      </c>
      <c r="AQ791" s="551">
        <v>12042.855165600002</v>
      </c>
      <c r="AR791" s="551">
        <v>0.86250000000000004</v>
      </c>
    </row>
    <row r="792" spans="39:44" x14ac:dyDescent="0.25">
      <c r="AM792" s="550">
        <v>45157</v>
      </c>
      <c r="AN792" s="551">
        <v>87.61</v>
      </c>
      <c r="AO792" s="551">
        <v>460374</v>
      </c>
      <c r="AP792" s="551">
        <v>138.99879000000001</v>
      </c>
      <c r="AQ792" s="551">
        <v>12177.683991900001</v>
      </c>
      <c r="AR792" s="551">
        <v>0.87209999999999999</v>
      </c>
    </row>
    <row r="793" spans="39:44" x14ac:dyDescent="0.25">
      <c r="AM793" s="550">
        <v>45156</v>
      </c>
      <c r="AN793" s="551">
        <v>86.9</v>
      </c>
      <c r="AO793" s="551">
        <v>469719</v>
      </c>
      <c r="AP793" s="551">
        <v>138.99879000000001</v>
      </c>
      <c r="AQ793" s="551">
        <v>12078.994851000001</v>
      </c>
      <c r="AR793" s="551">
        <v>0.86509999999999998</v>
      </c>
    </row>
    <row r="794" spans="39:44" x14ac:dyDescent="0.25">
      <c r="AM794" s="550">
        <v>45155</v>
      </c>
      <c r="AN794" s="551">
        <v>87.31</v>
      </c>
      <c r="AO794" s="551">
        <v>559604</v>
      </c>
      <c r="AP794" s="551">
        <v>138.99879000000001</v>
      </c>
      <c r="AQ794" s="551">
        <v>12135.984354900002</v>
      </c>
      <c r="AR794" s="551">
        <v>0.86919999999999997</v>
      </c>
    </row>
    <row r="795" spans="39:44" x14ac:dyDescent="0.25">
      <c r="AM795" s="550">
        <v>45154</v>
      </c>
      <c r="AN795" s="551">
        <v>86.49</v>
      </c>
      <c r="AO795" s="551">
        <v>801812</v>
      </c>
      <c r="AP795" s="551">
        <v>138.99879000000001</v>
      </c>
      <c r="AQ795" s="551">
        <v>12022.005347100001</v>
      </c>
      <c r="AR795" s="551">
        <v>0.86099999999999999</v>
      </c>
    </row>
    <row r="796" spans="39:44" x14ac:dyDescent="0.25">
      <c r="AM796" s="550">
        <v>45153</v>
      </c>
      <c r="AN796" s="551">
        <v>85.81</v>
      </c>
      <c r="AO796" s="551">
        <v>935855</v>
      </c>
      <c r="AP796" s="551">
        <v>138.99879000000001</v>
      </c>
      <c r="AQ796" s="551">
        <v>11927.486169900001</v>
      </c>
      <c r="AR796" s="551">
        <v>0.85419999999999996</v>
      </c>
    </row>
    <row r="797" spans="39:44" x14ac:dyDescent="0.25">
      <c r="AM797" s="550">
        <v>45152</v>
      </c>
      <c r="AN797" s="551">
        <v>85.81</v>
      </c>
      <c r="AO797" s="551">
        <v>935855</v>
      </c>
      <c r="AP797" s="551">
        <v>138.99879000000001</v>
      </c>
      <c r="AQ797" s="551">
        <v>11927.486169900001</v>
      </c>
      <c r="AR797" s="551">
        <v>0.85419999999999996</v>
      </c>
    </row>
    <row r="798" spans="39:44" x14ac:dyDescent="0.25">
      <c r="AM798" s="550">
        <v>45151</v>
      </c>
      <c r="AN798" s="551">
        <v>85.81</v>
      </c>
      <c r="AO798" s="551">
        <v>935855</v>
      </c>
      <c r="AP798" s="551">
        <v>138.99879000000001</v>
      </c>
      <c r="AQ798" s="551">
        <v>11927.486169900001</v>
      </c>
      <c r="AR798" s="551">
        <v>0.85419999999999996</v>
      </c>
    </row>
    <row r="799" spans="39:44" x14ac:dyDescent="0.25">
      <c r="AM799" s="550">
        <v>45150</v>
      </c>
      <c r="AN799" s="551">
        <v>85.47</v>
      </c>
      <c r="AO799" s="551">
        <v>831357</v>
      </c>
      <c r="AP799" s="551">
        <v>138.99879000000001</v>
      </c>
      <c r="AQ799" s="551">
        <v>11880.226581300001</v>
      </c>
      <c r="AR799" s="551">
        <v>0.8508</v>
      </c>
    </row>
    <row r="800" spans="39:44" x14ac:dyDescent="0.25">
      <c r="AM800" s="550">
        <v>45149</v>
      </c>
      <c r="AN800" s="551">
        <v>85.14</v>
      </c>
      <c r="AO800" s="551">
        <v>710635</v>
      </c>
      <c r="AP800" s="551">
        <v>138.99879000000001</v>
      </c>
      <c r="AQ800" s="551">
        <v>11834.356980600001</v>
      </c>
      <c r="AR800" s="551">
        <v>0.84760000000000002</v>
      </c>
    </row>
    <row r="801" spans="39:44" x14ac:dyDescent="0.25">
      <c r="AM801" s="550">
        <v>45148</v>
      </c>
      <c r="AN801" s="551">
        <v>85.72</v>
      </c>
      <c r="AO801" s="551">
        <v>405027</v>
      </c>
      <c r="AP801" s="551">
        <v>138.99879000000001</v>
      </c>
      <c r="AQ801" s="551">
        <v>11914.976278800001</v>
      </c>
      <c r="AR801" s="551">
        <v>0.85329999999999995</v>
      </c>
    </row>
    <row r="802" spans="39:44" x14ac:dyDescent="0.25">
      <c r="AM802" s="550">
        <v>45147</v>
      </c>
      <c r="AN802" s="551">
        <v>85.72</v>
      </c>
      <c r="AO802" s="551">
        <v>405027</v>
      </c>
      <c r="AP802" s="551">
        <v>138.99879000000001</v>
      </c>
      <c r="AQ802" s="551">
        <v>11914.976278800001</v>
      </c>
      <c r="AR802" s="551">
        <v>0.85329999999999995</v>
      </c>
    </row>
    <row r="803" spans="39:44" x14ac:dyDescent="0.25">
      <c r="AM803" s="550">
        <v>45146</v>
      </c>
      <c r="AN803" s="551">
        <v>84.69</v>
      </c>
      <c r="AO803" s="551">
        <v>814636</v>
      </c>
      <c r="AP803" s="551">
        <v>138.99879000000001</v>
      </c>
      <c r="AQ803" s="551">
        <v>11771.807525100001</v>
      </c>
      <c r="AR803" s="551">
        <v>0.84309999999999996</v>
      </c>
    </row>
    <row r="804" spans="39:44" x14ac:dyDescent="0.25">
      <c r="AM804" s="550">
        <v>45145</v>
      </c>
      <c r="AN804" s="551">
        <v>84.69</v>
      </c>
      <c r="AO804" s="551">
        <v>814636</v>
      </c>
      <c r="AP804" s="551">
        <v>138.99879000000001</v>
      </c>
      <c r="AQ804" s="551">
        <v>11771.807525100001</v>
      </c>
      <c r="AR804" s="551">
        <v>0.84309999999999996</v>
      </c>
    </row>
    <row r="805" spans="39:44" x14ac:dyDescent="0.25">
      <c r="AM805" s="550">
        <v>45144</v>
      </c>
      <c r="AN805" s="551">
        <v>84.69</v>
      </c>
      <c r="AO805" s="551">
        <v>814636</v>
      </c>
      <c r="AP805" s="551">
        <v>138.99879000000001</v>
      </c>
      <c r="AQ805" s="551">
        <v>11771.807525100001</v>
      </c>
      <c r="AR805" s="551">
        <v>0.84309999999999996</v>
      </c>
    </row>
    <row r="806" spans="39:44" x14ac:dyDescent="0.25">
      <c r="AM806" s="550">
        <v>45143</v>
      </c>
      <c r="AN806" s="551">
        <v>84.77</v>
      </c>
      <c r="AO806" s="551">
        <v>679679</v>
      </c>
      <c r="AP806" s="551">
        <v>138.99879000000001</v>
      </c>
      <c r="AQ806" s="551">
        <v>11782.927428300001</v>
      </c>
      <c r="AR806" s="551">
        <v>0.873</v>
      </c>
    </row>
    <row r="807" spans="39:44" x14ac:dyDescent="0.25">
      <c r="AM807" s="550">
        <v>45142</v>
      </c>
      <c r="AN807" s="551">
        <v>83.13</v>
      </c>
      <c r="AO807" s="551">
        <v>1329382</v>
      </c>
      <c r="AP807" s="551">
        <v>138.99879000000001</v>
      </c>
      <c r="AQ807" s="551">
        <v>11554.9694127</v>
      </c>
      <c r="AR807" s="551">
        <v>0.85609999999999997</v>
      </c>
    </row>
    <row r="808" spans="39:44" x14ac:dyDescent="0.25">
      <c r="AM808" s="550">
        <v>45141</v>
      </c>
      <c r="AN808" s="551">
        <v>85.71</v>
      </c>
      <c r="AO808" s="551">
        <v>961512</v>
      </c>
      <c r="AP808" s="551">
        <v>138.99879000000001</v>
      </c>
      <c r="AQ808" s="551">
        <v>11913.586290900001</v>
      </c>
      <c r="AR808" s="551">
        <v>0.88270000000000004</v>
      </c>
    </row>
    <row r="809" spans="39:44" x14ac:dyDescent="0.25">
      <c r="AM809" s="550">
        <v>45140</v>
      </c>
      <c r="AN809" s="551">
        <v>85.08</v>
      </c>
      <c r="AO809" s="551">
        <v>980173</v>
      </c>
      <c r="AP809" s="551">
        <v>138.99879000000001</v>
      </c>
      <c r="AQ809" s="551">
        <v>11826.017053200001</v>
      </c>
      <c r="AR809" s="551">
        <v>0.87619999999999998</v>
      </c>
    </row>
    <row r="810" spans="39:44" x14ac:dyDescent="0.25">
      <c r="AM810" s="550">
        <v>45139</v>
      </c>
      <c r="AN810" s="551">
        <v>84.99</v>
      </c>
      <c r="AO810" s="551">
        <v>1233949</v>
      </c>
      <c r="AP810" s="551">
        <v>138.99879000000001</v>
      </c>
      <c r="AQ810" s="551">
        <v>11813.507162100001</v>
      </c>
      <c r="AR810" s="551">
        <v>0.87529999999999997</v>
      </c>
    </row>
    <row r="811" spans="39:44" x14ac:dyDescent="0.25">
      <c r="AM811" s="550">
        <v>45138</v>
      </c>
      <c r="AN811" s="551">
        <v>84.99</v>
      </c>
      <c r="AO811" s="551">
        <v>1233949</v>
      </c>
      <c r="AP811" s="551">
        <v>138.99879000000001</v>
      </c>
      <c r="AQ811" s="551">
        <v>11813.507162100001</v>
      </c>
      <c r="AR811" s="551">
        <v>0.87529999999999997</v>
      </c>
    </row>
    <row r="812" spans="39:44" x14ac:dyDescent="0.25">
      <c r="AM812" s="550">
        <v>45137</v>
      </c>
      <c r="AN812" s="551">
        <v>84.99</v>
      </c>
      <c r="AO812" s="551">
        <v>1233949</v>
      </c>
      <c r="AP812" s="551">
        <v>138.99879000000001</v>
      </c>
      <c r="AQ812" s="551">
        <v>11813.507162100001</v>
      </c>
      <c r="AR812" s="551">
        <v>0.87529999999999997</v>
      </c>
    </row>
    <row r="813" spans="39:44" x14ac:dyDescent="0.25">
      <c r="AM813" s="550">
        <v>45136</v>
      </c>
      <c r="AN813" s="551">
        <v>85.54</v>
      </c>
      <c r="AO813" s="551">
        <v>660206</v>
      </c>
      <c r="AP813" s="551">
        <v>138.99879000000001</v>
      </c>
      <c r="AQ813" s="551">
        <v>11889.956496600002</v>
      </c>
      <c r="AR813" s="551">
        <v>0.88090000000000002</v>
      </c>
    </row>
    <row r="814" spans="39:44" x14ac:dyDescent="0.25">
      <c r="AM814" s="550">
        <v>45135</v>
      </c>
      <c r="AN814" s="551">
        <v>86.56</v>
      </c>
      <c r="AO814" s="551">
        <v>786344</v>
      </c>
      <c r="AP814" s="551">
        <v>138.99879000000001</v>
      </c>
      <c r="AQ814" s="551">
        <v>12031.735262400001</v>
      </c>
      <c r="AR814" s="551">
        <v>0.89139999999999997</v>
      </c>
    </row>
    <row r="815" spans="39:44" x14ac:dyDescent="0.25">
      <c r="AM815" s="550">
        <v>45134</v>
      </c>
      <c r="AN815" s="551">
        <v>86.42</v>
      </c>
      <c r="AO815" s="551">
        <v>888190</v>
      </c>
      <c r="AP815" s="551">
        <v>138.99879000000001</v>
      </c>
      <c r="AQ815" s="551">
        <v>12012.275431800001</v>
      </c>
      <c r="AR815" s="551">
        <v>0.89</v>
      </c>
    </row>
    <row r="816" spans="39:44" x14ac:dyDescent="0.25">
      <c r="AM816" s="550">
        <v>45133</v>
      </c>
      <c r="AN816" s="551">
        <v>86.67</v>
      </c>
      <c r="AO816" s="551">
        <v>2080228</v>
      </c>
      <c r="AP816" s="551">
        <v>138.99879000000001</v>
      </c>
      <c r="AQ816" s="551">
        <v>12047.025129300002</v>
      </c>
      <c r="AR816" s="551">
        <v>0.89259999999999995</v>
      </c>
    </row>
    <row r="817" spans="39:44" x14ac:dyDescent="0.25">
      <c r="AM817" s="550">
        <v>45132</v>
      </c>
      <c r="AN817" s="551">
        <v>86.67</v>
      </c>
      <c r="AO817" s="551">
        <v>2080228</v>
      </c>
      <c r="AP817" s="551">
        <v>138.99879000000001</v>
      </c>
      <c r="AQ817" s="551">
        <v>12047.025129300002</v>
      </c>
      <c r="AR817" s="551">
        <v>0.89259999999999995</v>
      </c>
    </row>
    <row r="818" spans="39:44" x14ac:dyDescent="0.25">
      <c r="AM818" s="550">
        <v>45131</v>
      </c>
      <c r="AN818" s="551">
        <v>86.67</v>
      </c>
      <c r="AO818" s="551">
        <v>2080228</v>
      </c>
      <c r="AP818" s="551">
        <v>138.99879000000001</v>
      </c>
      <c r="AQ818" s="551">
        <v>12047.025129300002</v>
      </c>
      <c r="AR818" s="551">
        <v>0.89259999999999995</v>
      </c>
    </row>
    <row r="819" spans="39:44" x14ac:dyDescent="0.25">
      <c r="AM819" s="550">
        <v>45130</v>
      </c>
      <c r="AN819" s="551">
        <v>86.67</v>
      </c>
      <c r="AO819" s="551">
        <v>2080228</v>
      </c>
      <c r="AP819" s="551">
        <v>138.99879000000001</v>
      </c>
      <c r="AQ819" s="551">
        <v>12047.025129300002</v>
      </c>
      <c r="AR819" s="551">
        <v>0.89259999999999995</v>
      </c>
    </row>
    <row r="820" spans="39:44" x14ac:dyDescent="0.25">
      <c r="AM820" s="550">
        <v>45129</v>
      </c>
      <c r="AN820" s="551">
        <v>86.31</v>
      </c>
      <c r="AO820" s="551">
        <v>932348</v>
      </c>
      <c r="AP820" s="551">
        <v>138.99879000000001</v>
      </c>
      <c r="AQ820" s="551">
        <v>11996.985564900002</v>
      </c>
      <c r="AR820" s="551">
        <v>0.88880000000000003</v>
      </c>
    </row>
    <row r="821" spans="39:44" x14ac:dyDescent="0.25">
      <c r="AM821" s="550">
        <v>45128</v>
      </c>
      <c r="AN821" s="551">
        <v>86.2</v>
      </c>
      <c r="AO821" s="551">
        <v>1145680</v>
      </c>
      <c r="AP821" s="551">
        <v>138.99879000000001</v>
      </c>
      <c r="AQ821" s="551">
        <v>11981.695698000001</v>
      </c>
      <c r="AR821" s="551">
        <v>0.88770000000000004</v>
      </c>
    </row>
    <row r="822" spans="39:44" x14ac:dyDescent="0.25">
      <c r="AM822" s="550">
        <v>45127</v>
      </c>
      <c r="AN822" s="551">
        <v>85.21</v>
      </c>
      <c r="AO822" s="551">
        <v>1019906</v>
      </c>
      <c r="AP822" s="551">
        <v>138.99879000000001</v>
      </c>
      <c r="AQ822" s="551">
        <v>11844.0868959</v>
      </c>
      <c r="AR822" s="551">
        <v>0.87749999999999995</v>
      </c>
    </row>
    <row r="823" spans="39:44" x14ac:dyDescent="0.25">
      <c r="AM823" s="550">
        <v>45126</v>
      </c>
      <c r="AN823" s="551">
        <v>84.95</v>
      </c>
      <c r="AO823" s="551">
        <v>1174727</v>
      </c>
      <c r="AP823" s="551">
        <v>138.99879000000001</v>
      </c>
      <c r="AQ823" s="551">
        <v>11807.947210500002</v>
      </c>
      <c r="AR823" s="551">
        <v>0.87480000000000002</v>
      </c>
    </row>
    <row r="824" spans="39:44" x14ac:dyDescent="0.25">
      <c r="AM824" s="550">
        <v>45125</v>
      </c>
      <c r="AN824" s="551">
        <v>83.57</v>
      </c>
      <c r="AO824" s="551">
        <v>681597</v>
      </c>
      <c r="AP824" s="551">
        <v>138.99879000000001</v>
      </c>
      <c r="AQ824" s="551">
        <v>11616.128880300001</v>
      </c>
      <c r="AR824" s="551">
        <v>0.86060000000000003</v>
      </c>
    </row>
    <row r="825" spans="39:44" x14ac:dyDescent="0.25">
      <c r="AM825" s="550">
        <v>45124</v>
      </c>
      <c r="AN825" s="551">
        <v>83.57</v>
      </c>
      <c r="AO825" s="551">
        <v>681597</v>
      </c>
      <c r="AP825" s="551">
        <v>138.99879000000001</v>
      </c>
      <c r="AQ825" s="551">
        <v>11616.128880300001</v>
      </c>
      <c r="AR825" s="551">
        <v>0.86060000000000003</v>
      </c>
    </row>
    <row r="826" spans="39:44" x14ac:dyDescent="0.25">
      <c r="AM826" s="550">
        <v>45123</v>
      </c>
      <c r="AN826" s="551">
        <v>83.57</v>
      </c>
      <c r="AO826" s="551">
        <v>681597</v>
      </c>
      <c r="AP826" s="551">
        <v>138.99879000000001</v>
      </c>
      <c r="AQ826" s="551">
        <v>11616.128880300001</v>
      </c>
      <c r="AR826" s="551">
        <v>0.86060000000000003</v>
      </c>
    </row>
    <row r="827" spans="39:44" x14ac:dyDescent="0.25">
      <c r="AM827" s="550">
        <v>45122</v>
      </c>
      <c r="AN827" s="551">
        <v>83.02</v>
      </c>
      <c r="AO827" s="551">
        <v>566731</v>
      </c>
      <c r="AP827" s="551">
        <v>138.99879000000001</v>
      </c>
      <c r="AQ827" s="551">
        <v>11539.6795458</v>
      </c>
      <c r="AR827" s="551">
        <v>0.85499999999999998</v>
      </c>
    </row>
    <row r="828" spans="39:44" x14ac:dyDescent="0.25">
      <c r="AM828" s="550">
        <v>45121</v>
      </c>
      <c r="AN828" s="551">
        <v>83.09</v>
      </c>
      <c r="AO828" s="551">
        <v>1352259</v>
      </c>
      <c r="AP828" s="551">
        <v>138.99879000000001</v>
      </c>
      <c r="AQ828" s="551">
        <v>11549.409461100002</v>
      </c>
      <c r="AR828" s="551">
        <v>0.85570000000000002</v>
      </c>
    </row>
    <row r="829" spans="39:44" x14ac:dyDescent="0.25">
      <c r="AM829" s="550">
        <v>45120</v>
      </c>
      <c r="AN829" s="551">
        <v>83.06</v>
      </c>
      <c r="AO829" s="551">
        <v>1138075</v>
      </c>
      <c r="AP829" s="551">
        <v>138.99879000000001</v>
      </c>
      <c r="AQ829" s="551">
        <v>11545.239497400002</v>
      </c>
      <c r="AR829" s="551">
        <v>0.85540000000000005</v>
      </c>
    </row>
    <row r="830" spans="39:44" x14ac:dyDescent="0.25">
      <c r="AM830" s="550">
        <v>45119</v>
      </c>
      <c r="AN830" s="551">
        <v>81.93</v>
      </c>
      <c r="AO830" s="551">
        <v>1220595</v>
      </c>
      <c r="AP830" s="551">
        <v>138.99879000000001</v>
      </c>
      <c r="AQ830" s="551">
        <v>11388.170864700001</v>
      </c>
      <c r="AR830" s="551">
        <v>0.84370000000000001</v>
      </c>
    </row>
    <row r="831" spans="39:44" x14ac:dyDescent="0.25">
      <c r="AM831" s="550">
        <v>45118</v>
      </c>
      <c r="AN831" s="551">
        <v>81</v>
      </c>
      <c r="AO831" s="551">
        <v>1060657</v>
      </c>
      <c r="AP831" s="551">
        <v>138.99879000000001</v>
      </c>
      <c r="AQ831" s="551">
        <v>11258.90199</v>
      </c>
      <c r="AR831" s="551">
        <v>0.83420000000000005</v>
      </c>
    </row>
    <row r="832" spans="39:44" x14ac:dyDescent="0.25">
      <c r="AM832" s="550">
        <v>45117</v>
      </c>
      <c r="AN832" s="551">
        <v>81</v>
      </c>
      <c r="AO832" s="551">
        <v>1060657</v>
      </c>
      <c r="AP832" s="551">
        <v>138.99879000000001</v>
      </c>
      <c r="AQ832" s="551">
        <v>11258.90199</v>
      </c>
      <c r="AR832" s="551">
        <v>0.83420000000000005</v>
      </c>
    </row>
    <row r="833" spans="39:44" x14ac:dyDescent="0.25">
      <c r="AM833" s="550">
        <v>45116</v>
      </c>
      <c r="AN833" s="551">
        <v>81</v>
      </c>
      <c r="AO833" s="551">
        <v>1060657</v>
      </c>
      <c r="AP833" s="551">
        <v>138.99879000000001</v>
      </c>
      <c r="AQ833" s="551">
        <v>11258.90199</v>
      </c>
      <c r="AR833" s="551">
        <v>0.83420000000000005</v>
      </c>
    </row>
    <row r="834" spans="39:44" x14ac:dyDescent="0.25">
      <c r="AM834" s="550">
        <v>45115</v>
      </c>
      <c r="AN834" s="551">
        <v>77.55</v>
      </c>
      <c r="AO834" s="551">
        <v>1115482</v>
      </c>
      <c r="AP834" s="551">
        <v>138.99879000000001</v>
      </c>
      <c r="AQ834" s="551">
        <v>10779.356164500001</v>
      </c>
      <c r="AR834" s="551">
        <v>0.79859999999999998</v>
      </c>
    </row>
    <row r="835" spans="39:44" x14ac:dyDescent="0.25">
      <c r="AM835" s="550">
        <v>45114</v>
      </c>
      <c r="AN835" s="551">
        <v>78.05</v>
      </c>
      <c r="AO835" s="551">
        <v>6592344</v>
      </c>
      <c r="AP835" s="551">
        <v>138.99879000000001</v>
      </c>
      <c r="AQ835" s="551">
        <v>10848.8555595</v>
      </c>
      <c r="AR835" s="551">
        <v>0.80379999999999996</v>
      </c>
    </row>
    <row r="836" spans="39:44" x14ac:dyDescent="0.25">
      <c r="AM836" s="550">
        <v>45113</v>
      </c>
      <c r="AN836" s="551">
        <v>76.81</v>
      </c>
      <c r="AO836" s="551">
        <v>769888</v>
      </c>
      <c r="AP836" s="551">
        <v>138.99879000000001</v>
      </c>
      <c r="AQ836" s="551">
        <v>10676.497059900001</v>
      </c>
      <c r="AR836" s="551">
        <v>0.79100000000000004</v>
      </c>
    </row>
    <row r="837" spans="39:44" x14ac:dyDescent="0.25">
      <c r="AM837" s="550">
        <v>45112</v>
      </c>
      <c r="AN837" s="551">
        <v>77.06</v>
      </c>
      <c r="AO837" s="551">
        <v>870013</v>
      </c>
      <c r="AP837" s="551">
        <v>138.99879000000001</v>
      </c>
      <c r="AQ837" s="551">
        <v>10711.246757400002</v>
      </c>
      <c r="AR837" s="551">
        <v>0.79359999999999997</v>
      </c>
    </row>
    <row r="838" spans="39:44" x14ac:dyDescent="0.25">
      <c r="AM838" s="550">
        <v>45111</v>
      </c>
      <c r="AN838" s="551">
        <v>77.06</v>
      </c>
      <c r="AO838" s="551">
        <v>870013</v>
      </c>
      <c r="AP838" s="551">
        <v>138.99879000000001</v>
      </c>
      <c r="AQ838" s="551">
        <v>10711.246757400002</v>
      </c>
      <c r="AR838" s="551">
        <v>0.79359999999999997</v>
      </c>
    </row>
    <row r="839" spans="39:44" x14ac:dyDescent="0.25">
      <c r="AM839" s="550">
        <v>45110</v>
      </c>
      <c r="AN839" s="551">
        <v>77.06</v>
      </c>
      <c r="AO839" s="551">
        <v>870013</v>
      </c>
      <c r="AP839" s="551">
        <v>138.99879000000001</v>
      </c>
      <c r="AQ839" s="551">
        <v>10711.246757400002</v>
      </c>
      <c r="AR839" s="551">
        <v>0.79359999999999997</v>
      </c>
    </row>
    <row r="840" spans="39:44" x14ac:dyDescent="0.25">
      <c r="AM840" s="550">
        <v>45109</v>
      </c>
      <c r="AN840" s="551">
        <v>77.06</v>
      </c>
      <c r="AO840" s="551">
        <v>870013</v>
      </c>
      <c r="AP840" s="551">
        <v>138.99879000000001</v>
      </c>
      <c r="AQ840" s="551">
        <v>10711.246757400002</v>
      </c>
      <c r="AR840" s="551">
        <v>0.79359999999999997</v>
      </c>
    </row>
    <row r="841" spans="39:44" x14ac:dyDescent="0.25">
      <c r="AM841" s="550">
        <v>45108</v>
      </c>
      <c r="AN841" s="551">
        <v>76.66</v>
      </c>
      <c r="AO841" s="551">
        <v>1095885</v>
      </c>
      <c r="AP841" s="551">
        <v>138.99879000000001</v>
      </c>
      <c r="AQ841" s="551">
        <v>10655.6472414</v>
      </c>
      <c r="AR841" s="551">
        <v>0.78949999999999998</v>
      </c>
    </row>
    <row r="842" spans="39:44" x14ac:dyDescent="0.25">
      <c r="AM842" s="550">
        <v>45107</v>
      </c>
      <c r="AN842" s="551">
        <v>76.599999999999994</v>
      </c>
      <c r="AO842" s="551">
        <v>781651</v>
      </c>
      <c r="AP842" s="551">
        <v>138.99879000000001</v>
      </c>
      <c r="AQ842" s="551">
        <v>10647.307314</v>
      </c>
      <c r="AR842" s="551">
        <v>0.78879999999999995</v>
      </c>
    </row>
    <row r="843" spans="39:44" x14ac:dyDescent="0.25">
      <c r="AM843" s="550">
        <v>45106</v>
      </c>
      <c r="AN843" s="551">
        <v>78.31</v>
      </c>
      <c r="AO843" s="551">
        <v>609309</v>
      </c>
      <c r="AP843" s="551">
        <v>138.99879000000001</v>
      </c>
      <c r="AQ843" s="551">
        <v>10884.995244900001</v>
      </c>
      <c r="AR843" s="551">
        <v>0.80649999999999999</v>
      </c>
    </row>
    <row r="844" spans="39:44" x14ac:dyDescent="0.25">
      <c r="AM844" s="550">
        <v>45105</v>
      </c>
      <c r="AN844" s="551">
        <v>79.400000000000006</v>
      </c>
      <c r="AO844" s="551">
        <v>811940</v>
      </c>
      <c r="AP844" s="551">
        <v>138.99879000000001</v>
      </c>
      <c r="AQ844" s="551">
        <v>11036.503926000001</v>
      </c>
      <c r="AR844" s="551">
        <v>0.81769999999999998</v>
      </c>
    </row>
    <row r="845" spans="39:44" x14ac:dyDescent="0.25">
      <c r="AM845" s="550">
        <v>45104</v>
      </c>
      <c r="AN845" s="551">
        <v>79.28</v>
      </c>
      <c r="AO845" s="551">
        <v>564477</v>
      </c>
      <c r="AP845" s="551">
        <v>138.99879000000001</v>
      </c>
      <c r="AQ845" s="551">
        <v>11019.824071200001</v>
      </c>
      <c r="AR845" s="551">
        <v>0.81640000000000001</v>
      </c>
    </row>
    <row r="846" spans="39:44" x14ac:dyDescent="0.25">
      <c r="AM846" s="550">
        <v>45103</v>
      </c>
      <c r="AN846" s="551">
        <v>79.28</v>
      </c>
      <c r="AO846" s="551">
        <v>564477</v>
      </c>
      <c r="AP846" s="551">
        <v>138.99879000000001</v>
      </c>
      <c r="AQ846" s="551">
        <v>11019.824071200001</v>
      </c>
      <c r="AR846" s="551">
        <v>0.81640000000000001</v>
      </c>
    </row>
    <row r="847" spans="39:44" x14ac:dyDescent="0.25">
      <c r="AM847" s="550">
        <v>45102</v>
      </c>
      <c r="AN847" s="551">
        <v>79.28</v>
      </c>
      <c r="AO847" s="551">
        <v>564477</v>
      </c>
      <c r="AP847" s="551">
        <v>138.99879000000001</v>
      </c>
      <c r="AQ847" s="551">
        <v>11019.824071200001</v>
      </c>
      <c r="AR847" s="551">
        <v>0.81640000000000001</v>
      </c>
    </row>
    <row r="848" spans="39:44" x14ac:dyDescent="0.25">
      <c r="AM848" s="550">
        <v>45101</v>
      </c>
      <c r="AN848" s="551">
        <v>79.81</v>
      </c>
      <c r="AO848" s="551">
        <v>728791</v>
      </c>
      <c r="AP848" s="551">
        <v>138.99879000000001</v>
      </c>
      <c r="AQ848" s="551">
        <v>11093.493429900002</v>
      </c>
      <c r="AR848" s="551">
        <v>0.82189999999999996</v>
      </c>
    </row>
    <row r="849" spans="39:44" x14ac:dyDescent="0.25">
      <c r="AM849" s="550">
        <v>45100</v>
      </c>
      <c r="AN849" s="551">
        <v>79.86</v>
      </c>
      <c r="AO849" s="551">
        <v>688534</v>
      </c>
      <c r="AP849" s="551">
        <v>138.99879000000001</v>
      </c>
      <c r="AQ849" s="551">
        <v>11100.443369400002</v>
      </c>
      <c r="AR849" s="551">
        <v>0.82240000000000002</v>
      </c>
    </row>
    <row r="850" spans="39:44" x14ac:dyDescent="0.25">
      <c r="AM850" s="550">
        <v>45099</v>
      </c>
      <c r="AN850" s="551">
        <v>78.5</v>
      </c>
      <c r="AO850" s="551">
        <v>752721</v>
      </c>
      <c r="AP850" s="551">
        <v>138.99879000000001</v>
      </c>
      <c r="AQ850" s="551">
        <v>10911.405015</v>
      </c>
      <c r="AR850" s="551">
        <v>0.80840000000000001</v>
      </c>
    </row>
    <row r="851" spans="39:44" x14ac:dyDescent="0.25">
      <c r="AM851" s="550">
        <v>45098</v>
      </c>
      <c r="AN851" s="551">
        <v>79.45</v>
      </c>
      <c r="AO851" s="551">
        <v>680841</v>
      </c>
      <c r="AP851" s="551">
        <v>138.99879000000001</v>
      </c>
      <c r="AQ851" s="551">
        <v>11043.453865500001</v>
      </c>
      <c r="AR851" s="551">
        <v>0.81820000000000004</v>
      </c>
    </row>
    <row r="852" spans="39:44" x14ac:dyDescent="0.25">
      <c r="AM852" s="550">
        <v>45097</v>
      </c>
      <c r="AN852" s="551">
        <v>78.14</v>
      </c>
      <c r="AO852" s="551">
        <v>889862</v>
      </c>
      <c r="AP852" s="551">
        <v>138.99879000000001</v>
      </c>
      <c r="AQ852" s="551">
        <v>10861.3654506</v>
      </c>
      <c r="AR852" s="551">
        <v>0.80469999999999997</v>
      </c>
    </row>
    <row r="853" spans="39:44" x14ac:dyDescent="0.25">
      <c r="AM853" s="550">
        <v>45096</v>
      </c>
      <c r="AN853" s="551">
        <v>78.14</v>
      </c>
      <c r="AO853" s="551">
        <v>889862</v>
      </c>
      <c r="AP853" s="551">
        <v>138.99879000000001</v>
      </c>
      <c r="AQ853" s="551">
        <v>10861.3654506</v>
      </c>
      <c r="AR853" s="551">
        <v>0.80469999999999997</v>
      </c>
    </row>
    <row r="854" spans="39:44" x14ac:dyDescent="0.25">
      <c r="AM854" s="550">
        <v>45095</v>
      </c>
      <c r="AN854" s="551">
        <v>78.14</v>
      </c>
      <c r="AO854" s="551">
        <v>889862</v>
      </c>
      <c r="AP854" s="551">
        <v>138.99879000000001</v>
      </c>
      <c r="AQ854" s="551">
        <v>10861.3654506</v>
      </c>
      <c r="AR854" s="551">
        <v>0.80469999999999997</v>
      </c>
    </row>
    <row r="855" spans="39:44" x14ac:dyDescent="0.25">
      <c r="AM855" s="550">
        <v>45094</v>
      </c>
      <c r="AN855" s="551">
        <v>77.88</v>
      </c>
      <c r="AO855" s="551">
        <v>1109627</v>
      </c>
      <c r="AP855" s="551">
        <v>138.99879000000001</v>
      </c>
      <c r="AQ855" s="551">
        <v>10825.225765200001</v>
      </c>
      <c r="AR855" s="551">
        <v>0.80200000000000005</v>
      </c>
    </row>
    <row r="856" spans="39:44" x14ac:dyDescent="0.25">
      <c r="AM856" s="550">
        <v>45093</v>
      </c>
      <c r="AN856" s="551">
        <v>80.02</v>
      </c>
      <c r="AO856" s="551">
        <v>852697</v>
      </c>
      <c r="AP856" s="551">
        <v>138.99879000000001</v>
      </c>
      <c r="AQ856" s="551">
        <v>11122.683175800001</v>
      </c>
      <c r="AR856" s="551">
        <v>0.82410000000000005</v>
      </c>
    </row>
    <row r="857" spans="39:44" x14ac:dyDescent="0.25">
      <c r="AM857" s="550">
        <v>45092</v>
      </c>
      <c r="AN857" s="551">
        <v>80.150000000000006</v>
      </c>
      <c r="AO857" s="551">
        <v>1446725</v>
      </c>
      <c r="AP857" s="551">
        <v>138.99879000000001</v>
      </c>
      <c r="AQ857" s="551">
        <v>11140.753018500001</v>
      </c>
      <c r="AR857" s="551">
        <v>0.82540000000000002</v>
      </c>
    </row>
    <row r="858" spans="39:44" x14ac:dyDescent="0.25">
      <c r="AM858" s="550">
        <v>45091</v>
      </c>
      <c r="AN858" s="551">
        <v>82.5</v>
      </c>
      <c r="AO858" s="551">
        <v>1112484</v>
      </c>
      <c r="AP858" s="551">
        <v>138.95025999999999</v>
      </c>
      <c r="AQ858" s="551">
        <v>11463.396449999998</v>
      </c>
      <c r="AR858" s="551">
        <v>0.84960000000000002</v>
      </c>
    </row>
    <row r="859" spans="39:44" x14ac:dyDescent="0.25">
      <c r="AM859" s="550">
        <v>45090</v>
      </c>
      <c r="AN859" s="551">
        <v>83.7</v>
      </c>
      <c r="AO859" s="551">
        <v>787253</v>
      </c>
      <c r="AP859" s="551">
        <v>138.95025999999999</v>
      </c>
      <c r="AQ859" s="551">
        <v>11630.136762</v>
      </c>
      <c r="AR859" s="551">
        <v>0.86199999999999999</v>
      </c>
    </row>
    <row r="860" spans="39:44" x14ac:dyDescent="0.25">
      <c r="AM860" s="550">
        <v>45089</v>
      </c>
      <c r="AN860" s="551">
        <v>83.7</v>
      </c>
      <c r="AO860" s="551">
        <v>787253</v>
      </c>
      <c r="AP860" s="551">
        <v>138.95025999999999</v>
      </c>
      <c r="AQ860" s="551">
        <v>11630.136762</v>
      </c>
      <c r="AR860" s="551">
        <v>0.86199999999999999</v>
      </c>
    </row>
    <row r="861" spans="39:44" x14ac:dyDescent="0.25">
      <c r="AM861" s="550">
        <v>45088</v>
      </c>
      <c r="AN861" s="551">
        <v>83.7</v>
      </c>
      <c r="AO861" s="551">
        <v>787253</v>
      </c>
      <c r="AP861" s="551">
        <v>138.95025999999999</v>
      </c>
      <c r="AQ861" s="551">
        <v>11630.136762</v>
      </c>
      <c r="AR861" s="551">
        <v>0.86199999999999999</v>
      </c>
    </row>
    <row r="862" spans="39:44" x14ac:dyDescent="0.25">
      <c r="AM862" s="550">
        <v>45087</v>
      </c>
      <c r="AN862" s="551">
        <v>81.37</v>
      </c>
      <c r="AO862" s="551">
        <v>589459</v>
      </c>
      <c r="AP862" s="551">
        <v>138.95025999999999</v>
      </c>
      <c r="AQ862" s="551">
        <v>11306.382656199999</v>
      </c>
      <c r="AR862" s="551">
        <v>0.83799999999999997</v>
      </c>
    </row>
    <row r="863" spans="39:44" x14ac:dyDescent="0.25">
      <c r="AM863" s="550">
        <v>45086</v>
      </c>
      <c r="AN863" s="551">
        <v>81.96</v>
      </c>
      <c r="AO863" s="551">
        <v>759712</v>
      </c>
      <c r="AP863" s="551">
        <v>138.95025999999999</v>
      </c>
      <c r="AQ863" s="551">
        <v>11388.363309599998</v>
      </c>
      <c r="AR863" s="551">
        <v>0.84399999999999997</v>
      </c>
    </row>
    <row r="864" spans="39:44" x14ac:dyDescent="0.25">
      <c r="AM864" s="550">
        <v>45085</v>
      </c>
      <c r="AN864" s="551">
        <v>82.81</v>
      </c>
      <c r="AO864" s="551">
        <v>553442</v>
      </c>
      <c r="AP864" s="551">
        <v>138.95025999999999</v>
      </c>
      <c r="AQ864" s="551">
        <v>11506.4710306</v>
      </c>
      <c r="AR864" s="551">
        <v>0.8528</v>
      </c>
    </row>
    <row r="865" spans="39:44" x14ac:dyDescent="0.25">
      <c r="AM865" s="550">
        <v>45084</v>
      </c>
      <c r="AN865" s="551">
        <v>83.61</v>
      </c>
      <c r="AO865" s="551">
        <v>584457</v>
      </c>
      <c r="AP865" s="551">
        <v>138.95025999999999</v>
      </c>
      <c r="AQ865" s="551">
        <v>11617.631238599999</v>
      </c>
      <c r="AR865" s="551">
        <v>0.86099999999999999</v>
      </c>
    </row>
    <row r="866" spans="39:44" x14ac:dyDescent="0.25">
      <c r="AM866" s="550">
        <v>45083</v>
      </c>
      <c r="AN866" s="551">
        <v>83.05</v>
      </c>
      <c r="AO866" s="551">
        <v>478920</v>
      </c>
      <c r="AP866" s="551">
        <v>138.95025999999999</v>
      </c>
      <c r="AQ866" s="551">
        <v>11539.819092999998</v>
      </c>
      <c r="AR866" s="551">
        <v>0.85529999999999995</v>
      </c>
    </row>
    <row r="867" spans="39:44" x14ac:dyDescent="0.25">
      <c r="AM867" s="550">
        <v>45082</v>
      </c>
      <c r="AN867" s="551">
        <v>83.05</v>
      </c>
      <c r="AO867" s="551">
        <v>478920</v>
      </c>
      <c r="AP867" s="551">
        <v>138.95025999999999</v>
      </c>
      <c r="AQ867" s="551">
        <v>11539.819092999998</v>
      </c>
      <c r="AR867" s="551">
        <v>0.85529999999999995</v>
      </c>
    </row>
    <row r="868" spans="39:44" x14ac:dyDescent="0.25">
      <c r="AM868" s="550">
        <v>45081</v>
      </c>
      <c r="AN868" s="551">
        <v>83.05</v>
      </c>
      <c r="AO868" s="551">
        <v>478920</v>
      </c>
      <c r="AP868" s="551">
        <v>138.95025999999999</v>
      </c>
      <c r="AQ868" s="551">
        <v>11539.819092999998</v>
      </c>
      <c r="AR868" s="551">
        <v>0.85529999999999995</v>
      </c>
    </row>
    <row r="869" spans="39:44" x14ac:dyDescent="0.25">
      <c r="AM869" s="550">
        <v>45080</v>
      </c>
      <c r="AN869" s="551">
        <v>82.31</v>
      </c>
      <c r="AO869" s="551">
        <v>564590</v>
      </c>
      <c r="AP869" s="551">
        <v>138.95025999999999</v>
      </c>
      <c r="AQ869" s="551">
        <v>11436.995900599999</v>
      </c>
      <c r="AR869" s="551">
        <v>0.84770000000000001</v>
      </c>
    </row>
    <row r="870" spans="39:44" x14ac:dyDescent="0.25">
      <c r="AM870" s="550">
        <v>45079</v>
      </c>
      <c r="AN870" s="551">
        <v>80.73</v>
      </c>
      <c r="AO870" s="551">
        <v>709879</v>
      </c>
      <c r="AP870" s="551">
        <v>138.95025999999999</v>
      </c>
      <c r="AQ870" s="551">
        <v>11217.454489799999</v>
      </c>
      <c r="AR870" s="551">
        <v>0.83140000000000003</v>
      </c>
    </row>
    <row r="871" spans="39:44" x14ac:dyDescent="0.25">
      <c r="AM871" s="550">
        <v>45078</v>
      </c>
      <c r="AN871" s="551">
        <v>81.569999999999993</v>
      </c>
      <c r="AO871" s="551">
        <v>417690</v>
      </c>
      <c r="AP871" s="551">
        <v>138.95025999999999</v>
      </c>
      <c r="AQ871" s="551">
        <v>11334.172708199998</v>
      </c>
      <c r="AR871" s="551">
        <v>0.84</v>
      </c>
    </row>
    <row r="872" spans="39:44" x14ac:dyDescent="0.25">
      <c r="AM872" s="550">
        <v>45077</v>
      </c>
      <c r="AN872" s="551">
        <v>82.9</v>
      </c>
      <c r="AO872" s="551">
        <v>394425</v>
      </c>
      <c r="AP872" s="551">
        <v>138.95025999999999</v>
      </c>
      <c r="AQ872" s="551">
        <v>11518.976553999999</v>
      </c>
      <c r="AR872" s="551">
        <v>0.85370000000000001</v>
      </c>
    </row>
    <row r="873" spans="39:44" x14ac:dyDescent="0.25">
      <c r="AM873" s="550">
        <v>45076</v>
      </c>
      <c r="AN873" s="551">
        <v>82.35</v>
      </c>
      <c r="AO873" s="551">
        <v>434402</v>
      </c>
      <c r="AP873" s="551">
        <v>138.95025999999999</v>
      </c>
      <c r="AQ873" s="551">
        <v>11442.553910999997</v>
      </c>
      <c r="AR873" s="551">
        <v>0.84809999999999997</v>
      </c>
    </row>
    <row r="874" spans="39:44" x14ac:dyDescent="0.25">
      <c r="AM874" s="550">
        <v>45075</v>
      </c>
      <c r="AN874" s="551">
        <v>82.35</v>
      </c>
      <c r="AO874" s="551">
        <v>434402</v>
      </c>
      <c r="AP874" s="551">
        <v>138.95025999999999</v>
      </c>
      <c r="AQ874" s="551">
        <v>11442.553910999997</v>
      </c>
      <c r="AR874" s="551">
        <v>0.84809999999999997</v>
      </c>
    </row>
    <row r="875" spans="39:44" x14ac:dyDescent="0.25">
      <c r="AM875" s="550">
        <v>45074</v>
      </c>
      <c r="AN875" s="551">
        <v>82.35</v>
      </c>
      <c r="AO875" s="551">
        <v>434402</v>
      </c>
      <c r="AP875" s="551">
        <v>138.95025999999999</v>
      </c>
      <c r="AQ875" s="551">
        <v>11442.553910999997</v>
      </c>
      <c r="AR875" s="551">
        <v>0.84809999999999997</v>
      </c>
    </row>
    <row r="876" spans="39:44" x14ac:dyDescent="0.25">
      <c r="AM876" s="550">
        <v>45073</v>
      </c>
      <c r="AN876" s="551">
        <v>83.14</v>
      </c>
      <c r="AO876" s="551">
        <v>462354</v>
      </c>
      <c r="AP876" s="551">
        <v>138.95025999999999</v>
      </c>
      <c r="AQ876" s="551">
        <v>11552.324616399999</v>
      </c>
      <c r="AR876" s="551">
        <v>0.85619999999999996</v>
      </c>
    </row>
    <row r="877" spans="39:44" x14ac:dyDescent="0.25">
      <c r="AM877" s="550">
        <v>45072</v>
      </c>
      <c r="AN877" s="551">
        <v>82.62</v>
      </c>
      <c r="AO877" s="551">
        <v>535148</v>
      </c>
      <c r="AP877" s="551">
        <v>138.95025999999999</v>
      </c>
      <c r="AQ877" s="551">
        <v>11480.0704812</v>
      </c>
      <c r="AR877" s="551">
        <v>0.8508</v>
      </c>
    </row>
    <row r="878" spans="39:44" x14ac:dyDescent="0.25">
      <c r="AM878" s="550">
        <v>45071</v>
      </c>
      <c r="AN878" s="551">
        <v>82.95</v>
      </c>
      <c r="AO878" s="551">
        <v>478225</v>
      </c>
      <c r="AP878" s="551">
        <v>138.95025999999999</v>
      </c>
      <c r="AQ878" s="551">
        <v>11525.924067</v>
      </c>
      <c r="AR878" s="551">
        <v>0.85419999999999996</v>
      </c>
    </row>
    <row r="879" spans="39:44" x14ac:dyDescent="0.25">
      <c r="AM879" s="550">
        <v>45070</v>
      </c>
      <c r="AN879" s="551">
        <v>83.47</v>
      </c>
      <c r="AO879" s="551">
        <v>437868</v>
      </c>
      <c r="AP879" s="551">
        <v>138.95025999999999</v>
      </c>
      <c r="AQ879" s="551">
        <v>11598.178202199999</v>
      </c>
      <c r="AR879" s="551">
        <v>0.85960000000000003</v>
      </c>
    </row>
    <row r="880" spans="39:44" x14ac:dyDescent="0.25">
      <c r="AM880" s="550">
        <v>45069</v>
      </c>
      <c r="AN880" s="551">
        <v>82.72</v>
      </c>
      <c r="AO880" s="551">
        <v>491629</v>
      </c>
      <c r="AP880" s="551">
        <v>138.95025999999999</v>
      </c>
      <c r="AQ880" s="551">
        <v>11493.965507199999</v>
      </c>
      <c r="AR880" s="551">
        <v>0.85189999999999999</v>
      </c>
    </row>
    <row r="881" spans="39:44" x14ac:dyDescent="0.25">
      <c r="AM881" s="550">
        <v>45068</v>
      </c>
      <c r="AN881" s="551">
        <v>82.72</v>
      </c>
      <c r="AO881" s="551">
        <v>491629</v>
      </c>
      <c r="AP881" s="551">
        <v>138.95025999999999</v>
      </c>
      <c r="AQ881" s="551">
        <v>11493.965507199999</v>
      </c>
      <c r="AR881" s="551">
        <v>0.85189999999999999</v>
      </c>
    </row>
    <row r="882" spans="39:44" x14ac:dyDescent="0.25">
      <c r="AM882" s="550">
        <v>45067</v>
      </c>
      <c r="AN882" s="551">
        <v>82.72</v>
      </c>
      <c r="AO882" s="551">
        <v>491629</v>
      </c>
      <c r="AP882" s="551">
        <v>138.95025999999999</v>
      </c>
      <c r="AQ882" s="551">
        <v>11493.965507199999</v>
      </c>
      <c r="AR882" s="551">
        <v>0.85189999999999999</v>
      </c>
    </row>
    <row r="883" spans="39:44" x14ac:dyDescent="0.25">
      <c r="AM883" s="550">
        <v>45066</v>
      </c>
      <c r="AN883" s="551">
        <v>82.69</v>
      </c>
      <c r="AO883" s="551">
        <v>578357</v>
      </c>
      <c r="AP883" s="551">
        <v>138.95025999999999</v>
      </c>
      <c r="AQ883" s="551">
        <v>11489.796999399998</v>
      </c>
      <c r="AR883" s="551">
        <v>0.85160000000000002</v>
      </c>
    </row>
    <row r="884" spans="39:44" x14ac:dyDescent="0.25">
      <c r="AM884" s="550">
        <v>45065</v>
      </c>
      <c r="AN884" s="551">
        <v>82.21</v>
      </c>
      <c r="AO884" s="551">
        <v>662433</v>
      </c>
      <c r="AP884" s="551">
        <v>138.95025999999999</v>
      </c>
      <c r="AQ884" s="551">
        <v>11423.100874599999</v>
      </c>
      <c r="AR884" s="551">
        <v>0.84660000000000002</v>
      </c>
    </row>
    <row r="885" spans="39:44" x14ac:dyDescent="0.25">
      <c r="AM885" s="550">
        <v>45064</v>
      </c>
      <c r="AN885" s="551">
        <v>81.77</v>
      </c>
      <c r="AO885" s="551">
        <v>559123</v>
      </c>
      <c r="AP885" s="551">
        <v>138.95025999999999</v>
      </c>
      <c r="AQ885" s="551">
        <v>11361.962760199998</v>
      </c>
      <c r="AR885" s="551">
        <v>0.84209999999999996</v>
      </c>
    </row>
    <row r="886" spans="39:44" x14ac:dyDescent="0.25">
      <c r="AM886" s="550">
        <v>45063</v>
      </c>
      <c r="AN886" s="551">
        <v>81.33</v>
      </c>
      <c r="AO886" s="551">
        <v>805750</v>
      </c>
      <c r="AP886" s="551">
        <v>138.95025999999999</v>
      </c>
      <c r="AQ886" s="551">
        <v>11300.824645799999</v>
      </c>
      <c r="AR886" s="551">
        <v>0.83760000000000001</v>
      </c>
    </row>
    <row r="887" spans="39:44" x14ac:dyDescent="0.25">
      <c r="AM887" s="550">
        <v>45062</v>
      </c>
      <c r="AN887" s="551">
        <v>80.27</v>
      </c>
      <c r="AO887" s="551">
        <v>721562</v>
      </c>
      <c r="AP887" s="551">
        <v>138.95025999999999</v>
      </c>
      <c r="AQ887" s="551">
        <v>11153.537370199998</v>
      </c>
      <c r="AR887" s="551">
        <v>0.8266</v>
      </c>
    </row>
    <row r="888" spans="39:44" x14ac:dyDescent="0.25">
      <c r="AM888" s="550">
        <v>45061</v>
      </c>
      <c r="AN888" s="551">
        <v>80.27</v>
      </c>
      <c r="AO888" s="551">
        <v>721562</v>
      </c>
      <c r="AP888" s="551">
        <v>138.95025999999999</v>
      </c>
      <c r="AQ888" s="551">
        <v>11153.537370199998</v>
      </c>
      <c r="AR888" s="551">
        <v>0.8266</v>
      </c>
    </row>
    <row r="889" spans="39:44" x14ac:dyDescent="0.25">
      <c r="AM889" s="550">
        <v>45060</v>
      </c>
      <c r="AN889" s="551">
        <v>80.27</v>
      </c>
      <c r="AO889" s="551">
        <v>721562</v>
      </c>
      <c r="AP889" s="551">
        <v>138.95025999999999</v>
      </c>
      <c r="AQ889" s="551">
        <v>11153.537370199998</v>
      </c>
      <c r="AR889" s="551">
        <v>0.8266</v>
      </c>
    </row>
    <row r="890" spans="39:44" x14ac:dyDescent="0.25">
      <c r="AM890" s="550">
        <v>45059</v>
      </c>
      <c r="AN890" s="551">
        <v>80.27</v>
      </c>
      <c r="AO890" s="551">
        <v>721562</v>
      </c>
      <c r="AP890" s="551">
        <v>138.95025999999999</v>
      </c>
      <c r="AQ890" s="551">
        <v>11153.537370199998</v>
      </c>
      <c r="AR890" s="551">
        <v>0.8266</v>
      </c>
    </row>
    <row r="891" spans="39:44" x14ac:dyDescent="0.25">
      <c r="AM891" s="550">
        <v>45058</v>
      </c>
      <c r="AN891" s="551">
        <v>80.040000000000006</v>
      </c>
      <c r="AO891" s="551">
        <v>1431814</v>
      </c>
      <c r="AP891" s="551">
        <v>138.95025999999999</v>
      </c>
      <c r="AQ891" s="551">
        <v>11121.5788104</v>
      </c>
      <c r="AR891" s="551">
        <v>0.82430000000000003</v>
      </c>
    </row>
    <row r="892" spans="39:44" x14ac:dyDescent="0.25">
      <c r="AM892" s="550">
        <v>45057</v>
      </c>
      <c r="AN892" s="551">
        <v>81.760000000000005</v>
      </c>
      <c r="AO892" s="551">
        <v>807051</v>
      </c>
      <c r="AP892" s="551">
        <v>138.95025999999999</v>
      </c>
      <c r="AQ892" s="551">
        <v>11360.573257599999</v>
      </c>
      <c r="AR892" s="551">
        <v>0.84199999999999997</v>
      </c>
    </row>
    <row r="893" spans="39:44" x14ac:dyDescent="0.25">
      <c r="AM893" s="550">
        <v>45056</v>
      </c>
      <c r="AN893" s="551">
        <v>84.5</v>
      </c>
      <c r="AO893" s="551">
        <v>644763</v>
      </c>
      <c r="AP893" s="551">
        <v>138.95025999999999</v>
      </c>
      <c r="AQ893" s="551">
        <v>11741.296969999999</v>
      </c>
      <c r="AR893" s="551">
        <v>0.87019999999999997</v>
      </c>
    </row>
    <row r="894" spans="39:44" x14ac:dyDescent="0.25">
      <c r="AM894" s="550">
        <v>45055</v>
      </c>
      <c r="AN894" s="551">
        <v>84.32</v>
      </c>
      <c r="AO894" s="551">
        <v>889347</v>
      </c>
      <c r="AP894" s="551">
        <v>138.95025999999999</v>
      </c>
      <c r="AQ894" s="551">
        <v>11716.285923199997</v>
      </c>
      <c r="AR894" s="551">
        <v>0.86839999999999995</v>
      </c>
    </row>
    <row r="895" spans="39:44" x14ac:dyDescent="0.25">
      <c r="AM895" s="550">
        <v>45054</v>
      </c>
      <c r="AN895" s="551">
        <v>84.32</v>
      </c>
      <c r="AO895" s="551">
        <v>889347</v>
      </c>
      <c r="AP895" s="551">
        <v>138.95025999999999</v>
      </c>
      <c r="AQ895" s="551">
        <v>11716.285923199997</v>
      </c>
      <c r="AR895" s="551">
        <v>0.86839999999999995</v>
      </c>
    </row>
    <row r="896" spans="39:44" x14ac:dyDescent="0.25">
      <c r="AM896" s="550">
        <v>45053</v>
      </c>
      <c r="AN896" s="551">
        <v>84.32</v>
      </c>
      <c r="AO896" s="551">
        <v>889347</v>
      </c>
      <c r="AP896" s="551">
        <v>138.95025999999999</v>
      </c>
      <c r="AQ896" s="551">
        <v>11716.285923199997</v>
      </c>
      <c r="AR896" s="551">
        <v>0.86839999999999995</v>
      </c>
    </row>
    <row r="897" spans="39:44" x14ac:dyDescent="0.25">
      <c r="AM897" s="550">
        <v>45052</v>
      </c>
      <c r="AN897" s="551">
        <v>83.54</v>
      </c>
      <c r="AO897" s="551">
        <v>654781</v>
      </c>
      <c r="AP897" s="551">
        <v>138.95025999999999</v>
      </c>
      <c r="AQ897" s="551">
        <v>11607.9047204</v>
      </c>
      <c r="AR897" s="551">
        <v>0.88160000000000005</v>
      </c>
    </row>
    <row r="898" spans="39:44" x14ac:dyDescent="0.25">
      <c r="AM898" s="550">
        <v>45051</v>
      </c>
      <c r="AN898" s="551">
        <v>83.48</v>
      </c>
      <c r="AO898" s="551">
        <v>580965</v>
      </c>
      <c r="AP898" s="551">
        <v>138.95025999999999</v>
      </c>
      <c r="AQ898" s="551">
        <v>11599.5677048</v>
      </c>
      <c r="AR898" s="551">
        <v>0.88090000000000002</v>
      </c>
    </row>
    <row r="899" spans="39:44" x14ac:dyDescent="0.25">
      <c r="AM899" s="550">
        <v>45050</v>
      </c>
      <c r="AN899" s="551">
        <v>83.02</v>
      </c>
      <c r="AO899" s="551">
        <v>625290</v>
      </c>
      <c r="AP899" s="551">
        <v>138.95025999999999</v>
      </c>
      <c r="AQ899" s="551">
        <v>11535.650585199999</v>
      </c>
      <c r="AR899" s="551">
        <v>0.87609999999999999</v>
      </c>
    </row>
    <row r="900" spans="39:44" x14ac:dyDescent="0.25">
      <c r="AM900" s="550">
        <v>45049</v>
      </c>
      <c r="AN900" s="551">
        <v>81.709999999999994</v>
      </c>
      <c r="AO900" s="551">
        <v>531186</v>
      </c>
      <c r="AP900" s="551">
        <v>138.95025999999999</v>
      </c>
      <c r="AQ900" s="551">
        <v>11353.625744599998</v>
      </c>
      <c r="AR900" s="551">
        <v>0.86229999999999996</v>
      </c>
    </row>
    <row r="901" spans="39:44" x14ac:dyDescent="0.25">
      <c r="AM901" s="550">
        <v>45048</v>
      </c>
      <c r="AN901" s="551">
        <v>81.180000000000007</v>
      </c>
      <c r="AO901" s="551">
        <v>820607</v>
      </c>
      <c r="AP901" s="551">
        <v>138.95025999999999</v>
      </c>
      <c r="AQ901" s="551">
        <v>11279.9821068</v>
      </c>
      <c r="AR901" s="551">
        <v>0.85670000000000002</v>
      </c>
    </row>
    <row r="902" spans="39:44" x14ac:dyDescent="0.25">
      <c r="AM902" s="550">
        <v>45047</v>
      </c>
      <c r="AN902" s="551">
        <v>81.180000000000007</v>
      </c>
      <c r="AO902" s="551">
        <v>820607</v>
      </c>
      <c r="AP902" s="551">
        <v>138.95025999999999</v>
      </c>
      <c r="AQ902" s="551">
        <v>11279.9821068</v>
      </c>
      <c r="AR902" s="551">
        <v>0.85670000000000002</v>
      </c>
    </row>
    <row r="903" spans="39:44" x14ac:dyDescent="0.25">
      <c r="AM903" s="550">
        <v>45046</v>
      </c>
      <c r="AN903" s="551">
        <v>81.180000000000007</v>
      </c>
      <c r="AO903" s="551">
        <v>820607</v>
      </c>
      <c r="AP903" s="551">
        <v>138.95025999999999</v>
      </c>
      <c r="AQ903" s="551">
        <v>11279.9821068</v>
      </c>
      <c r="AR903" s="551">
        <v>0.85670000000000002</v>
      </c>
    </row>
    <row r="904" spans="39:44" x14ac:dyDescent="0.25">
      <c r="AM904" s="550">
        <v>45045</v>
      </c>
      <c r="AN904" s="551">
        <v>80.84</v>
      </c>
      <c r="AO904" s="551">
        <v>780482</v>
      </c>
      <c r="AP904" s="551">
        <v>138.95025999999999</v>
      </c>
      <c r="AQ904" s="551">
        <v>11232.7390184</v>
      </c>
      <c r="AR904" s="551">
        <v>0.85309999999999997</v>
      </c>
    </row>
    <row r="905" spans="39:44" x14ac:dyDescent="0.25">
      <c r="AM905" s="550">
        <v>45044</v>
      </c>
      <c r="AN905" s="551">
        <v>81.790000000000006</v>
      </c>
      <c r="AO905" s="551">
        <v>688903</v>
      </c>
      <c r="AP905" s="551">
        <v>138.95025999999999</v>
      </c>
      <c r="AQ905" s="551">
        <v>11364.7417654</v>
      </c>
      <c r="AR905" s="551">
        <v>0.86309999999999998</v>
      </c>
    </row>
    <row r="906" spans="39:44" x14ac:dyDescent="0.25">
      <c r="AM906" s="550">
        <v>45043</v>
      </c>
      <c r="AN906" s="551">
        <v>83.95</v>
      </c>
      <c r="AO906" s="551">
        <v>1209745</v>
      </c>
      <c r="AP906" s="551">
        <v>138.95025999999999</v>
      </c>
      <c r="AQ906" s="551">
        <v>11664.874327</v>
      </c>
      <c r="AR906" s="551">
        <v>0.88590000000000002</v>
      </c>
    </row>
    <row r="907" spans="39:44" x14ac:dyDescent="0.25">
      <c r="AM907" s="550">
        <v>45042</v>
      </c>
      <c r="AN907" s="551">
        <v>82.56</v>
      </c>
      <c r="AO907" s="551">
        <v>1046194</v>
      </c>
      <c r="AP907" s="551">
        <v>138.95025999999999</v>
      </c>
      <c r="AQ907" s="551">
        <v>11471.733465599998</v>
      </c>
      <c r="AR907" s="551">
        <v>0.87119999999999997</v>
      </c>
    </row>
    <row r="908" spans="39:44" x14ac:dyDescent="0.25">
      <c r="AM908" s="550">
        <v>45041</v>
      </c>
      <c r="AN908" s="551">
        <v>82.36</v>
      </c>
      <c r="AO908" s="551">
        <v>1759486</v>
      </c>
      <c r="AP908" s="551">
        <v>138.95025999999999</v>
      </c>
      <c r="AQ908" s="551">
        <v>11443.943413599998</v>
      </c>
      <c r="AR908" s="551">
        <v>0.86909999999999998</v>
      </c>
    </row>
    <row r="909" spans="39:44" x14ac:dyDescent="0.25">
      <c r="AM909" s="550">
        <v>45040</v>
      </c>
      <c r="AN909" s="551">
        <v>82.36</v>
      </c>
      <c r="AO909" s="551">
        <v>1759486</v>
      </c>
      <c r="AP909" s="551">
        <v>138.95025999999999</v>
      </c>
      <c r="AQ909" s="551">
        <v>11443.943413599998</v>
      </c>
      <c r="AR909" s="551">
        <v>0.86909999999999998</v>
      </c>
    </row>
    <row r="910" spans="39:44" x14ac:dyDescent="0.25">
      <c r="AM910" s="550">
        <v>45039</v>
      </c>
      <c r="AN910" s="551">
        <v>82.36</v>
      </c>
      <c r="AO910" s="551">
        <v>1759486</v>
      </c>
      <c r="AP910" s="551">
        <v>138.95025999999999</v>
      </c>
      <c r="AQ910" s="551">
        <v>11443.943413599998</v>
      </c>
      <c r="AR910" s="551">
        <v>0.86909999999999998</v>
      </c>
    </row>
    <row r="911" spans="39:44" x14ac:dyDescent="0.25">
      <c r="AM911" s="550">
        <v>45038</v>
      </c>
      <c r="AN911" s="551">
        <v>83.46</v>
      </c>
      <c r="AO911" s="551">
        <v>1262270</v>
      </c>
      <c r="AP911" s="551">
        <v>138.95025999999999</v>
      </c>
      <c r="AQ911" s="551">
        <v>11596.788699599998</v>
      </c>
      <c r="AR911" s="551">
        <v>0.88070000000000004</v>
      </c>
    </row>
    <row r="912" spans="39:44" x14ac:dyDescent="0.25">
      <c r="AM912" s="550">
        <v>45037</v>
      </c>
      <c r="AN912" s="551">
        <v>82.79</v>
      </c>
      <c r="AO912" s="551">
        <v>2153334</v>
      </c>
      <c r="AP912" s="551">
        <v>138.95025999999999</v>
      </c>
      <c r="AQ912" s="551">
        <v>11503.6920254</v>
      </c>
      <c r="AR912" s="551">
        <v>0.87370000000000003</v>
      </c>
    </row>
    <row r="913" spans="39:44" x14ac:dyDescent="0.25">
      <c r="AM913" s="550">
        <v>45036</v>
      </c>
      <c r="AN913" s="551">
        <v>85.08</v>
      </c>
      <c r="AO913" s="551">
        <v>1070422</v>
      </c>
      <c r="AP913" s="551">
        <v>138.95025999999999</v>
      </c>
      <c r="AQ913" s="551">
        <v>11821.888120799998</v>
      </c>
      <c r="AR913" s="551">
        <v>0.89780000000000004</v>
      </c>
    </row>
    <row r="914" spans="39:44" x14ac:dyDescent="0.25">
      <c r="AM914" s="550">
        <v>45035</v>
      </c>
      <c r="AN914" s="551">
        <v>83.72</v>
      </c>
      <c r="AO914" s="551">
        <v>1188556</v>
      </c>
      <c r="AP914" s="551">
        <v>138.95025999999999</v>
      </c>
      <c r="AQ914" s="551">
        <v>11632.915767199998</v>
      </c>
      <c r="AR914" s="551">
        <v>0.88349999999999995</v>
      </c>
    </row>
    <row r="915" spans="39:44" x14ac:dyDescent="0.25">
      <c r="AM915" s="550">
        <v>45034</v>
      </c>
      <c r="AN915" s="551">
        <v>84.26</v>
      </c>
      <c r="AO915" s="551">
        <v>1184953</v>
      </c>
      <c r="AP915" s="551">
        <v>138.95025999999999</v>
      </c>
      <c r="AQ915" s="551">
        <v>11707.948907599999</v>
      </c>
      <c r="AR915" s="551">
        <v>0.88919999999999999</v>
      </c>
    </row>
    <row r="916" spans="39:44" x14ac:dyDescent="0.25">
      <c r="AM916" s="550">
        <v>45033</v>
      </c>
      <c r="AN916" s="551">
        <v>84.26</v>
      </c>
      <c r="AO916" s="551">
        <v>1184953</v>
      </c>
      <c r="AP916" s="551">
        <v>138.95025999999999</v>
      </c>
      <c r="AQ916" s="551">
        <v>11707.948907599999</v>
      </c>
      <c r="AR916" s="551">
        <v>0.88919999999999999</v>
      </c>
    </row>
    <row r="917" spans="39:44" x14ac:dyDescent="0.25">
      <c r="AM917" s="550">
        <v>45032</v>
      </c>
      <c r="AN917" s="551">
        <v>84.26</v>
      </c>
      <c r="AO917" s="551">
        <v>1184953</v>
      </c>
      <c r="AP917" s="551">
        <v>138.95025999999999</v>
      </c>
      <c r="AQ917" s="551">
        <v>11707.948907599999</v>
      </c>
      <c r="AR917" s="551">
        <v>0.88919999999999999</v>
      </c>
    </row>
    <row r="918" spans="39:44" x14ac:dyDescent="0.25">
      <c r="AM918" s="550">
        <v>45031</v>
      </c>
      <c r="AN918" s="551">
        <v>87.72</v>
      </c>
      <c r="AO918" s="551">
        <v>812868</v>
      </c>
      <c r="AP918" s="551">
        <v>138.95025999999999</v>
      </c>
      <c r="AQ918" s="551">
        <v>12188.716807199999</v>
      </c>
      <c r="AR918" s="551">
        <v>0.92569999999999997</v>
      </c>
    </row>
    <row r="919" spans="39:44" x14ac:dyDescent="0.25">
      <c r="AM919" s="550">
        <v>45030</v>
      </c>
      <c r="AN919" s="551">
        <v>89.15</v>
      </c>
      <c r="AO919" s="551">
        <v>977037</v>
      </c>
      <c r="AP919" s="551">
        <v>138.95025999999999</v>
      </c>
      <c r="AQ919" s="551">
        <v>12387.415679</v>
      </c>
      <c r="AR919" s="551">
        <v>0.94079999999999997</v>
      </c>
    </row>
    <row r="920" spans="39:44" x14ac:dyDescent="0.25">
      <c r="AM920" s="550">
        <v>45029</v>
      </c>
      <c r="AN920" s="551">
        <v>90.78</v>
      </c>
      <c r="AO920" s="551">
        <v>1459484</v>
      </c>
      <c r="AP920" s="551">
        <v>138.95025999999999</v>
      </c>
      <c r="AQ920" s="551">
        <v>12613.904602799999</v>
      </c>
      <c r="AR920" s="551">
        <v>0.95799999999999996</v>
      </c>
    </row>
    <row r="921" spans="39:44" x14ac:dyDescent="0.25">
      <c r="AM921" s="550">
        <v>45028</v>
      </c>
      <c r="AN921" s="551">
        <v>89.28</v>
      </c>
      <c r="AO921" s="551">
        <v>1284793</v>
      </c>
      <c r="AP921" s="551">
        <v>138.95025999999999</v>
      </c>
      <c r="AQ921" s="551">
        <v>12405.479212799999</v>
      </c>
      <c r="AR921" s="551">
        <v>0.94210000000000005</v>
      </c>
    </row>
    <row r="922" spans="39:44" x14ac:dyDescent="0.25">
      <c r="AM922" s="550">
        <v>45027</v>
      </c>
      <c r="AN922" s="551">
        <v>89.71</v>
      </c>
      <c r="AO922" s="551">
        <v>1032490</v>
      </c>
      <c r="AP922" s="551">
        <v>138.95025999999999</v>
      </c>
      <c r="AQ922" s="551">
        <v>12465.227824599999</v>
      </c>
      <c r="AR922" s="551">
        <v>0.94669999999999999</v>
      </c>
    </row>
    <row r="923" spans="39:44" x14ac:dyDescent="0.25">
      <c r="AM923" s="550">
        <v>45026</v>
      </c>
      <c r="AN923" s="551">
        <v>89.71</v>
      </c>
      <c r="AO923" s="551">
        <v>1032490</v>
      </c>
      <c r="AP923" s="551">
        <v>138.95025999999999</v>
      </c>
      <c r="AQ923" s="551">
        <v>12465.227824599999</v>
      </c>
      <c r="AR923" s="551">
        <v>0.94669999999999999</v>
      </c>
    </row>
    <row r="924" spans="39:44" x14ac:dyDescent="0.25">
      <c r="AM924" s="550">
        <v>45025</v>
      </c>
      <c r="AN924" s="551">
        <v>89.71</v>
      </c>
      <c r="AO924" s="551">
        <v>1032490</v>
      </c>
      <c r="AP924" s="551">
        <v>138.95025999999999</v>
      </c>
      <c r="AQ924" s="551">
        <v>12465.227824599999</v>
      </c>
      <c r="AR924" s="551">
        <v>0.94669999999999999</v>
      </c>
    </row>
    <row r="925" spans="39:44" x14ac:dyDescent="0.25">
      <c r="AM925" s="550">
        <v>45024</v>
      </c>
      <c r="AN925" s="551">
        <v>88.31</v>
      </c>
      <c r="AO925" s="551">
        <v>879269</v>
      </c>
      <c r="AP925" s="551">
        <v>138.95025999999999</v>
      </c>
      <c r="AQ925" s="551">
        <v>12270.697460599999</v>
      </c>
      <c r="AR925" s="551">
        <v>0.93189999999999995</v>
      </c>
    </row>
    <row r="926" spans="39:44" x14ac:dyDescent="0.25">
      <c r="AM926" s="550">
        <v>45023</v>
      </c>
      <c r="AN926" s="551">
        <v>87.89</v>
      </c>
      <c r="AO926" s="551">
        <v>1504985</v>
      </c>
      <c r="AP926" s="551">
        <v>138.95025999999999</v>
      </c>
      <c r="AQ926" s="551">
        <v>12212.3383514</v>
      </c>
      <c r="AR926" s="551">
        <v>0.92749999999999999</v>
      </c>
    </row>
    <row r="927" spans="39:44" x14ac:dyDescent="0.25">
      <c r="AM927" s="550">
        <v>45022</v>
      </c>
      <c r="AN927" s="551">
        <v>86.36</v>
      </c>
      <c r="AO927" s="551">
        <v>7506371</v>
      </c>
      <c r="AP927" s="551">
        <v>138.95025999999999</v>
      </c>
      <c r="AQ927" s="551">
        <v>11999.744453599998</v>
      </c>
      <c r="AR927" s="551">
        <v>0.9113</v>
      </c>
    </row>
    <row r="928" spans="39:44" x14ac:dyDescent="0.25">
      <c r="AM928" s="550">
        <v>45021</v>
      </c>
      <c r="AN928" s="551">
        <v>86.77</v>
      </c>
      <c r="AO928" s="551">
        <v>1115963</v>
      </c>
      <c r="AP928" s="551">
        <v>138.95025999999999</v>
      </c>
      <c r="AQ928" s="551">
        <v>12056.714060199998</v>
      </c>
      <c r="AR928" s="551">
        <v>0.91569999999999996</v>
      </c>
    </row>
    <row r="929" spans="39:44" x14ac:dyDescent="0.25">
      <c r="AM929" s="550">
        <v>45020</v>
      </c>
      <c r="AN929" s="551">
        <v>87.14</v>
      </c>
      <c r="AO929" s="551">
        <v>1030296</v>
      </c>
      <c r="AP929" s="551">
        <v>138.95025999999999</v>
      </c>
      <c r="AQ929" s="551">
        <v>12108.1256564</v>
      </c>
      <c r="AR929" s="551">
        <v>0.91959999999999997</v>
      </c>
    </row>
    <row r="930" spans="39:44" x14ac:dyDescent="0.25">
      <c r="AM930" s="550">
        <v>45019</v>
      </c>
      <c r="AN930" s="551">
        <v>87.14</v>
      </c>
      <c r="AO930" s="551">
        <v>1030296</v>
      </c>
      <c r="AP930" s="551">
        <v>138.95025999999999</v>
      </c>
      <c r="AQ930" s="551">
        <v>12108.1256564</v>
      </c>
      <c r="AR930" s="551">
        <v>0.91959999999999997</v>
      </c>
    </row>
    <row r="931" spans="39:44" x14ac:dyDescent="0.25">
      <c r="AM931" s="550">
        <v>45018</v>
      </c>
      <c r="AN931" s="551">
        <v>87.14</v>
      </c>
      <c r="AO931" s="551">
        <v>1030296</v>
      </c>
      <c r="AP931" s="551">
        <v>138.95025999999999</v>
      </c>
      <c r="AQ931" s="551">
        <v>12108.1256564</v>
      </c>
      <c r="AR931" s="551">
        <v>0.91959999999999997</v>
      </c>
    </row>
    <row r="932" spans="39:44" x14ac:dyDescent="0.25">
      <c r="AM932" s="550">
        <v>45017</v>
      </c>
      <c r="AN932" s="551">
        <v>88.07</v>
      </c>
      <c r="AO932" s="551">
        <v>852542</v>
      </c>
      <c r="AP932" s="551">
        <v>138.95025999999999</v>
      </c>
      <c r="AQ932" s="551">
        <v>12237.349398199998</v>
      </c>
      <c r="AR932" s="551">
        <v>0.9294</v>
      </c>
    </row>
    <row r="933" spans="39:44" x14ac:dyDescent="0.25">
      <c r="AM933" s="550">
        <v>45016</v>
      </c>
      <c r="AN933" s="551">
        <v>88.15</v>
      </c>
      <c r="AO933" s="551">
        <v>835003</v>
      </c>
      <c r="AP933" s="551">
        <v>138.95025999999999</v>
      </c>
      <c r="AQ933" s="551">
        <v>12248.465419</v>
      </c>
      <c r="AR933" s="551">
        <v>0.93020000000000003</v>
      </c>
    </row>
    <row r="934" spans="39:44" x14ac:dyDescent="0.25">
      <c r="AM934" s="550">
        <v>45015</v>
      </c>
      <c r="AN934" s="551">
        <v>88.78</v>
      </c>
      <c r="AO934" s="551">
        <v>1077509</v>
      </c>
      <c r="AP934" s="551">
        <v>138.95025999999999</v>
      </c>
      <c r="AQ934" s="551">
        <v>12336.004082799998</v>
      </c>
      <c r="AR934" s="551">
        <v>0.93689999999999996</v>
      </c>
    </row>
    <row r="935" spans="39:44" x14ac:dyDescent="0.25">
      <c r="AM935" s="550">
        <v>45014</v>
      </c>
      <c r="AN935" s="551">
        <v>89.39</v>
      </c>
      <c r="AO935" s="551">
        <v>1128897</v>
      </c>
      <c r="AP935" s="551">
        <v>138.95025999999999</v>
      </c>
      <c r="AQ935" s="551">
        <v>12420.763741399998</v>
      </c>
      <c r="AR935" s="551">
        <v>0.94330000000000003</v>
      </c>
    </row>
    <row r="936" spans="39:44" x14ac:dyDescent="0.25">
      <c r="AM936" s="550">
        <v>45013</v>
      </c>
      <c r="AN936" s="551">
        <v>89.39</v>
      </c>
      <c r="AO936" s="551">
        <v>1128897</v>
      </c>
      <c r="AP936" s="551">
        <v>138.95025999999999</v>
      </c>
      <c r="AQ936" s="551">
        <v>12420.763741399998</v>
      </c>
      <c r="AR936" s="551">
        <v>0.94330000000000003</v>
      </c>
    </row>
    <row r="937" spans="39:44" x14ac:dyDescent="0.25">
      <c r="AM937" s="550">
        <v>45012</v>
      </c>
      <c r="AN937" s="551">
        <v>89.39</v>
      </c>
      <c r="AO937" s="551">
        <v>1128897</v>
      </c>
      <c r="AP937" s="551">
        <v>138.95025999999999</v>
      </c>
      <c r="AQ937" s="551">
        <v>12420.763741399998</v>
      </c>
      <c r="AR937" s="551">
        <v>0.94330000000000003</v>
      </c>
    </row>
    <row r="938" spans="39:44" x14ac:dyDescent="0.25">
      <c r="AM938" s="550">
        <v>45011</v>
      </c>
      <c r="AN938" s="551">
        <v>89.39</v>
      </c>
      <c r="AO938" s="551">
        <v>1128897</v>
      </c>
      <c r="AP938" s="551">
        <v>138.95025999999999</v>
      </c>
      <c r="AQ938" s="551">
        <v>12420.763741399998</v>
      </c>
      <c r="AR938" s="551">
        <v>0.94330000000000003</v>
      </c>
    </row>
    <row r="939" spans="39:44" x14ac:dyDescent="0.25">
      <c r="AM939" s="550">
        <v>45010</v>
      </c>
      <c r="AN939" s="551">
        <v>90.41</v>
      </c>
      <c r="AO939" s="551">
        <v>726577</v>
      </c>
      <c r="AP939" s="551">
        <v>138.95025999999999</v>
      </c>
      <c r="AQ939" s="551">
        <v>12562.493006599998</v>
      </c>
      <c r="AR939" s="551">
        <v>0.95409999999999995</v>
      </c>
    </row>
    <row r="940" spans="39:44" x14ac:dyDescent="0.25">
      <c r="AM940" s="550">
        <v>45009</v>
      </c>
      <c r="AN940" s="551">
        <v>90.48</v>
      </c>
      <c r="AO940" s="551">
        <v>907669</v>
      </c>
      <c r="AP940" s="551">
        <v>138.95025999999999</v>
      </c>
      <c r="AQ940" s="551">
        <v>12572.219524799999</v>
      </c>
      <c r="AR940" s="551">
        <v>0.95479999999999998</v>
      </c>
    </row>
    <row r="941" spans="39:44" x14ac:dyDescent="0.25">
      <c r="AM941" s="550">
        <v>45008</v>
      </c>
      <c r="AN941" s="551">
        <v>91.11</v>
      </c>
      <c r="AO941" s="551">
        <v>1172824</v>
      </c>
      <c r="AP941" s="551">
        <v>138.95025999999999</v>
      </c>
      <c r="AQ941" s="551">
        <v>12659.758188599999</v>
      </c>
      <c r="AR941" s="551">
        <v>0.96140000000000003</v>
      </c>
    </row>
    <row r="942" spans="39:44" x14ac:dyDescent="0.25">
      <c r="AM942" s="550">
        <v>45007</v>
      </c>
      <c r="AN942" s="551">
        <v>90.25</v>
      </c>
      <c r="AO942" s="551">
        <v>981363</v>
      </c>
      <c r="AP942" s="551">
        <v>138.95025999999999</v>
      </c>
      <c r="AQ942" s="551">
        <v>12540.260964999999</v>
      </c>
      <c r="AR942" s="551">
        <v>0.95240000000000002</v>
      </c>
    </row>
    <row r="943" spans="39:44" x14ac:dyDescent="0.25">
      <c r="AM943" s="550">
        <v>45006</v>
      </c>
      <c r="AN943" s="551">
        <v>89.81</v>
      </c>
      <c r="AO943" s="551">
        <v>1213248</v>
      </c>
      <c r="AP943" s="551">
        <v>138.95025999999999</v>
      </c>
      <c r="AQ943" s="551">
        <v>12479.122850599999</v>
      </c>
      <c r="AR943" s="551">
        <v>0.94769999999999999</v>
      </c>
    </row>
    <row r="944" spans="39:44" x14ac:dyDescent="0.25">
      <c r="AM944" s="550">
        <v>45005</v>
      </c>
      <c r="AN944" s="551">
        <v>89.81</v>
      </c>
      <c r="AO944" s="551">
        <v>1213248</v>
      </c>
      <c r="AP944" s="551">
        <v>138.95025999999999</v>
      </c>
      <c r="AQ944" s="551">
        <v>12479.122850599999</v>
      </c>
      <c r="AR944" s="551">
        <v>0.94769999999999999</v>
      </c>
    </row>
    <row r="945" spans="39:44" x14ac:dyDescent="0.25">
      <c r="AM945" s="550">
        <v>45004</v>
      </c>
      <c r="AN945" s="551">
        <v>89.81</v>
      </c>
      <c r="AO945" s="551">
        <v>1213248</v>
      </c>
      <c r="AP945" s="551">
        <v>138.95025999999999</v>
      </c>
      <c r="AQ945" s="551">
        <v>12479.122850599999</v>
      </c>
      <c r="AR945" s="551">
        <v>0.94769999999999999</v>
      </c>
    </row>
    <row r="946" spans="39:44" x14ac:dyDescent="0.25">
      <c r="AM946" s="550">
        <v>45003</v>
      </c>
      <c r="AN946" s="551">
        <v>90.1</v>
      </c>
      <c r="AO946" s="551">
        <v>1117188</v>
      </c>
      <c r="AP946" s="551">
        <v>138.95025999999999</v>
      </c>
      <c r="AQ946" s="551">
        <v>12519.418425999998</v>
      </c>
      <c r="AR946" s="551">
        <v>0.95079999999999998</v>
      </c>
    </row>
    <row r="947" spans="39:44" x14ac:dyDescent="0.25">
      <c r="AM947" s="550">
        <v>45002</v>
      </c>
      <c r="AN947" s="551">
        <v>91.08</v>
      </c>
      <c r="AO947" s="551">
        <v>1280675</v>
      </c>
      <c r="AP947" s="551">
        <v>138.95025999999999</v>
      </c>
      <c r="AQ947" s="551">
        <v>12655.589680799998</v>
      </c>
      <c r="AR947" s="551">
        <v>0.96109999999999995</v>
      </c>
    </row>
    <row r="948" spans="39:44" x14ac:dyDescent="0.25">
      <c r="AM948" s="550">
        <v>45001</v>
      </c>
      <c r="AN948" s="551">
        <v>90.58</v>
      </c>
      <c r="AO948" s="551">
        <v>3098163</v>
      </c>
      <c r="AP948" s="551">
        <v>138.95025999999999</v>
      </c>
      <c r="AQ948" s="551">
        <v>12586.114550799999</v>
      </c>
      <c r="AR948" s="551">
        <v>0.95589999999999997</v>
      </c>
    </row>
    <row r="949" spans="39:44" x14ac:dyDescent="0.25">
      <c r="AM949" s="550">
        <v>45000</v>
      </c>
      <c r="AN949" s="551">
        <v>88.24</v>
      </c>
      <c r="AO949" s="551">
        <v>1892932</v>
      </c>
      <c r="AP949" s="551">
        <v>138.9513</v>
      </c>
      <c r="AQ949" s="551">
        <v>12261.062711999999</v>
      </c>
      <c r="AR949" s="551">
        <v>0.93120000000000003</v>
      </c>
    </row>
    <row r="950" spans="39:44" x14ac:dyDescent="0.25">
      <c r="AM950" s="550">
        <v>44999</v>
      </c>
      <c r="AN950" s="551">
        <v>87.64</v>
      </c>
      <c r="AO950" s="551">
        <v>1530539</v>
      </c>
      <c r="AP950" s="551">
        <v>138.9513</v>
      </c>
      <c r="AQ950" s="551">
        <v>12177.691932</v>
      </c>
      <c r="AR950" s="551">
        <v>0.92479999999999996</v>
      </c>
    </row>
    <row r="951" spans="39:44" x14ac:dyDescent="0.25">
      <c r="AM951" s="550">
        <v>44998</v>
      </c>
      <c r="AN951" s="551">
        <v>87.64</v>
      </c>
      <c r="AO951" s="551">
        <v>1530539</v>
      </c>
      <c r="AP951" s="551">
        <v>138.9513</v>
      </c>
      <c r="AQ951" s="551">
        <v>12177.691932</v>
      </c>
      <c r="AR951" s="551">
        <v>0.92479999999999996</v>
      </c>
    </row>
    <row r="952" spans="39:44" x14ac:dyDescent="0.25">
      <c r="AM952" s="550">
        <v>44997</v>
      </c>
      <c r="AN952" s="551">
        <v>87.64</v>
      </c>
      <c r="AO952" s="551">
        <v>1530539</v>
      </c>
      <c r="AP952" s="551">
        <v>138.9513</v>
      </c>
      <c r="AQ952" s="551">
        <v>12177.691932</v>
      </c>
      <c r="AR952" s="551">
        <v>0.92479999999999996</v>
      </c>
    </row>
    <row r="953" spans="39:44" x14ac:dyDescent="0.25">
      <c r="AM953" s="550">
        <v>44996</v>
      </c>
      <c r="AN953" s="551">
        <v>87.1</v>
      </c>
      <c r="AO953" s="551">
        <v>796091</v>
      </c>
      <c r="AP953" s="551">
        <v>138.9513</v>
      </c>
      <c r="AQ953" s="551">
        <v>12102.658229999999</v>
      </c>
      <c r="AR953" s="551">
        <v>0.91910000000000003</v>
      </c>
    </row>
    <row r="954" spans="39:44" x14ac:dyDescent="0.25">
      <c r="AM954" s="550">
        <v>44995</v>
      </c>
      <c r="AN954" s="551">
        <v>87.14</v>
      </c>
      <c r="AO954" s="551">
        <v>966072</v>
      </c>
      <c r="AP954" s="551">
        <v>138.9513</v>
      </c>
      <c r="AQ954" s="551">
        <v>12108.216282000001</v>
      </c>
      <c r="AR954" s="551">
        <v>0.91959999999999997</v>
      </c>
    </row>
    <row r="955" spans="39:44" x14ac:dyDescent="0.25">
      <c r="AM955" s="550">
        <v>44994</v>
      </c>
      <c r="AN955" s="551">
        <v>87.27</v>
      </c>
      <c r="AO955" s="551">
        <v>1125342</v>
      </c>
      <c r="AP955" s="551">
        <v>138.9513</v>
      </c>
      <c r="AQ955" s="551">
        <v>12126.279951</v>
      </c>
      <c r="AR955" s="551">
        <v>0.92090000000000005</v>
      </c>
    </row>
    <row r="956" spans="39:44" x14ac:dyDescent="0.25">
      <c r="AM956" s="550">
        <v>44993</v>
      </c>
      <c r="AN956" s="551">
        <v>85.64</v>
      </c>
      <c r="AO956" s="551">
        <v>646394</v>
      </c>
      <c r="AP956" s="551">
        <v>138.65028000000001</v>
      </c>
      <c r="AQ956" s="551">
        <v>11874.0099792</v>
      </c>
      <c r="AR956" s="551">
        <v>0.90369999999999995</v>
      </c>
    </row>
    <row r="957" spans="39:44" x14ac:dyDescent="0.25">
      <c r="AM957" s="550">
        <v>44992</v>
      </c>
      <c r="AN957" s="551">
        <v>85.95</v>
      </c>
      <c r="AO957" s="551">
        <v>572892</v>
      </c>
      <c r="AP957" s="551">
        <v>138.65028000000001</v>
      </c>
      <c r="AQ957" s="551">
        <v>11916.991566000001</v>
      </c>
      <c r="AR957" s="551">
        <v>0.90700000000000003</v>
      </c>
    </row>
    <row r="958" spans="39:44" x14ac:dyDescent="0.25">
      <c r="AM958" s="550">
        <v>44991</v>
      </c>
      <c r="AN958" s="551">
        <v>85.95</v>
      </c>
      <c r="AO958" s="551">
        <v>572892</v>
      </c>
      <c r="AP958" s="551">
        <v>138.65028000000001</v>
      </c>
      <c r="AQ958" s="551">
        <v>11916.991566000001</v>
      </c>
      <c r="AR958" s="551">
        <v>0.90700000000000003</v>
      </c>
    </row>
    <row r="959" spans="39:44" x14ac:dyDescent="0.25">
      <c r="AM959" s="550">
        <v>44990</v>
      </c>
      <c r="AN959" s="551">
        <v>85.95</v>
      </c>
      <c r="AO959" s="551">
        <v>572892</v>
      </c>
      <c r="AP959" s="551">
        <v>138.65028000000001</v>
      </c>
      <c r="AQ959" s="551">
        <v>11916.991566000001</v>
      </c>
      <c r="AR959" s="551">
        <v>0.90700000000000003</v>
      </c>
    </row>
    <row r="960" spans="39:44" x14ac:dyDescent="0.25">
      <c r="AM960" s="550">
        <v>44989</v>
      </c>
      <c r="AN960" s="551">
        <v>86.75</v>
      </c>
      <c r="AO960" s="551">
        <v>752319</v>
      </c>
      <c r="AP960" s="551">
        <v>138.65028000000001</v>
      </c>
      <c r="AQ960" s="551">
        <v>12027.91179</v>
      </c>
      <c r="AR960" s="551">
        <v>0.91539999999999999</v>
      </c>
    </row>
    <row r="961" spans="39:44" x14ac:dyDescent="0.25">
      <c r="AM961" s="550">
        <v>44988</v>
      </c>
      <c r="AN961" s="551">
        <v>87.06</v>
      </c>
      <c r="AO961" s="551">
        <v>818157</v>
      </c>
      <c r="AP961" s="551">
        <v>138.65028000000001</v>
      </c>
      <c r="AQ961" s="551">
        <v>12070.893376800001</v>
      </c>
      <c r="AR961" s="551">
        <v>0.91869999999999996</v>
      </c>
    </row>
    <row r="962" spans="39:44" x14ac:dyDescent="0.25">
      <c r="AM962" s="550">
        <v>44987</v>
      </c>
      <c r="AN962" s="551">
        <v>87.49</v>
      </c>
      <c r="AO962" s="551">
        <v>544888</v>
      </c>
      <c r="AP962" s="551">
        <v>138.65028000000001</v>
      </c>
      <c r="AQ962" s="551">
        <v>12130.5129972</v>
      </c>
      <c r="AR962" s="551">
        <v>0.92320000000000002</v>
      </c>
    </row>
    <row r="963" spans="39:44" x14ac:dyDescent="0.25">
      <c r="AM963" s="550">
        <v>44986</v>
      </c>
      <c r="AN963" s="551">
        <v>86.11</v>
      </c>
      <c r="AO963" s="551">
        <v>965246</v>
      </c>
      <c r="AP963" s="551">
        <v>138.65028000000001</v>
      </c>
      <c r="AQ963" s="551">
        <v>11939.175610800001</v>
      </c>
      <c r="AR963" s="551">
        <v>0.90869999999999995</v>
      </c>
    </row>
    <row r="964" spans="39:44" x14ac:dyDescent="0.25">
      <c r="AM964" s="550">
        <v>44985</v>
      </c>
      <c r="AN964" s="551">
        <v>86.75</v>
      </c>
      <c r="AO964" s="551">
        <v>688206</v>
      </c>
      <c r="AP964" s="551">
        <v>138.65028000000001</v>
      </c>
      <c r="AQ964" s="551">
        <v>12027.91179</v>
      </c>
      <c r="AR964" s="551">
        <v>0.91539999999999999</v>
      </c>
    </row>
    <row r="965" spans="39:44" x14ac:dyDescent="0.25">
      <c r="AM965" s="550">
        <v>44984</v>
      </c>
      <c r="AN965" s="551">
        <v>86.75</v>
      </c>
      <c r="AO965" s="551">
        <v>688206</v>
      </c>
      <c r="AP965" s="551">
        <v>138.65028000000001</v>
      </c>
      <c r="AQ965" s="551">
        <v>12027.91179</v>
      </c>
      <c r="AR965" s="551">
        <v>0.91539999999999999</v>
      </c>
    </row>
    <row r="966" spans="39:44" x14ac:dyDescent="0.25">
      <c r="AM966" s="550">
        <v>44983</v>
      </c>
      <c r="AN966" s="551">
        <v>86.75</v>
      </c>
      <c r="AO966" s="551">
        <v>688206</v>
      </c>
      <c r="AP966" s="551">
        <v>138.65028000000001</v>
      </c>
      <c r="AQ966" s="551">
        <v>12027.91179</v>
      </c>
      <c r="AR966" s="551">
        <v>0.91539999999999999</v>
      </c>
    </row>
    <row r="967" spans="39:44" x14ac:dyDescent="0.25">
      <c r="AM967" s="550">
        <v>44982</v>
      </c>
      <c r="AN967" s="551">
        <v>85.6</v>
      </c>
      <c r="AO967" s="551">
        <v>1068994</v>
      </c>
      <c r="AP967" s="551">
        <v>138.65028000000001</v>
      </c>
      <c r="AQ967" s="551">
        <v>11868.463968</v>
      </c>
      <c r="AR967" s="551">
        <v>0.90329999999999999</v>
      </c>
    </row>
    <row r="968" spans="39:44" x14ac:dyDescent="0.25">
      <c r="AM968" s="550">
        <v>44981</v>
      </c>
      <c r="AN968" s="551">
        <v>85.75</v>
      </c>
      <c r="AO968" s="551">
        <v>1011348</v>
      </c>
      <c r="AP968" s="551">
        <v>138.65028000000001</v>
      </c>
      <c r="AQ968" s="551">
        <v>11889.26151</v>
      </c>
      <c r="AR968" s="551">
        <v>0.90490000000000004</v>
      </c>
    </row>
    <row r="969" spans="39:44" x14ac:dyDescent="0.25">
      <c r="AM969" s="550">
        <v>44980</v>
      </c>
      <c r="AN969" s="551">
        <v>86.58</v>
      </c>
      <c r="AO969" s="551">
        <v>1013540</v>
      </c>
      <c r="AP969" s="551">
        <v>138.65028000000001</v>
      </c>
      <c r="AQ969" s="551">
        <v>12004.3412424</v>
      </c>
      <c r="AR969" s="551">
        <v>0.91359999999999997</v>
      </c>
    </row>
    <row r="970" spans="39:44" x14ac:dyDescent="0.25">
      <c r="AM970" s="550">
        <v>44979</v>
      </c>
      <c r="AN970" s="551">
        <v>86.4</v>
      </c>
      <c r="AO970" s="551">
        <v>1277678</v>
      </c>
      <c r="AP970" s="551">
        <v>138.65028000000001</v>
      </c>
      <c r="AQ970" s="551">
        <v>11979.384192000001</v>
      </c>
      <c r="AR970" s="551">
        <v>0.91169999999999995</v>
      </c>
    </row>
    <row r="971" spans="39:44" x14ac:dyDescent="0.25">
      <c r="AM971" s="550">
        <v>44978</v>
      </c>
      <c r="AN971" s="551">
        <v>86.4</v>
      </c>
      <c r="AO971" s="551">
        <v>1277678</v>
      </c>
      <c r="AP971" s="551">
        <v>138.65028000000001</v>
      </c>
      <c r="AQ971" s="551">
        <v>11979.384192000001</v>
      </c>
      <c r="AR971" s="551">
        <v>0.91169999999999995</v>
      </c>
    </row>
    <row r="972" spans="39:44" x14ac:dyDescent="0.25">
      <c r="AM972" s="550">
        <v>44977</v>
      </c>
      <c r="AN972" s="551">
        <v>86.4</v>
      </c>
      <c r="AO972" s="551">
        <v>1277678</v>
      </c>
      <c r="AP972" s="551">
        <v>138.65028000000001</v>
      </c>
      <c r="AQ972" s="551">
        <v>11979.384192000001</v>
      </c>
      <c r="AR972" s="551">
        <v>0.91169999999999995</v>
      </c>
    </row>
    <row r="973" spans="39:44" x14ac:dyDescent="0.25">
      <c r="AM973" s="550">
        <v>44976</v>
      </c>
      <c r="AN973" s="551">
        <v>86.4</v>
      </c>
      <c r="AO973" s="551">
        <v>1277678</v>
      </c>
      <c r="AP973" s="551">
        <v>138.65028000000001</v>
      </c>
      <c r="AQ973" s="551">
        <v>11979.384192000001</v>
      </c>
      <c r="AR973" s="551">
        <v>0.91169999999999995</v>
      </c>
    </row>
    <row r="974" spans="39:44" x14ac:dyDescent="0.25">
      <c r="AM974" s="550">
        <v>44975</v>
      </c>
      <c r="AN974" s="551">
        <v>85.87</v>
      </c>
      <c r="AO974" s="551">
        <v>889924</v>
      </c>
      <c r="AP974" s="551">
        <v>138.65028000000001</v>
      </c>
      <c r="AQ974" s="551">
        <v>11905.899543600002</v>
      </c>
      <c r="AR974" s="551">
        <v>0.90620000000000001</v>
      </c>
    </row>
    <row r="975" spans="39:44" x14ac:dyDescent="0.25">
      <c r="AM975" s="550">
        <v>44974</v>
      </c>
      <c r="AN975" s="551">
        <v>83.99</v>
      </c>
      <c r="AO975" s="551">
        <v>811832</v>
      </c>
      <c r="AP975" s="551">
        <v>138.65028000000001</v>
      </c>
      <c r="AQ975" s="551">
        <v>11645.237017199999</v>
      </c>
      <c r="AR975" s="551">
        <v>0.88629999999999998</v>
      </c>
    </row>
    <row r="976" spans="39:44" x14ac:dyDescent="0.25">
      <c r="AM976" s="550">
        <v>44973</v>
      </c>
      <c r="AN976" s="551">
        <v>83.63</v>
      </c>
      <c r="AO976" s="551">
        <v>1030355</v>
      </c>
      <c r="AP976" s="551">
        <v>138.65028000000001</v>
      </c>
      <c r="AQ976" s="551">
        <v>11595.3229164</v>
      </c>
      <c r="AR976" s="551">
        <v>0.88249999999999995</v>
      </c>
    </row>
    <row r="977" spans="39:44" x14ac:dyDescent="0.25">
      <c r="AM977" s="550">
        <v>44972</v>
      </c>
      <c r="AN977" s="551">
        <v>82.07</v>
      </c>
      <c r="AO977" s="551">
        <v>1173415</v>
      </c>
      <c r="AP977" s="551">
        <v>138.65028000000001</v>
      </c>
      <c r="AQ977" s="551">
        <v>11379.0284796</v>
      </c>
      <c r="AR977" s="551">
        <v>0.86609999999999998</v>
      </c>
    </row>
    <row r="978" spans="39:44" x14ac:dyDescent="0.25">
      <c r="AM978" s="550">
        <v>44971</v>
      </c>
      <c r="AN978" s="551">
        <v>83.15</v>
      </c>
      <c r="AO978" s="551">
        <v>857285</v>
      </c>
      <c r="AP978" s="551">
        <v>138.65028000000001</v>
      </c>
      <c r="AQ978" s="551">
        <v>11528.770782000001</v>
      </c>
      <c r="AR978" s="551">
        <v>0.87739999999999996</v>
      </c>
    </row>
    <row r="979" spans="39:44" x14ac:dyDescent="0.25">
      <c r="AM979" s="550">
        <v>44970</v>
      </c>
      <c r="AN979" s="551">
        <v>83.15</v>
      </c>
      <c r="AO979" s="551">
        <v>857285</v>
      </c>
      <c r="AP979" s="551">
        <v>138.65028000000001</v>
      </c>
      <c r="AQ979" s="551">
        <v>11528.770782000001</v>
      </c>
      <c r="AR979" s="551">
        <v>0.87739999999999996</v>
      </c>
    </row>
    <row r="980" spans="39:44" x14ac:dyDescent="0.25">
      <c r="AM980" s="550">
        <v>44969</v>
      </c>
      <c r="AN980" s="551">
        <v>83.15</v>
      </c>
      <c r="AO980" s="551">
        <v>857285</v>
      </c>
      <c r="AP980" s="551">
        <v>138.65028000000001</v>
      </c>
      <c r="AQ980" s="551">
        <v>11528.770782000001</v>
      </c>
      <c r="AR980" s="551">
        <v>0.87739999999999996</v>
      </c>
    </row>
    <row r="981" spans="39:44" x14ac:dyDescent="0.25">
      <c r="AM981" s="550">
        <v>44968</v>
      </c>
      <c r="AN981" s="551">
        <v>81.2</v>
      </c>
      <c r="AO981" s="551">
        <v>1126200</v>
      </c>
      <c r="AP981" s="551">
        <v>138.65028000000001</v>
      </c>
      <c r="AQ981" s="551">
        <v>11258.402736000002</v>
      </c>
      <c r="AR981" s="551">
        <v>0.8569</v>
      </c>
    </row>
    <row r="982" spans="39:44" x14ac:dyDescent="0.25">
      <c r="AM982" s="550">
        <v>44967</v>
      </c>
      <c r="AN982" s="551">
        <v>84.09</v>
      </c>
      <c r="AO982" s="551">
        <v>801551</v>
      </c>
      <c r="AP982" s="551">
        <v>138.65028000000001</v>
      </c>
      <c r="AQ982" s="551">
        <v>11659.102045200001</v>
      </c>
      <c r="AR982" s="551">
        <v>0.88739999999999997</v>
      </c>
    </row>
    <row r="983" spans="39:44" x14ac:dyDescent="0.25">
      <c r="AM983" s="550">
        <v>44966</v>
      </c>
      <c r="AN983" s="551">
        <v>83.71</v>
      </c>
      <c r="AO983" s="551">
        <v>968515</v>
      </c>
      <c r="AP983" s="551">
        <v>138.65028000000001</v>
      </c>
      <c r="AQ983" s="551">
        <v>11606.414938800001</v>
      </c>
      <c r="AR983" s="551">
        <v>0.88339999999999996</v>
      </c>
    </row>
    <row r="984" spans="39:44" x14ac:dyDescent="0.25">
      <c r="AM984" s="550">
        <v>44965</v>
      </c>
      <c r="AN984" s="551">
        <v>84.93</v>
      </c>
      <c r="AO984" s="551">
        <v>445853</v>
      </c>
      <c r="AP984" s="551">
        <v>138.65028000000001</v>
      </c>
      <c r="AQ984" s="551">
        <v>11775.568280400003</v>
      </c>
      <c r="AR984" s="551">
        <v>0.90920000000000001</v>
      </c>
    </row>
    <row r="985" spans="39:44" x14ac:dyDescent="0.25">
      <c r="AM985" s="550">
        <v>44964</v>
      </c>
      <c r="AN985" s="551">
        <v>84.93</v>
      </c>
      <c r="AO985" s="551">
        <v>445853</v>
      </c>
      <c r="AP985" s="551">
        <v>138.65028000000001</v>
      </c>
      <c r="AQ985" s="551">
        <v>11775.568280400003</v>
      </c>
      <c r="AR985" s="551">
        <v>0.90920000000000001</v>
      </c>
    </row>
    <row r="986" spans="39:44" x14ac:dyDescent="0.25">
      <c r="AM986" s="550">
        <v>44963</v>
      </c>
      <c r="AN986" s="551">
        <v>84.93</v>
      </c>
      <c r="AO986" s="551">
        <v>445853</v>
      </c>
      <c r="AP986" s="551">
        <v>138.65028000000001</v>
      </c>
      <c r="AQ986" s="551">
        <v>11775.568280400003</v>
      </c>
      <c r="AR986" s="551">
        <v>0.90920000000000001</v>
      </c>
    </row>
    <row r="987" spans="39:44" x14ac:dyDescent="0.25">
      <c r="AM987" s="550">
        <v>44962</v>
      </c>
      <c r="AN987" s="551">
        <v>84.93</v>
      </c>
      <c r="AO987" s="551">
        <v>445853</v>
      </c>
      <c r="AP987" s="551">
        <v>138.65028000000001</v>
      </c>
      <c r="AQ987" s="551">
        <v>11775.568280400003</v>
      </c>
      <c r="AR987" s="551">
        <v>0.90920000000000001</v>
      </c>
    </row>
    <row r="988" spans="39:44" x14ac:dyDescent="0.25">
      <c r="AM988" s="550">
        <v>44961</v>
      </c>
      <c r="AN988" s="551">
        <v>85</v>
      </c>
      <c r="AO988" s="551">
        <v>345614</v>
      </c>
      <c r="AP988" s="551">
        <v>138.65028000000001</v>
      </c>
      <c r="AQ988" s="551">
        <v>11785.273800000001</v>
      </c>
      <c r="AR988" s="551">
        <v>0.90990000000000004</v>
      </c>
    </row>
    <row r="989" spans="39:44" x14ac:dyDescent="0.25">
      <c r="AM989" s="550">
        <v>44960</v>
      </c>
      <c r="AN989" s="551">
        <v>84.16</v>
      </c>
      <c r="AO989" s="551">
        <v>469461</v>
      </c>
      <c r="AP989" s="551">
        <v>138.65028000000001</v>
      </c>
      <c r="AQ989" s="551">
        <v>11668.807564799999</v>
      </c>
      <c r="AR989" s="551">
        <v>0.90090000000000003</v>
      </c>
    </row>
    <row r="990" spans="39:44" x14ac:dyDescent="0.25">
      <c r="AM990" s="550">
        <v>44959</v>
      </c>
      <c r="AN990" s="551">
        <v>85.64</v>
      </c>
      <c r="AO990" s="551">
        <v>470763</v>
      </c>
      <c r="AP990" s="551">
        <v>138.65028000000001</v>
      </c>
      <c r="AQ990" s="551">
        <v>11874.0099792</v>
      </c>
      <c r="AR990" s="551">
        <v>0.91679999999999995</v>
      </c>
    </row>
    <row r="991" spans="39:44" x14ac:dyDescent="0.25">
      <c r="AM991" s="550">
        <v>44958</v>
      </c>
      <c r="AN991" s="551">
        <v>84.69</v>
      </c>
      <c r="AO991" s="551">
        <v>516895</v>
      </c>
      <c r="AP991" s="551">
        <v>138.65028000000001</v>
      </c>
      <c r="AQ991" s="551">
        <v>11742.2922132</v>
      </c>
      <c r="AR991" s="551">
        <v>0.90659999999999996</v>
      </c>
    </row>
    <row r="992" spans="39:44" x14ac:dyDescent="0.25">
      <c r="AM992" s="550">
        <v>44957</v>
      </c>
      <c r="AN992" s="551">
        <v>84.69</v>
      </c>
      <c r="AO992" s="551">
        <v>516895</v>
      </c>
      <c r="AP992" s="551">
        <v>138.65028000000001</v>
      </c>
      <c r="AQ992" s="551">
        <v>11742.2922132</v>
      </c>
      <c r="AR992" s="551">
        <v>0.90659999999999996</v>
      </c>
    </row>
    <row r="993" spans="39:44" x14ac:dyDescent="0.25">
      <c r="AM993" s="550">
        <v>44956</v>
      </c>
      <c r="AN993" s="551">
        <v>84.69</v>
      </c>
      <c r="AO993" s="551">
        <v>516895</v>
      </c>
      <c r="AP993" s="551">
        <v>138.65028000000001</v>
      </c>
      <c r="AQ993" s="551">
        <v>11742.2922132</v>
      </c>
      <c r="AR993" s="551">
        <v>0.90659999999999996</v>
      </c>
    </row>
    <row r="994" spans="39:44" x14ac:dyDescent="0.25">
      <c r="AM994" s="550">
        <v>44955</v>
      </c>
      <c r="AN994" s="551">
        <v>84.69</v>
      </c>
      <c r="AO994" s="551">
        <v>516895</v>
      </c>
      <c r="AP994" s="551">
        <v>138.65028000000001</v>
      </c>
      <c r="AQ994" s="551">
        <v>11742.2922132</v>
      </c>
      <c r="AR994" s="551">
        <v>0.90659999999999996</v>
      </c>
    </row>
    <row r="995" spans="39:44" x14ac:dyDescent="0.25">
      <c r="AM995" s="550">
        <v>44954</v>
      </c>
      <c r="AN995" s="551">
        <v>84.53</v>
      </c>
      <c r="AO995" s="551">
        <v>715628</v>
      </c>
      <c r="AP995" s="551">
        <v>138.65028000000001</v>
      </c>
      <c r="AQ995" s="551">
        <v>11720.1081684</v>
      </c>
      <c r="AR995" s="551">
        <v>0.90490000000000004</v>
      </c>
    </row>
    <row r="996" spans="39:44" x14ac:dyDescent="0.25">
      <c r="AM996" s="550">
        <v>44953</v>
      </c>
      <c r="AN996" s="551">
        <v>84.63</v>
      </c>
      <c r="AO996" s="551">
        <v>596093</v>
      </c>
      <c r="AP996" s="551">
        <v>138.65028000000001</v>
      </c>
      <c r="AQ996" s="551">
        <v>11733.9731964</v>
      </c>
      <c r="AR996" s="551">
        <v>0.90590000000000004</v>
      </c>
    </row>
    <row r="997" spans="39:44" x14ac:dyDescent="0.25">
      <c r="AM997" s="550">
        <v>44952</v>
      </c>
      <c r="AN997" s="551">
        <v>83.7</v>
      </c>
      <c r="AO997" s="551">
        <v>941873</v>
      </c>
      <c r="AP997" s="551">
        <v>138.65028000000001</v>
      </c>
      <c r="AQ997" s="551">
        <v>11605.028436000001</v>
      </c>
      <c r="AR997" s="551">
        <v>0.89600000000000002</v>
      </c>
    </row>
    <row r="998" spans="39:44" x14ac:dyDescent="0.25">
      <c r="AM998" s="550">
        <v>44951</v>
      </c>
      <c r="AN998" s="551">
        <v>82.88</v>
      </c>
      <c r="AO998" s="551">
        <v>689706</v>
      </c>
      <c r="AP998" s="551">
        <v>138.65028000000001</v>
      </c>
      <c r="AQ998" s="551">
        <v>11491.335206400001</v>
      </c>
      <c r="AR998" s="551">
        <v>0.88719999999999999</v>
      </c>
    </row>
    <row r="999" spans="39:44" x14ac:dyDescent="0.25">
      <c r="AM999" s="550">
        <v>44950</v>
      </c>
      <c r="AN999" s="551">
        <v>82.77</v>
      </c>
      <c r="AO999" s="551">
        <v>1836131</v>
      </c>
      <c r="AP999" s="551">
        <v>138.65028000000001</v>
      </c>
      <c r="AQ999" s="551">
        <v>11476.083675600001</v>
      </c>
      <c r="AR999" s="551">
        <v>0.88600000000000001</v>
      </c>
    </row>
    <row r="1000" spans="39:44" x14ac:dyDescent="0.25">
      <c r="AM1000" s="550">
        <v>44949</v>
      </c>
      <c r="AN1000" s="551">
        <v>82.77</v>
      </c>
      <c r="AO1000" s="551">
        <v>1836131</v>
      </c>
      <c r="AP1000" s="551">
        <v>138.65028000000001</v>
      </c>
      <c r="AQ1000" s="551">
        <v>11476.083675600001</v>
      </c>
      <c r="AR1000" s="551">
        <v>0.88600000000000001</v>
      </c>
    </row>
    <row r="1001" spans="39:44" x14ac:dyDescent="0.25">
      <c r="AM1001" s="550">
        <v>44948</v>
      </c>
      <c r="AN1001" s="551">
        <v>82.77</v>
      </c>
      <c r="AO1001" s="551">
        <v>1836131</v>
      </c>
      <c r="AP1001" s="551">
        <v>138.65028000000001</v>
      </c>
      <c r="AQ1001" s="551">
        <v>11476.083675600001</v>
      </c>
      <c r="AR1001" s="551">
        <v>0.88600000000000001</v>
      </c>
    </row>
    <row r="1002" spans="39:44" x14ac:dyDescent="0.25">
      <c r="AM1002" s="550">
        <v>44947</v>
      </c>
      <c r="AN1002" s="551">
        <v>83.67</v>
      </c>
      <c r="AO1002" s="551">
        <v>621848</v>
      </c>
      <c r="AP1002" s="551">
        <v>138.65028000000001</v>
      </c>
      <c r="AQ1002" s="551">
        <v>11600.8689276</v>
      </c>
      <c r="AR1002" s="551">
        <v>0.89570000000000005</v>
      </c>
    </row>
    <row r="1003" spans="39:44" x14ac:dyDescent="0.25">
      <c r="AM1003" s="550">
        <v>44946</v>
      </c>
      <c r="AN1003" s="551">
        <v>85.02</v>
      </c>
      <c r="AO1003" s="551">
        <v>761430</v>
      </c>
      <c r="AP1003" s="551">
        <v>138.65028000000001</v>
      </c>
      <c r="AQ1003" s="551">
        <v>11788.046805600001</v>
      </c>
      <c r="AR1003" s="551">
        <v>0.91010000000000002</v>
      </c>
    </row>
    <row r="1004" spans="39:44" x14ac:dyDescent="0.25">
      <c r="AM1004" s="550">
        <v>44945</v>
      </c>
      <c r="AN1004" s="551">
        <v>85.35</v>
      </c>
      <c r="AO1004" s="551">
        <v>742287</v>
      </c>
      <c r="AP1004" s="551">
        <v>138.65028000000001</v>
      </c>
      <c r="AQ1004" s="551">
        <v>11833.801398</v>
      </c>
      <c r="AR1004" s="551">
        <v>0.91369999999999996</v>
      </c>
    </row>
    <row r="1005" spans="39:44" x14ac:dyDescent="0.25">
      <c r="AM1005" s="550">
        <v>44944</v>
      </c>
      <c r="AN1005" s="551">
        <v>84.19</v>
      </c>
      <c r="AO1005" s="551">
        <v>1332103</v>
      </c>
      <c r="AP1005" s="551">
        <v>138.65028000000001</v>
      </c>
      <c r="AQ1005" s="551">
        <v>11672.967073200001</v>
      </c>
      <c r="AR1005" s="551">
        <v>0.9012</v>
      </c>
    </row>
    <row r="1006" spans="39:44" x14ac:dyDescent="0.25">
      <c r="AM1006" s="550">
        <v>44943</v>
      </c>
      <c r="AN1006" s="551">
        <v>83.71</v>
      </c>
      <c r="AO1006" s="551">
        <v>571245</v>
      </c>
      <c r="AP1006" s="551">
        <v>138.65028000000001</v>
      </c>
      <c r="AQ1006" s="551">
        <v>11606.414938800001</v>
      </c>
      <c r="AR1006" s="551">
        <v>0.89610000000000001</v>
      </c>
    </row>
    <row r="1007" spans="39:44" x14ac:dyDescent="0.25">
      <c r="AM1007" s="550">
        <v>44942</v>
      </c>
      <c r="AN1007" s="551">
        <v>83.71</v>
      </c>
      <c r="AO1007" s="551">
        <v>571245</v>
      </c>
      <c r="AP1007" s="551">
        <v>138.65028000000001</v>
      </c>
      <c r="AQ1007" s="551">
        <v>11606.414938800001</v>
      </c>
      <c r="AR1007" s="551">
        <v>0.89610000000000001</v>
      </c>
    </row>
    <row r="1008" spans="39:44" x14ac:dyDescent="0.25">
      <c r="AM1008" s="550">
        <v>44941</v>
      </c>
      <c r="AN1008" s="551">
        <v>83.71</v>
      </c>
      <c r="AO1008" s="551">
        <v>571245</v>
      </c>
      <c r="AP1008" s="551">
        <v>138.65028000000001</v>
      </c>
      <c r="AQ1008" s="551">
        <v>11606.414938800001</v>
      </c>
      <c r="AR1008" s="551">
        <v>0.89610000000000001</v>
      </c>
    </row>
    <row r="1009" spans="39:44" x14ac:dyDescent="0.25">
      <c r="AM1009" s="550">
        <v>44940</v>
      </c>
      <c r="AN1009" s="551">
        <v>85.49</v>
      </c>
      <c r="AO1009" s="551">
        <v>478842</v>
      </c>
      <c r="AP1009" s="551">
        <v>138.65028000000001</v>
      </c>
      <c r="AQ1009" s="551">
        <v>11853.2124372</v>
      </c>
      <c r="AR1009" s="551">
        <v>0.91520000000000001</v>
      </c>
    </row>
    <row r="1010" spans="39:44" x14ac:dyDescent="0.25">
      <c r="AM1010" s="550">
        <v>44939</v>
      </c>
      <c r="AN1010" s="551">
        <v>84.95</v>
      </c>
      <c r="AO1010" s="551">
        <v>414508</v>
      </c>
      <c r="AP1010" s="551">
        <v>138.65028000000001</v>
      </c>
      <c r="AQ1010" s="551">
        <v>11778.341286000001</v>
      </c>
      <c r="AR1010" s="551">
        <v>0.90939999999999999</v>
      </c>
    </row>
    <row r="1011" spans="39:44" x14ac:dyDescent="0.25">
      <c r="AM1011" s="550">
        <v>44938</v>
      </c>
      <c r="AN1011" s="551">
        <v>85.24</v>
      </c>
      <c r="AO1011" s="551">
        <v>766109</v>
      </c>
      <c r="AP1011" s="551">
        <v>138.65028000000001</v>
      </c>
      <c r="AQ1011" s="551">
        <v>11818.549867199999</v>
      </c>
      <c r="AR1011" s="551">
        <v>0.91249999999999998</v>
      </c>
    </row>
    <row r="1012" spans="39:44" x14ac:dyDescent="0.25">
      <c r="AM1012" s="550">
        <v>44937</v>
      </c>
      <c r="AN1012" s="551">
        <v>84.69</v>
      </c>
      <c r="AO1012" s="551">
        <v>608390</v>
      </c>
      <c r="AP1012" s="551">
        <v>138.65028000000001</v>
      </c>
      <c r="AQ1012" s="551">
        <v>11742.2922132</v>
      </c>
      <c r="AR1012" s="551">
        <v>0.90659999999999996</v>
      </c>
    </row>
    <row r="1013" spans="39:44" x14ac:dyDescent="0.25">
      <c r="AM1013" s="550">
        <v>44936</v>
      </c>
      <c r="AN1013" s="551">
        <v>85.9</v>
      </c>
      <c r="AO1013" s="551">
        <v>766088</v>
      </c>
      <c r="AP1013" s="551">
        <v>138.65028000000001</v>
      </c>
      <c r="AQ1013" s="551">
        <v>11910.059052000002</v>
      </c>
      <c r="AR1013" s="551">
        <v>0.91949999999999998</v>
      </c>
    </row>
    <row r="1014" spans="39:44" x14ac:dyDescent="0.25">
      <c r="AM1014" s="550">
        <v>44935</v>
      </c>
      <c r="AN1014" s="551">
        <v>85.9</v>
      </c>
      <c r="AO1014" s="551">
        <v>766088</v>
      </c>
      <c r="AP1014" s="551">
        <v>138.65028000000001</v>
      </c>
      <c r="AQ1014" s="551">
        <v>11910.059052000002</v>
      </c>
      <c r="AR1014" s="551">
        <v>0.91949999999999998</v>
      </c>
    </row>
    <row r="1015" spans="39:44" x14ac:dyDescent="0.25">
      <c r="AM1015" s="550">
        <v>44934</v>
      </c>
      <c r="AN1015" s="551">
        <v>85.9</v>
      </c>
      <c r="AO1015" s="551">
        <v>766088</v>
      </c>
      <c r="AP1015" s="551">
        <v>138.65028000000001</v>
      </c>
      <c r="AQ1015" s="551">
        <v>11910.059052000002</v>
      </c>
      <c r="AR1015" s="551">
        <v>0.91949999999999998</v>
      </c>
    </row>
    <row r="1016" spans="39:44" x14ac:dyDescent="0.25">
      <c r="AM1016" s="550">
        <v>44933</v>
      </c>
      <c r="AN1016" s="551">
        <v>85.01</v>
      </c>
      <c r="AO1016" s="551">
        <v>1155027</v>
      </c>
      <c r="AP1016" s="551">
        <v>138.65028000000001</v>
      </c>
      <c r="AQ1016" s="551">
        <v>11786.660302800001</v>
      </c>
      <c r="AR1016" s="551">
        <v>0.91</v>
      </c>
    </row>
    <row r="1017" spans="39:44" x14ac:dyDescent="0.25">
      <c r="AM1017" s="550">
        <v>44932</v>
      </c>
      <c r="AN1017" s="551">
        <v>85</v>
      </c>
      <c r="AO1017" s="551">
        <v>770979</v>
      </c>
      <c r="AP1017" s="551">
        <v>138.65028000000001</v>
      </c>
      <c r="AQ1017" s="551">
        <v>11785.273800000001</v>
      </c>
      <c r="AR1017" s="551">
        <v>0.90990000000000004</v>
      </c>
    </row>
    <row r="1018" spans="39:44" x14ac:dyDescent="0.25">
      <c r="AM1018" s="550">
        <v>44931</v>
      </c>
      <c r="AN1018" s="551">
        <v>82.61</v>
      </c>
      <c r="AO1018" s="551">
        <v>416986</v>
      </c>
      <c r="AP1018" s="551">
        <v>138.65028000000001</v>
      </c>
      <c r="AQ1018" s="551">
        <v>11453.899630800001</v>
      </c>
      <c r="AR1018" s="551">
        <v>0.88429999999999997</v>
      </c>
    </row>
    <row r="1019" spans="39:44" x14ac:dyDescent="0.25">
      <c r="AM1019" s="550">
        <v>44930</v>
      </c>
      <c r="AN1019" s="551">
        <v>82.49</v>
      </c>
      <c r="AO1019" s="551">
        <v>494381</v>
      </c>
      <c r="AP1019" s="551">
        <v>138.65028000000001</v>
      </c>
      <c r="AQ1019" s="551">
        <v>11437.2615972</v>
      </c>
      <c r="AR1019" s="551">
        <v>0.88300000000000001</v>
      </c>
    </row>
    <row r="1020" spans="39:44" x14ac:dyDescent="0.25">
      <c r="AM1020" s="550">
        <v>44929</v>
      </c>
      <c r="AN1020" s="551">
        <v>84.1</v>
      </c>
      <c r="AO1020" s="551">
        <v>235794</v>
      </c>
      <c r="AP1020" s="551">
        <v>138.65028000000001</v>
      </c>
      <c r="AQ1020" s="551">
        <v>11660.488547999999</v>
      </c>
      <c r="AR1020" s="551">
        <v>0.90029999999999999</v>
      </c>
    </row>
    <row r="1021" spans="39:44" x14ac:dyDescent="0.25">
      <c r="AM1021" s="550">
        <v>44928</v>
      </c>
      <c r="AN1021" s="551">
        <v>84.1</v>
      </c>
      <c r="AO1021" s="551">
        <v>235794</v>
      </c>
      <c r="AP1021" s="551">
        <v>138.65028000000001</v>
      </c>
      <c r="AQ1021" s="551">
        <v>11660.488547999999</v>
      </c>
      <c r="AR1021" s="551">
        <v>0.90029999999999999</v>
      </c>
    </row>
    <row r="1022" spans="39:44" x14ac:dyDescent="0.25">
      <c r="AM1022" s="550">
        <v>44927</v>
      </c>
      <c r="AN1022" s="551">
        <v>84.1</v>
      </c>
      <c r="AO1022" s="551">
        <v>235794</v>
      </c>
      <c r="AP1022" s="551">
        <v>138.65028000000001</v>
      </c>
      <c r="AQ1022" s="551">
        <v>11660.488547999999</v>
      </c>
      <c r="AR1022" s="551">
        <v>0.90029999999999999</v>
      </c>
    </row>
    <row r="1023" spans="39:44" x14ac:dyDescent="0.25">
      <c r="AM1023" s="550">
        <v>44926</v>
      </c>
      <c r="AN1023" s="551">
        <v>83.89</v>
      </c>
      <c r="AO1023" s="551">
        <v>816848</v>
      </c>
      <c r="AP1023" s="551">
        <v>138.65028000000001</v>
      </c>
      <c r="AQ1023" s="551">
        <v>11631.371989200001</v>
      </c>
      <c r="AR1023" s="551">
        <v>0.89800000000000002</v>
      </c>
    </row>
    <row r="1024" spans="39:44" x14ac:dyDescent="0.25">
      <c r="AM1024" s="550">
        <v>44925</v>
      </c>
      <c r="AN1024" s="551">
        <v>83.89</v>
      </c>
      <c r="AO1024" s="551">
        <v>816848</v>
      </c>
      <c r="AP1024" s="551">
        <v>138.65028000000001</v>
      </c>
      <c r="AQ1024" s="551">
        <v>11631.371989200001</v>
      </c>
      <c r="AR1024" s="551">
        <v>0.89800000000000002</v>
      </c>
    </row>
    <row r="1025" spans="39:44" x14ac:dyDescent="0.25">
      <c r="AM1025" s="550">
        <v>44924</v>
      </c>
      <c r="AN1025" s="551">
        <v>83.69</v>
      </c>
      <c r="AO1025" s="551">
        <v>1270812</v>
      </c>
      <c r="AP1025" s="551">
        <v>138.65028000000001</v>
      </c>
      <c r="AQ1025" s="551">
        <v>11603.6419332</v>
      </c>
      <c r="AR1025" s="551">
        <v>0.89590000000000003</v>
      </c>
    </row>
    <row r="1026" spans="39:44" x14ac:dyDescent="0.25">
      <c r="AM1026" s="550">
        <v>44923</v>
      </c>
      <c r="AN1026" s="551">
        <v>81.66</v>
      </c>
      <c r="AO1026" s="551">
        <v>930150</v>
      </c>
      <c r="AP1026" s="551">
        <v>138.65028000000001</v>
      </c>
      <c r="AQ1026" s="551">
        <v>11322.181864800001</v>
      </c>
      <c r="AR1026" s="551">
        <v>0.87419999999999998</v>
      </c>
    </row>
    <row r="1027" spans="39:44" x14ac:dyDescent="0.25">
      <c r="AM1027" s="550">
        <v>44922</v>
      </c>
      <c r="AN1027" s="551">
        <v>79.87</v>
      </c>
      <c r="AO1027" s="551">
        <v>801708</v>
      </c>
      <c r="AP1027" s="551">
        <v>138.65028000000001</v>
      </c>
      <c r="AQ1027" s="551">
        <v>11073.997863600001</v>
      </c>
      <c r="AR1027" s="551">
        <v>0.85499999999999998</v>
      </c>
    </row>
    <row r="1028" spans="39:44" x14ac:dyDescent="0.25">
      <c r="AM1028" s="550">
        <v>44921</v>
      </c>
      <c r="AN1028" s="551">
        <v>79.87</v>
      </c>
      <c r="AO1028" s="551">
        <v>801708</v>
      </c>
      <c r="AP1028" s="551">
        <v>138.65028000000001</v>
      </c>
      <c r="AQ1028" s="551">
        <v>11073.997863600001</v>
      </c>
      <c r="AR1028" s="551">
        <v>0.85499999999999998</v>
      </c>
    </row>
    <row r="1029" spans="39:44" x14ac:dyDescent="0.25">
      <c r="AM1029" s="550">
        <v>44920</v>
      </c>
      <c r="AN1029" s="551">
        <v>79.87</v>
      </c>
      <c r="AO1029" s="551">
        <v>801708</v>
      </c>
      <c r="AP1029" s="551">
        <v>138.65028000000001</v>
      </c>
      <c r="AQ1029" s="551">
        <v>11073.997863600001</v>
      </c>
      <c r="AR1029" s="551">
        <v>0.85499999999999998</v>
      </c>
    </row>
    <row r="1030" spans="39:44" x14ac:dyDescent="0.25">
      <c r="AM1030" s="550">
        <v>44919</v>
      </c>
      <c r="AN1030" s="551">
        <v>78.67</v>
      </c>
      <c r="AO1030" s="551">
        <v>538319</v>
      </c>
      <c r="AP1030" s="551">
        <v>138.65028000000001</v>
      </c>
      <c r="AQ1030" s="551">
        <v>10907.617527600001</v>
      </c>
      <c r="AR1030" s="551">
        <v>0.84209999999999996</v>
      </c>
    </row>
    <row r="1031" spans="39:44" x14ac:dyDescent="0.25">
      <c r="AM1031" s="550">
        <v>44918</v>
      </c>
      <c r="AN1031" s="551">
        <v>79.319999999999993</v>
      </c>
      <c r="AO1031" s="551">
        <v>735270</v>
      </c>
      <c r="AP1031" s="551">
        <v>139.64971</v>
      </c>
      <c r="AQ1031" s="551">
        <v>11077.014997199998</v>
      </c>
      <c r="AR1031" s="551">
        <v>0.84909999999999997</v>
      </c>
    </row>
    <row r="1032" spans="39:44" x14ac:dyDescent="0.25">
      <c r="AM1032" s="550">
        <v>44917</v>
      </c>
      <c r="AN1032" s="551">
        <v>79.81</v>
      </c>
      <c r="AO1032" s="551">
        <v>1041229</v>
      </c>
      <c r="AP1032" s="551">
        <v>139.64971</v>
      </c>
      <c r="AQ1032" s="551">
        <v>11145.4433551</v>
      </c>
      <c r="AR1032" s="551">
        <v>0.85440000000000005</v>
      </c>
    </row>
    <row r="1033" spans="39:44" x14ac:dyDescent="0.25">
      <c r="AM1033" s="550">
        <v>44916</v>
      </c>
      <c r="AN1033" s="551">
        <v>78.209999999999994</v>
      </c>
      <c r="AO1033" s="551">
        <v>921570</v>
      </c>
      <c r="AP1033" s="551">
        <v>139.64971</v>
      </c>
      <c r="AQ1033" s="551">
        <v>10922.003819099999</v>
      </c>
      <c r="AR1033" s="551">
        <v>0.83720000000000006</v>
      </c>
    </row>
    <row r="1034" spans="39:44" x14ac:dyDescent="0.25">
      <c r="AM1034" s="550">
        <v>44915</v>
      </c>
      <c r="AN1034" s="551">
        <v>77.650000000000006</v>
      </c>
      <c r="AO1034" s="551">
        <v>895242</v>
      </c>
      <c r="AP1034" s="551">
        <v>139.64971</v>
      </c>
      <c r="AQ1034" s="551">
        <v>10843.7999815</v>
      </c>
      <c r="AR1034" s="551">
        <v>0.83120000000000005</v>
      </c>
    </row>
    <row r="1035" spans="39:44" x14ac:dyDescent="0.25">
      <c r="AM1035" s="550">
        <v>44914</v>
      </c>
      <c r="AN1035" s="551">
        <v>77.650000000000006</v>
      </c>
      <c r="AO1035" s="551">
        <v>895242</v>
      </c>
      <c r="AP1035" s="551">
        <v>139.64971</v>
      </c>
      <c r="AQ1035" s="551">
        <v>10843.7999815</v>
      </c>
      <c r="AR1035" s="551">
        <v>0.83120000000000005</v>
      </c>
    </row>
    <row r="1036" spans="39:44" x14ac:dyDescent="0.25">
      <c r="AM1036" s="550">
        <v>44913</v>
      </c>
      <c r="AN1036" s="551">
        <v>77.650000000000006</v>
      </c>
      <c r="AO1036" s="551">
        <v>895242</v>
      </c>
      <c r="AP1036" s="551">
        <v>139.64971</v>
      </c>
      <c r="AQ1036" s="551">
        <v>10843.7999815</v>
      </c>
      <c r="AR1036" s="551">
        <v>0.83120000000000005</v>
      </c>
    </row>
    <row r="1037" spans="39:44" x14ac:dyDescent="0.25">
      <c r="AM1037" s="550">
        <v>44912</v>
      </c>
      <c r="AN1037" s="551">
        <v>78.489999999999995</v>
      </c>
      <c r="AO1037" s="551">
        <v>882951</v>
      </c>
      <c r="AP1037" s="551">
        <v>139.64971</v>
      </c>
      <c r="AQ1037" s="551">
        <v>10961.105737899999</v>
      </c>
      <c r="AR1037" s="551">
        <v>0.84019999999999995</v>
      </c>
    </row>
    <row r="1038" spans="39:44" x14ac:dyDescent="0.25">
      <c r="AM1038" s="550">
        <v>44911</v>
      </c>
      <c r="AN1038" s="551">
        <v>75.25</v>
      </c>
      <c r="AO1038" s="551">
        <v>612474</v>
      </c>
      <c r="AP1038" s="551">
        <v>139.64971</v>
      </c>
      <c r="AQ1038" s="551">
        <v>10508.6406775</v>
      </c>
      <c r="AR1038" s="551">
        <v>0.80549999999999999</v>
      </c>
    </row>
    <row r="1039" spans="39:44" x14ac:dyDescent="0.25">
      <c r="AM1039" s="550">
        <v>44910</v>
      </c>
      <c r="AN1039" s="551">
        <v>76.73</v>
      </c>
      <c r="AO1039" s="551">
        <v>538753</v>
      </c>
      <c r="AP1039" s="551">
        <v>139.64971</v>
      </c>
      <c r="AQ1039" s="551">
        <v>10715.322248300001</v>
      </c>
      <c r="AR1039" s="551">
        <v>0.82140000000000002</v>
      </c>
    </row>
    <row r="1040" spans="39:44" x14ac:dyDescent="0.25">
      <c r="AM1040" s="550">
        <v>44909</v>
      </c>
      <c r="AN1040" s="551">
        <v>76.63</v>
      </c>
      <c r="AO1040" s="551">
        <v>703074</v>
      </c>
      <c r="AP1040" s="551">
        <v>139.64971</v>
      </c>
      <c r="AQ1040" s="551">
        <v>10701.3572773</v>
      </c>
      <c r="AR1040" s="551">
        <v>0.82030000000000003</v>
      </c>
    </row>
    <row r="1041" spans="39:44" x14ac:dyDescent="0.25">
      <c r="AM1041" s="550">
        <v>44908</v>
      </c>
      <c r="AN1041" s="551">
        <v>75.87</v>
      </c>
      <c r="AO1041" s="551">
        <v>614636</v>
      </c>
      <c r="AP1041" s="551">
        <v>139.64971</v>
      </c>
      <c r="AQ1041" s="551">
        <v>10595.223497700001</v>
      </c>
      <c r="AR1041" s="551">
        <v>0.81220000000000003</v>
      </c>
    </row>
    <row r="1042" spans="39:44" x14ac:dyDescent="0.25">
      <c r="AM1042" s="550">
        <v>44907</v>
      </c>
      <c r="AN1042" s="551">
        <v>75.87</v>
      </c>
      <c r="AO1042" s="551">
        <v>614636</v>
      </c>
      <c r="AP1042" s="551">
        <v>139.64971</v>
      </c>
      <c r="AQ1042" s="551">
        <v>10595.223497700001</v>
      </c>
      <c r="AR1042" s="551">
        <v>0.81220000000000003</v>
      </c>
    </row>
    <row r="1043" spans="39:44" x14ac:dyDescent="0.25">
      <c r="AM1043" s="550">
        <v>44906</v>
      </c>
      <c r="AN1043" s="551">
        <v>75.87</v>
      </c>
      <c r="AO1043" s="551">
        <v>614636</v>
      </c>
      <c r="AP1043" s="551">
        <v>139.64971</v>
      </c>
      <c r="AQ1043" s="551">
        <v>10595.223497700001</v>
      </c>
      <c r="AR1043" s="551">
        <v>0.81220000000000003</v>
      </c>
    </row>
    <row r="1044" spans="39:44" x14ac:dyDescent="0.25">
      <c r="AM1044" s="550">
        <v>44905</v>
      </c>
      <c r="AN1044" s="551">
        <v>74.66</v>
      </c>
      <c r="AO1044" s="551">
        <v>700294</v>
      </c>
      <c r="AP1044" s="551">
        <v>139.64971</v>
      </c>
      <c r="AQ1044" s="551">
        <v>10426.2473486</v>
      </c>
      <c r="AR1044" s="551">
        <v>0.79920000000000002</v>
      </c>
    </row>
    <row r="1045" spans="39:44" x14ac:dyDescent="0.25">
      <c r="AM1045" s="550">
        <v>44904</v>
      </c>
      <c r="AN1045" s="551">
        <v>73.72</v>
      </c>
      <c r="AO1045" s="551">
        <v>604047</v>
      </c>
      <c r="AP1045" s="551">
        <v>139.64971</v>
      </c>
      <c r="AQ1045" s="551">
        <v>10294.976621199999</v>
      </c>
      <c r="AR1045" s="551">
        <v>0.78920000000000001</v>
      </c>
    </row>
    <row r="1046" spans="39:44" x14ac:dyDescent="0.25">
      <c r="AM1046" s="550">
        <v>44903</v>
      </c>
      <c r="AN1046" s="551">
        <v>75.73</v>
      </c>
      <c r="AO1046" s="551">
        <v>436995</v>
      </c>
      <c r="AP1046" s="551">
        <v>139.64971</v>
      </c>
      <c r="AQ1046" s="551">
        <v>10575.672538300001</v>
      </c>
      <c r="AR1046" s="551">
        <v>0.81069999999999998</v>
      </c>
    </row>
    <row r="1047" spans="39:44" x14ac:dyDescent="0.25">
      <c r="AM1047" s="550">
        <v>44902</v>
      </c>
      <c r="AN1047" s="551">
        <v>75.28</v>
      </c>
      <c r="AO1047" s="551">
        <v>497520</v>
      </c>
      <c r="AP1047" s="551">
        <v>139.64971</v>
      </c>
      <c r="AQ1047" s="551">
        <v>10512.830168799999</v>
      </c>
      <c r="AR1047" s="551">
        <v>0.80589999999999995</v>
      </c>
    </row>
    <row r="1048" spans="39:44" x14ac:dyDescent="0.25">
      <c r="AM1048" s="550">
        <v>44901</v>
      </c>
      <c r="AN1048" s="551">
        <v>75.599999999999994</v>
      </c>
      <c r="AO1048" s="551">
        <v>389844</v>
      </c>
      <c r="AP1048" s="551">
        <v>139.64971</v>
      </c>
      <c r="AQ1048" s="551">
        <v>10557.518075999998</v>
      </c>
      <c r="AR1048" s="551">
        <v>0.80930000000000002</v>
      </c>
    </row>
    <row r="1049" spans="39:44" x14ac:dyDescent="0.25">
      <c r="AM1049" s="550">
        <v>44900</v>
      </c>
      <c r="AN1049" s="551">
        <v>75.599999999999994</v>
      </c>
      <c r="AO1049" s="551">
        <v>389844</v>
      </c>
      <c r="AP1049" s="551">
        <v>139.64971</v>
      </c>
      <c r="AQ1049" s="551">
        <v>10557.518075999998</v>
      </c>
      <c r="AR1049" s="551">
        <v>0.80930000000000002</v>
      </c>
    </row>
    <row r="1050" spans="39:44" x14ac:dyDescent="0.25">
      <c r="AM1050" s="550">
        <v>44899</v>
      </c>
      <c r="AN1050" s="551">
        <v>75.599999999999994</v>
      </c>
      <c r="AO1050" s="551">
        <v>389844</v>
      </c>
      <c r="AP1050" s="551">
        <v>139.64971</v>
      </c>
      <c r="AQ1050" s="551">
        <v>10557.518075999998</v>
      </c>
      <c r="AR1050" s="551">
        <v>0.80930000000000002</v>
      </c>
    </row>
    <row r="1051" spans="39:44" x14ac:dyDescent="0.25">
      <c r="AM1051" s="550">
        <v>44898</v>
      </c>
      <c r="AN1051" s="551">
        <v>73.86</v>
      </c>
      <c r="AO1051" s="551">
        <v>419592</v>
      </c>
      <c r="AP1051" s="551">
        <v>139.64971</v>
      </c>
      <c r="AQ1051" s="551">
        <v>10314.527580599999</v>
      </c>
      <c r="AR1051" s="551">
        <v>0.79069999999999996</v>
      </c>
    </row>
  </sheetData>
  <mergeCells count="5">
    <mergeCell ref="C3:H3"/>
    <mergeCell ref="J3:O3"/>
    <mergeCell ref="Y3:AD3"/>
    <mergeCell ref="AF3:AK3"/>
    <mergeCell ref="R3:W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
    <tabColor theme="4" tint="-0.499984740745262"/>
  </sheetPr>
  <dimension ref="A2:G10"/>
  <sheetViews>
    <sheetView showGridLines="0" zoomScale="33" workbookViewId="0">
      <selection activeCell="P34" sqref="P34"/>
    </sheetView>
  </sheetViews>
  <sheetFormatPr defaultColWidth="8.796875" defaultRowHeight="13.8" x14ac:dyDescent="0.25"/>
  <sheetData>
    <row r="2" spans="1:7" x14ac:dyDescent="0.25">
      <c r="B2" t="str">
        <f>IF(C2&gt;0, "Upside","Downside")</f>
        <v>Upside</v>
      </c>
      <c r="C2" s="9">
        <v>0.35</v>
      </c>
      <c r="D2" t="str">
        <f>IF(C2&gt;15%,"Buy",IF(C2&lt;0,"Sell","Hold"))</f>
        <v>Buy</v>
      </c>
      <c r="E2" s="9">
        <f>1-SQRT(C2^2)</f>
        <v>0.65</v>
      </c>
    </row>
    <row r="6" spans="1:7" x14ac:dyDescent="0.25">
      <c r="A6" t="s">
        <v>814</v>
      </c>
      <c r="B6">
        <v>2015</v>
      </c>
      <c r="C6">
        <v>2016</v>
      </c>
      <c r="D6">
        <v>2017</v>
      </c>
      <c r="E6">
        <v>2018</v>
      </c>
      <c r="F6">
        <v>2019</v>
      </c>
      <c r="G6">
        <v>2020</v>
      </c>
    </row>
    <row r="7" spans="1:7" x14ac:dyDescent="0.25">
      <c r="A7" t="s">
        <v>433</v>
      </c>
      <c r="B7">
        <v>1200</v>
      </c>
      <c r="C7">
        <f>B7*(1+C8)</f>
        <v>1284</v>
      </c>
      <c r="D7">
        <f>C7*(1+D8)</f>
        <v>1476.6</v>
      </c>
      <c r="E7">
        <f>D7*(1+E8)</f>
        <v>1447.068</v>
      </c>
      <c r="F7">
        <f>E7*(1+F8)</f>
        <v>1476.00936</v>
      </c>
      <c r="G7">
        <f>F7*(1+G8)</f>
        <v>1107.00702</v>
      </c>
    </row>
    <row r="8" spans="1:7" x14ac:dyDescent="0.25">
      <c r="A8" t="s">
        <v>431</v>
      </c>
      <c r="B8" s="9">
        <v>0</v>
      </c>
      <c r="C8" s="9">
        <v>7.0000000000000007E-2</v>
      </c>
      <c r="D8" s="9">
        <v>0.15</v>
      </c>
      <c r="E8" s="9">
        <v>-0.02</v>
      </c>
      <c r="F8" s="9">
        <v>0.02</v>
      </c>
      <c r="G8" s="9">
        <v>-0.25</v>
      </c>
    </row>
    <row r="9" spans="1:7" x14ac:dyDescent="0.25">
      <c r="A9" t="s">
        <v>583</v>
      </c>
    </row>
    <row r="10" spans="1:7" x14ac:dyDescent="0.25">
      <c r="A10" t="s">
        <v>430</v>
      </c>
      <c r="B10">
        <v>677</v>
      </c>
      <c r="C10">
        <v>845</v>
      </c>
      <c r="D10">
        <v>1020</v>
      </c>
      <c r="E10">
        <v>1152</v>
      </c>
      <c r="F10">
        <v>1212</v>
      </c>
      <c r="G10">
        <v>681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feb2c5ef200143b90f0b07231141d1ea">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b6e695611f8519c80c089278c6250c4"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79CB92-5331-4E6D-BCCA-3ED810C77402}">
  <ds:schemaRefs>
    <ds:schemaRef ds:uri="http://schemas.openxmlformats.org/package/2006/metadata/core-properties"/>
    <ds:schemaRef ds:uri="http://purl.org/dc/terms/"/>
    <ds:schemaRef ds:uri="http://schemas.microsoft.com/office/infopath/2007/PartnerControls"/>
    <ds:schemaRef ds:uri="8c89d0e4-a8d9-42ba-a773-c59a56f7723e"/>
    <ds:schemaRef ds:uri="http://schemas.microsoft.com/office/2006/documentManagement/types"/>
    <ds:schemaRef ds:uri="http://purl.org/dc/dcmitype/"/>
    <ds:schemaRef ds:uri="http://purl.org/dc/elements/1.1/"/>
    <ds:schemaRef ds:uri="6ba73c8a-1af7-4183-b158-1cd1291da2b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4BB988D-8D01-4A93-B497-E21446BB3F17}">
  <ds:schemaRefs>
    <ds:schemaRef ds:uri="http://schemas.microsoft.com/sharepoint/v3/contenttype/forms"/>
  </ds:schemaRefs>
</ds:datastoreItem>
</file>

<file path=customXml/itemProps3.xml><?xml version="1.0" encoding="utf-8"?>
<ds:datastoreItem xmlns:ds="http://schemas.openxmlformats.org/officeDocument/2006/customXml" ds:itemID="{0CD5E00D-26E0-4A7F-ACC2-7551AFA6F3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Key Info</vt:lpstr>
      <vt:lpstr>Industry</vt:lpstr>
      <vt:lpstr>ESG</vt:lpstr>
      <vt:lpstr>Segments</vt:lpstr>
      <vt:lpstr>Peers</vt:lpstr>
      <vt:lpstr>Trading Comps</vt:lpstr>
      <vt:lpstr>WACC</vt:lpstr>
      <vt:lpstr>FCFF</vt:lpstr>
      <vt:lpstr>LBO</vt:lpstr>
      <vt:lpstr>Sensitivity</vt:lpstr>
      <vt:lpstr>IS</vt:lpstr>
      <vt:lpstr>BS</vt:lpstr>
      <vt:lpstr>CF</vt:lpstr>
      <vt:lpstr>Error Check</vt:lpstr>
      <vt:lpstr>Inputs</vt:lpstr>
      <vt:lpstr>Stock Data</vt:lpstr>
      <vt:lpstr>Dashboard Data</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David Li</cp:lastModifiedBy>
  <cp:revision/>
  <dcterms:created xsi:type="dcterms:W3CDTF">2025-02-25T16:23:47Z</dcterms:created>
  <dcterms:modified xsi:type="dcterms:W3CDTF">2025-10-24T23:25:46Z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