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2.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Team 13 - Marta Ferreiro/"/>
    </mc:Choice>
  </mc:AlternateContent>
  <xr:revisionPtr revIDLastSave="1216" documentId="13_ncr:1_{3B3F585E-75F7-468F-8DED-D38B998AE0A6}" xr6:coauthVersionLast="47" xr6:coauthVersionMax="47" xr10:uidLastSave="{578790C4-DFBC-43A8-BAB3-F9E92C66C4CA}"/>
  <bookViews>
    <workbookView xWindow="-108" yWindow="-108" windowWidth="23256" windowHeight="12456" tabRatio="731" firstSheet="4" activeTab="4" xr2:uid="{00000000-000D-0000-FFFF-FFFF00000000}"/>
  </bookViews>
  <sheets>
    <sheet name="Dashboard" sheetId="66" r:id="rId1"/>
    <sheet name="Key Info" sheetId="85" r:id="rId2"/>
    <sheet name="Industry" sheetId="3" r:id="rId3"/>
    <sheet name="ESG" sheetId="2" r:id="rId4"/>
    <sheet name="Segments" sheetId="84" r:id="rId5"/>
    <sheet name="Peers" sheetId="89" r:id="rId6"/>
    <sheet name="Trading Comps" sheetId="87" r:id="rId7"/>
    <sheet name="WACC" sheetId="6" r:id="rId8"/>
    <sheet name="FCFF" sheetId="78" r:id="rId9"/>
    <sheet name="LBO" sheetId="65" r:id="rId10"/>
    <sheet name="Sensitivity" sheetId="91" r:id="rId11"/>
    <sheet name="IS" sheetId="74" r:id="rId12"/>
    <sheet name="BS" sheetId="76" r:id="rId13"/>
    <sheet name="CF" sheetId="77" r:id="rId14"/>
    <sheet name="Error Check" sheetId="79" r:id="rId15"/>
    <sheet name="Inputs" sheetId="83" r:id="rId16"/>
    <sheet name="Stock Data" sheetId="86" r:id="rId17"/>
  </sheets>
  <definedNames>
    <definedName name="COOLFUCNTION" comment="No description available" localSheetId="12">_xlfn.LAMBDA(_xldudf_BOARDFLARE_EXEC("workbook-settings:coolfucntion"))</definedName>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2" hidden="1">{"'Sheet1'!$A$1:$H$145"}</definedName>
    <definedName name="HTML_Control" localSheetId="13" hidden="1">{"'Sheet1'!$A$1:$H$145"}</definedName>
    <definedName name="HTML_Control" localSheetId="14" hidden="1">{"'Sheet1'!$A$1:$H$145"}</definedName>
    <definedName name="HTML_Control" localSheetId="3" hidden="1">{"'Sheet1'!$A$1:$H$145"}</definedName>
    <definedName name="HTML_Control" localSheetId="8" hidden="1">{"'Sheet1'!$A$1:$H$145"}</definedName>
    <definedName name="HTML_Control" localSheetId="2" hidden="1">{"'Sheet1'!$A$1:$H$145"}</definedName>
    <definedName name="HTML_Control" localSheetId="11" hidden="1">{"'Sheet1'!$A$1:$H$145"}</definedName>
    <definedName name="HTML_Control" localSheetId="9" hidden="1">{"'Sheet1'!$A$1:$H$145"}</definedName>
    <definedName name="HTML_Control" localSheetId="4"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2">#REF!</definedName>
    <definedName name="Sectors" localSheetId="13">#REF!</definedName>
    <definedName name="Sectors" localSheetId="14">#REF!</definedName>
    <definedName name="Sectors" localSheetId="3">#REF!</definedName>
    <definedName name="Sectors" localSheetId="8">#REF!</definedName>
    <definedName name="Sectors" localSheetId="11">#REF!</definedName>
    <definedName name="Sectors" localSheetId="4">#REF!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84" l="1"/>
  <c r="K20" i="84"/>
  <c r="L20" i="84"/>
  <c r="M20" i="84"/>
  <c r="N20" i="84"/>
  <c r="P20" i="84"/>
  <c r="Q20" i="84"/>
  <c r="R20" i="84"/>
  <c r="S20" i="84"/>
  <c r="T20" i="84"/>
  <c r="V20" i="84"/>
  <c r="W20" i="84"/>
  <c r="X20" i="84"/>
  <c r="Y20" i="84"/>
  <c r="Z20" i="84"/>
  <c r="AB20" i="84"/>
  <c r="AC20" i="84"/>
  <c r="AD20" i="84"/>
  <c r="AE20" i="84"/>
  <c r="AF20" i="84"/>
  <c r="H20" i="84"/>
  <c r="H17" i="84"/>
  <c r="X21" i="78"/>
  <c r="AF31" i="78"/>
  <c r="AE21" i="78"/>
  <c r="D31" i="78"/>
  <c r="E31" i="78"/>
  <c r="F31" i="78"/>
  <c r="G31" i="78"/>
  <c r="H31" i="78"/>
  <c r="J31" i="78"/>
  <c r="K31" i="78"/>
  <c r="L31" i="78"/>
  <c r="M31" i="78"/>
  <c r="N31" i="78"/>
  <c r="P31" i="78"/>
  <c r="Q31" i="78"/>
  <c r="R31" i="78"/>
  <c r="S31" i="78"/>
  <c r="T31" i="78"/>
  <c r="V31" i="78"/>
  <c r="W31" i="78"/>
  <c r="D37" i="78"/>
  <c r="E22" i="74"/>
  <c r="F22" i="74"/>
  <c r="G22" i="74"/>
  <c r="H22" i="74"/>
  <c r="I22" i="74"/>
  <c r="J22" i="74"/>
  <c r="K22" i="74"/>
  <c r="L22" i="74"/>
  <c r="M22" i="74"/>
  <c r="N22" i="74"/>
  <c r="O22" i="74"/>
  <c r="P22" i="74"/>
  <c r="Q22" i="74"/>
  <c r="R22" i="74"/>
  <c r="S22" i="74"/>
  <c r="T22" i="74"/>
  <c r="U22" i="74"/>
  <c r="V22" i="74"/>
  <c r="W22" i="74"/>
  <c r="AA22" i="74"/>
  <c r="AG22" i="74"/>
  <c r="AI22" i="74"/>
  <c r="D22" i="74"/>
  <c r="E65" i="74"/>
  <c r="F65" i="74"/>
  <c r="G65" i="74"/>
  <c r="H65" i="74"/>
  <c r="I65" i="74"/>
  <c r="J65" i="74"/>
  <c r="K65" i="74"/>
  <c r="L65" i="74"/>
  <c r="M65" i="74"/>
  <c r="N65" i="74"/>
  <c r="O65" i="74"/>
  <c r="P65" i="74"/>
  <c r="Q65" i="74"/>
  <c r="R65" i="74"/>
  <c r="S65" i="74"/>
  <c r="T65" i="74"/>
  <c r="U65" i="74"/>
  <c r="V65" i="74"/>
  <c r="W65" i="74"/>
  <c r="AA65" i="74"/>
  <c r="AG65" i="74"/>
  <c r="AI65" i="74"/>
  <c r="K64" i="74"/>
  <c r="L64" i="74"/>
  <c r="M64" i="74"/>
  <c r="N64" i="74"/>
  <c r="O64" i="74"/>
  <c r="P64" i="74"/>
  <c r="Q64" i="74"/>
  <c r="R64" i="74"/>
  <c r="S64" i="74"/>
  <c r="T64" i="74"/>
  <c r="U64" i="74"/>
  <c r="V64" i="74"/>
  <c r="W64" i="74"/>
  <c r="AA64" i="74"/>
  <c r="AG64" i="74"/>
  <c r="AI64" i="74"/>
  <c r="E64" i="74"/>
  <c r="F64" i="74"/>
  <c r="G64" i="74"/>
  <c r="H64" i="74"/>
  <c r="I64" i="74"/>
  <c r="J64" i="74"/>
  <c r="D65" i="74"/>
  <c r="D64" i="74"/>
  <c r="E28" i="74"/>
  <c r="F28" i="74"/>
  <c r="G28" i="74"/>
  <c r="H28" i="74"/>
  <c r="I28" i="74"/>
  <c r="J28" i="74"/>
  <c r="K28" i="74"/>
  <c r="L28" i="74"/>
  <c r="M28" i="74"/>
  <c r="N28" i="74"/>
  <c r="O28" i="74"/>
  <c r="P28" i="74"/>
  <c r="Q28" i="74"/>
  <c r="R28" i="74"/>
  <c r="S28" i="74"/>
  <c r="T28" i="74"/>
  <c r="U28" i="74"/>
  <c r="V28" i="74"/>
  <c r="W28" i="74"/>
  <c r="AA28" i="74"/>
  <c r="AG28" i="74"/>
  <c r="AI28" i="74"/>
  <c r="D28" i="74"/>
  <c r="AI99" i="78"/>
  <c r="AK99" i="78"/>
  <c r="M174" i="83"/>
  <c r="M175" i="83"/>
  <c r="M173" i="83"/>
  <c r="M172" i="83"/>
  <c r="M176" i="83"/>
  <c r="M171" i="83"/>
  <c r="I174" i="83"/>
  <c r="I171" i="83"/>
  <c r="I176" i="83"/>
  <c r="H174" i="83"/>
  <c r="I175" i="83"/>
  <c r="H172" i="83"/>
  <c r="I172" i="83"/>
  <c r="H176" i="83"/>
  <c r="I173" i="83"/>
  <c r="H175" i="83"/>
  <c r="H171" i="83"/>
  <c r="H173" i="83"/>
  <c r="G30" i="87"/>
  <c r="F40" i="87"/>
  <c r="G29" i="87"/>
  <c r="G16" i="87"/>
  <c r="F18" i="87"/>
  <c r="G15" i="87"/>
  <c r="F19" i="87"/>
  <c r="F16" i="87"/>
  <c r="G39" i="87"/>
  <c r="G28" i="87"/>
  <c r="F30" i="87"/>
  <c r="F29" i="87"/>
  <c r="F39" i="87"/>
  <c r="F28" i="87"/>
  <c r="F15" i="87"/>
  <c r="G27" i="87"/>
  <c r="F27" i="87"/>
  <c r="G19" i="87"/>
  <c r="G40" i="87"/>
  <c r="G18" i="87"/>
  <c r="K176" i="83"/>
  <c r="K175" i="83"/>
  <c r="K172" i="83"/>
  <c r="K173" i="83"/>
  <c r="K171" i="83"/>
  <c r="K174" i="83"/>
  <c r="N171" i="83"/>
  <c r="N175" i="83"/>
  <c r="N172" i="83"/>
  <c r="N176" i="83"/>
  <c r="N174" i="83"/>
  <c r="N173" i="83"/>
  <c r="L171" i="83"/>
  <c r="L173" i="83"/>
  <c r="L175" i="83"/>
  <c r="L176" i="83"/>
  <c r="L174" i="83"/>
  <c r="L172" i="83"/>
  <c r="F31" i="87"/>
  <c r="F17" i="87"/>
  <c r="G17" i="87"/>
  <c r="G43" i="87"/>
  <c r="F43" i="87"/>
  <c r="F41" i="87"/>
  <c r="F42" i="87"/>
  <c r="G31" i="87"/>
  <c r="G42" i="87"/>
  <c r="G41" i="87"/>
  <c r="J174" i="83"/>
  <c r="J171" i="83"/>
  <c r="J176" i="83"/>
  <c r="J175" i="83"/>
  <c r="J172" i="83"/>
  <c r="J173" i="83"/>
  <c r="G171" i="83"/>
  <c r="G172" i="83"/>
  <c r="G173" i="83"/>
  <c r="G175" i="83"/>
  <c r="G176" i="83"/>
  <c r="G174" i="83"/>
  <c r="R28" i="89" a="1"/>
  <c r="R28" i="89" l="1"/>
  <c r="R78" i="89" a="1"/>
  <c r="R78" i="89"/>
  <c r="R60" i="89" a="1"/>
  <c r="R60" i="89"/>
  <c r="R33" i="89" a="1"/>
  <c r="R33" i="89"/>
  <c r="R52" i="89" a="1"/>
  <c r="R52" i="89"/>
  <c r="R35" i="89" a="1"/>
  <c r="R35" i="89"/>
  <c r="E43" i="87"/>
  <c r="R43" i="89" a="1"/>
  <c r="R43" i="89"/>
  <c r="T43" i="87"/>
  <c r="R62" i="89" a="1"/>
  <c r="R62" i="89"/>
  <c r="R45" i="89"/>
  <c r="R44" i="89"/>
  <c r="R76" i="89" a="1"/>
  <c r="R76" i="89"/>
  <c r="R27" i="89" a="1"/>
  <c r="R27" i="89"/>
  <c r="D43" i="87"/>
  <c r="R63" i="89" a="1"/>
  <c r="R63" i="89"/>
  <c r="R67" i="89" a="1"/>
  <c r="R67" i="89"/>
  <c r="R74" i="89" a="1"/>
  <c r="R74" i="89"/>
  <c r="R73" i="89" a="1"/>
  <c r="R73" i="89"/>
  <c r="R23" i="89" a="1"/>
  <c r="R23" i="89"/>
  <c r="R89" i="89" a="1"/>
  <c r="R89" i="89"/>
  <c r="R53" i="89" a="1"/>
  <c r="R53" i="89"/>
  <c r="R75" i="89" a="1"/>
  <c r="R75" i="89"/>
  <c r="N25" i="83"/>
  <c r="R25" i="89" a="1"/>
  <c r="R25" i="89"/>
  <c r="R51" i="89" a="1"/>
  <c r="R51" i="89"/>
  <c r="R19" i="89" a="1"/>
  <c r="R19" i="89"/>
  <c r="R49" i="89" a="1"/>
  <c r="R49" i="89"/>
  <c r="R90" i="89" a="1"/>
  <c r="R90" i="89"/>
  <c r="R32" i="89" a="1"/>
  <c r="R32" i="89"/>
  <c r="R83" i="89" a="1"/>
  <c r="R83" i="89"/>
  <c r="R68" i="89" a="1"/>
  <c r="R68" i="89"/>
  <c r="R37" i="89" a="1"/>
  <c r="R37" i="89"/>
  <c r="R41" i="89" a="1"/>
  <c r="R41" i="89"/>
  <c r="R59" i="89" a="1"/>
  <c r="R59" i="89"/>
  <c r="C43" i="87"/>
  <c r="R24" i="89" a="1"/>
  <c r="R24" i="89"/>
  <c r="R79" i="89" a="1"/>
  <c r="R79" i="89"/>
  <c r="R50" i="89" a="1"/>
  <c r="R50" i="89"/>
  <c r="R26" i="89" a="1"/>
  <c r="R26" i="89"/>
  <c r="R84" i="89" a="1"/>
  <c r="R84" i="89"/>
  <c r="R42" i="89" a="1"/>
  <c r="R42" i="89"/>
  <c r="R55" i="89" a="1"/>
  <c r="R55" i="89"/>
  <c r="R61" i="89" a="1"/>
  <c r="R61" i="89"/>
  <c r="R54" i="89" a="1"/>
  <c r="R54" i="89"/>
  <c r="R34" i="89" a="1"/>
  <c r="R34" i="89"/>
  <c r="R88" i="89" a="1"/>
  <c r="R88" i="89"/>
  <c r="R36" i="89" a="1"/>
  <c r="R36" i="89"/>
  <c r="R69" i="89" a="1"/>
  <c r="R69" i="89"/>
  <c r="R77" i="89" a="1"/>
  <c r="R77" i="89"/>
  <c r="Z43" i="87"/>
  <c r="J43" i="87"/>
  <c r="W43" i="87"/>
  <c r="N43" i="87"/>
  <c r="S43" i="87"/>
  <c r="L43" i="87"/>
  <c r="Q43" i="87"/>
  <c r="X43" i="87"/>
  <c r="O43" i="87"/>
  <c r="K43" i="87"/>
  <c r="P43" i="87"/>
  <c r="I43" i="87"/>
  <c r="R15" i="89"/>
  <c r="V43" i="87"/>
  <c r="M43" i="87"/>
  <c r="R91" i="89"/>
  <c r="Q23" i="89" a="1"/>
  <c r="Q23" i="89"/>
  <c r="Q45" i="89"/>
  <c r="Q44" i="89"/>
  <c r="Q60" i="89" a="1"/>
  <c r="Q60" i="89"/>
  <c r="Q75" i="89" a="1"/>
  <c r="Q75" i="89"/>
  <c r="Q62" i="89" a="1"/>
  <c r="Q62" i="89"/>
  <c r="N24" i="83"/>
  <c r="C42" i="87"/>
  <c r="Q33" i="89" a="1"/>
  <c r="Q33" i="89"/>
  <c r="Q28" i="89" a="1"/>
  <c r="Q28" i="89"/>
  <c r="Q84" i="89" a="1"/>
  <c r="Q84" i="89"/>
  <c r="Q83" i="89" a="1"/>
  <c r="Q83" i="89"/>
  <c r="Q49" i="89" a="1"/>
  <c r="Q49" i="89"/>
  <c r="Q34" i="89" a="1"/>
  <c r="Q34" i="89"/>
  <c r="Q63" i="89" a="1"/>
  <c r="Q63" i="89"/>
  <c r="D42" i="87"/>
  <c r="Q42" i="89" a="1"/>
  <c r="Q42" i="89"/>
  <c r="Q19" i="89" a="1"/>
  <c r="Q19" i="89"/>
  <c r="Q43" i="89" a="1"/>
  <c r="Q43" i="89"/>
  <c r="Q78" i="89" a="1"/>
  <c r="Q78" i="89"/>
  <c r="E42" i="87"/>
  <c r="Q76" i="89" a="1"/>
  <c r="Q76" i="89"/>
  <c r="Q79" i="89" a="1"/>
  <c r="Q79" i="89"/>
  <c r="Q55" i="89" a="1"/>
  <c r="Q55" i="89"/>
  <c r="Q54" i="89" a="1"/>
  <c r="Q54" i="89"/>
  <c r="Q41" i="89" a="1"/>
  <c r="Q41" i="89"/>
  <c r="Q37" i="89" a="1"/>
  <c r="Q37" i="89"/>
  <c r="Q68" i="89" a="1"/>
  <c r="Q68" i="89"/>
  <c r="Q24" i="89" a="1"/>
  <c r="Q24" i="89"/>
  <c r="T42" i="87"/>
  <c r="Q73" i="89" a="1"/>
  <c r="Q73" i="89"/>
  <c r="Q88" i="89" a="1"/>
  <c r="Q88" i="89"/>
  <c r="Q50" i="89" a="1"/>
  <c r="Q50" i="89"/>
  <c r="Q35" i="89" a="1"/>
  <c r="Q35" i="89"/>
  <c r="Q51" i="89" a="1"/>
  <c r="Q51" i="89"/>
  <c r="Q25" i="89" a="1"/>
  <c r="Q25" i="89"/>
  <c r="Q90" i="89" a="1"/>
  <c r="Q90" i="89"/>
  <c r="Q89" i="89" a="1"/>
  <c r="Q89" i="89"/>
  <c r="Q61" i="89" a="1"/>
  <c r="Q61" i="89"/>
  <c r="Q59" i="89" a="1"/>
  <c r="Q59" i="89"/>
  <c r="Q74" i="89" a="1"/>
  <c r="Q74" i="89"/>
  <c r="Q27" i="89" a="1"/>
  <c r="Q27" i="89"/>
  <c r="Q69" i="89" a="1"/>
  <c r="Q69" i="89"/>
  <c r="Q77" i="89" a="1"/>
  <c r="Q77" i="89"/>
  <c r="Q67" i="89" a="1"/>
  <c r="Q67" i="89"/>
  <c r="Q53" i="89" a="1"/>
  <c r="Q53" i="89"/>
  <c r="Q52" i="89" a="1"/>
  <c r="Q52" i="89"/>
  <c r="Q26" i="89" a="1"/>
  <c r="Q26" i="89"/>
  <c r="Q36" i="89" a="1"/>
  <c r="Q36" i="89"/>
  <c r="Q32" i="89" a="1"/>
  <c r="Q32" i="89"/>
  <c r="Q42" i="87"/>
  <c r="Z42" i="87"/>
  <c r="Q15" i="89"/>
  <c r="J42" i="87"/>
  <c r="M42" i="87"/>
  <c r="V42" i="87"/>
  <c r="K42" i="87"/>
  <c r="N42" i="87"/>
  <c r="S42" i="87"/>
  <c r="L42" i="87"/>
  <c r="X42" i="87"/>
  <c r="P42" i="87"/>
  <c r="W42" i="87"/>
  <c r="O42" i="87"/>
  <c r="I42" i="87"/>
  <c r="Q91" i="89"/>
  <c r="T41" i="87"/>
  <c r="P76" i="89" a="1"/>
  <c r="P76" i="89"/>
  <c r="P53" i="89" a="1"/>
  <c r="P53" i="89"/>
  <c r="P90" i="89" a="1"/>
  <c r="P90" i="89"/>
  <c r="P83" i="89" a="1"/>
  <c r="P83" i="89"/>
  <c r="P45" i="89"/>
  <c r="P44" i="89"/>
  <c r="P63" i="89" a="1"/>
  <c r="P63" i="89"/>
  <c r="P75" i="89" a="1"/>
  <c r="P75" i="89"/>
  <c r="P88" i="89" a="1"/>
  <c r="P88" i="89"/>
  <c r="P67" i="89" a="1"/>
  <c r="P67" i="89"/>
  <c r="P42" i="89" a="1"/>
  <c r="P42" i="89"/>
  <c r="P89" i="89" a="1"/>
  <c r="P89" i="89"/>
  <c r="P25" i="89" a="1"/>
  <c r="P25" i="89"/>
  <c r="P36" i="89" a="1"/>
  <c r="P36" i="89"/>
  <c r="P84" i="89" a="1"/>
  <c r="P84" i="89"/>
  <c r="P78" i="89" a="1"/>
  <c r="P78" i="89"/>
  <c r="P27" i="89" a="1"/>
  <c r="P27" i="89"/>
  <c r="P37" i="89" a="1"/>
  <c r="P37" i="89"/>
  <c r="P61" i="89" a="1"/>
  <c r="P61" i="89"/>
  <c r="P54" i="89" a="1"/>
  <c r="P54" i="89"/>
  <c r="P35" i="89" a="1"/>
  <c r="P35" i="89"/>
  <c r="P34" i="89" a="1"/>
  <c r="P34" i="89"/>
  <c r="P41" i="89" a="1"/>
  <c r="P41" i="89"/>
  <c r="P32" i="89" a="1"/>
  <c r="P32" i="89"/>
  <c r="P33" i="89" a="1"/>
  <c r="P33" i="89"/>
  <c r="P79" i="89" a="1"/>
  <c r="P79" i="89"/>
  <c r="N23" i="83"/>
  <c r="C41" i="87"/>
  <c r="P26" i="89" a="1"/>
  <c r="P26" i="89"/>
  <c r="P23" i="89" a="1"/>
  <c r="P23" i="89"/>
  <c r="P60" i="89" a="1"/>
  <c r="P60" i="89"/>
  <c r="P50" i="89" a="1"/>
  <c r="P50" i="89"/>
  <c r="P52" i="89" a="1"/>
  <c r="P52" i="89"/>
  <c r="P74" i="89" a="1"/>
  <c r="P74" i="89"/>
  <c r="P69" i="89" a="1"/>
  <c r="P69" i="89"/>
  <c r="P77" i="89" a="1"/>
  <c r="P77" i="89"/>
  <c r="P51" i="89" a="1"/>
  <c r="P51" i="89"/>
  <c r="P59" i="89" a="1"/>
  <c r="P59" i="89"/>
  <c r="P24" i="89" a="1"/>
  <c r="P24" i="89"/>
  <c r="P49" i="89" a="1"/>
  <c r="P49" i="89"/>
  <c r="P68" i="89" a="1"/>
  <c r="P68" i="89"/>
  <c r="P73" i="89" a="1"/>
  <c r="P73" i="89"/>
  <c r="P43" i="89" a="1"/>
  <c r="P43" i="89"/>
  <c r="P28" i="89" a="1"/>
  <c r="P28" i="89"/>
  <c r="P55" i="89" a="1"/>
  <c r="P55" i="89"/>
  <c r="E41" i="87"/>
  <c r="D41" i="87"/>
  <c r="P19" i="89" a="1"/>
  <c r="P19" i="89"/>
  <c r="P62" i="89" a="1"/>
  <c r="P62" i="89"/>
  <c r="W41" i="87"/>
  <c r="Z41" i="87"/>
  <c r="X41" i="87"/>
  <c r="S41" i="87"/>
  <c r="L41" i="87"/>
  <c r="J41" i="87"/>
  <c r="V41" i="87"/>
  <c r="P41" i="87"/>
  <c r="I41" i="87"/>
  <c r="M41" i="87"/>
  <c r="N41" i="87"/>
  <c r="K41" i="87"/>
  <c r="Q41" i="87"/>
  <c r="P15" i="89"/>
  <c r="O41" i="87"/>
  <c r="P91" i="89"/>
  <c r="O59" i="89" a="1"/>
  <c r="O59" i="89"/>
  <c r="O37" i="89" a="1"/>
  <c r="O37" i="89"/>
  <c r="O34" i="89" a="1"/>
  <c r="O34" i="89"/>
  <c r="O45" i="89"/>
  <c r="O44" i="89"/>
  <c r="O78" i="89" a="1"/>
  <c r="O78" i="89"/>
  <c r="O60" i="89" a="1"/>
  <c r="O60" i="89"/>
  <c r="O33" i="89" a="1"/>
  <c r="O33" i="89"/>
  <c r="O89" i="89" a="1"/>
  <c r="O89" i="89"/>
  <c r="O49" i="89" a="1"/>
  <c r="O49" i="89"/>
  <c r="N22" i="83"/>
  <c r="C40" i="87"/>
  <c r="O90" i="89" a="1"/>
  <c r="O90" i="89"/>
  <c r="O27" i="89" a="1"/>
  <c r="O27" i="89"/>
  <c r="O23" i="89" a="1"/>
  <c r="O23" i="89"/>
  <c r="E40" i="87"/>
  <c r="O79" i="89" a="1"/>
  <c r="O79" i="89"/>
  <c r="O55" i="89" a="1"/>
  <c r="O55" i="89"/>
  <c r="O54" i="89" a="1"/>
  <c r="O54" i="89"/>
  <c r="O61" i="89" a="1"/>
  <c r="O61" i="89"/>
  <c r="O76" i="89" a="1"/>
  <c r="O76" i="89"/>
  <c r="O42" i="89" a="1"/>
  <c r="O42" i="89"/>
  <c r="D40" i="87"/>
  <c r="O36" i="89" a="1"/>
  <c r="O36" i="89"/>
  <c r="O50" i="89" a="1"/>
  <c r="O50" i="89"/>
  <c r="O28" i="89" a="1"/>
  <c r="O28" i="89"/>
  <c r="O62" i="89" a="1"/>
  <c r="O62" i="89"/>
  <c r="O63" i="89" a="1"/>
  <c r="O63" i="89"/>
  <c r="O35" i="89" a="1"/>
  <c r="O35" i="89"/>
  <c r="O88" i="89" a="1"/>
  <c r="O88" i="89"/>
  <c r="O73" i="89" a="1"/>
  <c r="O73" i="89"/>
  <c r="O52" i="89" a="1"/>
  <c r="O52" i="89"/>
  <c r="O74" i="89" a="1"/>
  <c r="O74" i="89"/>
  <c r="T40" i="87"/>
  <c r="O19" i="89" a="1"/>
  <c r="O19" i="89"/>
  <c r="O32" i="89" a="1"/>
  <c r="O32" i="89"/>
  <c r="O77" i="89" a="1"/>
  <c r="O77" i="89"/>
  <c r="O69" i="89" a="1"/>
  <c r="O69" i="89"/>
  <c r="O24" i="89" a="1"/>
  <c r="O24" i="89"/>
  <c r="O84" i="89" a="1"/>
  <c r="O84" i="89"/>
  <c r="O51" i="89" a="1"/>
  <c r="O51" i="89"/>
  <c r="O67" i="89" a="1"/>
  <c r="O67" i="89"/>
  <c r="O75" i="89" a="1"/>
  <c r="O75" i="89"/>
  <c r="O43" i="89" a="1"/>
  <c r="O43" i="89"/>
  <c r="O53" i="89" a="1"/>
  <c r="O53" i="89"/>
  <c r="O41" i="89" a="1"/>
  <c r="O41" i="89"/>
  <c r="O68" i="89" a="1"/>
  <c r="O68" i="89"/>
  <c r="O83" i="89" a="1"/>
  <c r="O83" i="89"/>
  <c r="O26" i="89" a="1"/>
  <c r="O26" i="89"/>
  <c r="O25" i="89" a="1"/>
  <c r="O25" i="89"/>
  <c r="N40" i="87"/>
  <c r="O40" i="87"/>
  <c r="S40" i="87"/>
  <c r="I40" i="87"/>
  <c r="L40" i="87"/>
  <c r="J40" i="87"/>
  <c r="O15" i="89"/>
  <c r="V40" i="87"/>
  <c r="Q40" i="87"/>
  <c r="X40" i="87"/>
  <c r="K40" i="87"/>
  <c r="Z40" i="87"/>
  <c r="P40" i="87"/>
  <c r="M40" i="87"/>
  <c r="W40" i="87"/>
  <c r="O91" i="89"/>
  <c r="N63" i="89" a="1"/>
  <c r="N63" i="89"/>
  <c r="D39" i="87"/>
  <c r="N27" i="89" a="1"/>
  <c r="N27" i="89"/>
  <c r="N42" i="89" a="1"/>
  <c r="N42" i="89"/>
  <c r="N90" i="89" a="1"/>
  <c r="N90" i="89"/>
  <c r="N89" i="89" a="1"/>
  <c r="N89" i="89"/>
  <c r="N25" i="89" a="1"/>
  <c r="N25" i="89"/>
  <c r="N83" i="89" a="1"/>
  <c r="N83" i="89"/>
  <c r="N52" i="89" a="1"/>
  <c r="N52" i="89"/>
  <c r="N50" i="89" a="1"/>
  <c r="N50" i="89"/>
  <c r="N84" i="89" a="1"/>
  <c r="N84" i="89"/>
  <c r="N24" i="89" a="1"/>
  <c r="N24" i="89"/>
  <c r="N79" i="89" a="1"/>
  <c r="N79" i="89"/>
  <c r="N45" i="89"/>
  <c r="N44" i="89"/>
  <c r="N28" i="89" a="1"/>
  <c r="N28" i="89"/>
  <c r="N75" i="89" a="1"/>
  <c r="N75" i="89"/>
  <c r="N73" i="89" a="1"/>
  <c r="N73" i="89"/>
  <c r="N55" i="89" a="1"/>
  <c r="N55" i="89"/>
  <c r="N88" i="89" a="1"/>
  <c r="N88" i="89"/>
  <c r="N36" i="89" a="1"/>
  <c r="N36" i="89"/>
  <c r="N68" i="89" a="1"/>
  <c r="N68" i="89"/>
  <c r="N76" i="89" a="1"/>
  <c r="N76" i="89"/>
  <c r="N23" i="89" a="1"/>
  <c r="N23" i="89"/>
  <c r="N74" i="89" a="1"/>
  <c r="N74" i="89"/>
  <c r="N32" i="89" a="1"/>
  <c r="N32" i="89"/>
  <c r="E39" i="87"/>
  <c r="N49" i="89" a="1"/>
  <c r="N49" i="89"/>
  <c r="N59" i="89" a="1"/>
  <c r="N59" i="89"/>
  <c r="N54" i="89" a="1"/>
  <c r="N54" i="89"/>
  <c r="N51" i="89" a="1"/>
  <c r="N51" i="89"/>
  <c r="N62" i="89" a="1"/>
  <c r="N62" i="89"/>
  <c r="N21" i="83"/>
  <c r="N78" i="89" a="1"/>
  <c r="N78" i="89"/>
  <c r="N60" i="89" a="1"/>
  <c r="N60" i="89"/>
  <c r="N33" i="89" a="1"/>
  <c r="N33" i="89"/>
  <c r="N35" i="89" a="1"/>
  <c r="N35" i="89"/>
  <c r="N26" i="89" a="1"/>
  <c r="N26" i="89"/>
  <c r="N41" i="89" a="1"/>
  <c r="N41" i="89"/>
  <c r="N53" i="89" a="1"/>
  <c r="N53" i="89"/>
  <c r="N19" i="89" a="1"/>
  <c r="N19" i="89"/>
  <c r="N67" i="89" a="1"/>
  <c r="N67" i="89"/>
  <c r="N77" i="89" a="1"/>
  <c r="N77" i="89"/>
  <c r="C39" i="87"/>
  <c r="N61" i="89" a="1"/>
  <c r="N61" i="89"/>
  <c r="N34" i="89" a="1"/>
  <c r="N34" i="89"/>
  <c r="N43" i="89" a="1"/>
  <c r="N43" i="89"/>
  <c r="N37" i="89" a="1"/>
  <c r="N37" i="89"/>
  <c r="N69" i="89" a="1"/>
  <c r="N69" i="89"/>
  <c r="T39" i="87"/>
  <c r="N91" i="89"/>
  <c r="Z39" i="87"/>
  <c r="M39" i="87"/>
  <c r="N39" i="87"/>
  <c r="S39" i="87"/>
  <c r="I39" i="87"/>
  <c r="N15" i="89"/>
  <c r="V39" i="87"/>
  <c r="Q39" i="87"/>
  <c r="P39" i="87"/>
  <c r="L39" i="87"/>
  <c r="X39" i="87"/>
  <c r="K39" i="87"/>
  <c r="O39" i="87"/>
  <c r="J39" i="87"/>
  <c r="W39" i="87"/>
  <c r="M68" i="89" a="1"/>
  <c r="M68" i="89"/>
  <c r="M73" i="89" a="1"/>
  <c r="M73" i="89"/>
  <c r="M55" i="89" a="1"/>
  <c r="M55" i="89"/>
  <c r="M42" i="89" a="1"/>
  <c r="M42" i="89"/>
  <c r="M75" i="89" a="1"/>
  <c r="M75" i="89"/>
  <c r="M28" i="89" a="1"/>
  <c r="M28" i="89"/>
  <c r="M62" i="89" a="1"/>
  <c r="M62" i="89"/>
  <c r="M76" i="89" a="1"/>
  <c r="M76" i="89"/>
  <c r="M45" i="89"/>
  <c r="M44" i="89"/>
  <c r="M26" i="89" a="1"/>
  <c r="M26" i="89"/>
  <c r="M34" i="89" a="1"/>
  <c r="M34" i="89"/>
  <c r="M74" i="89" a="1"/>
  <c r="M74" i="89"/>
  <c r="M52" i="89" a="1"/>
  <c r="M52" i="89"/>
  <c r="M60" i="89" a="1"/>
  <c r="M60" i="89"/>
  <c r="M63" i="89" a="1"/>
  <c r="M63" i="89"/>
  <c r="M43" i="89" a="1"/>
  <c r="M43" i="89"/>
  <c r="M24" i="89" a="1"/>
  <c r="M24" i="89"/>
  <c r="E31" i="87"/>
  <c r="C31" i="87"/>
  <c r="M67" i="89" a="1"/>
  <c r="M67" i="89"/>
  <c r="M78" i="89" a="1"/>
  <c r="M78" i="89"/>
  <c r="M33" i="89" a="1"/>
  <c r="M33" i="89"/>
  <c r="M84" i="89" a="1"/>
  <c r="M84" i="89"/>
  <c r="M19" i="89" a="1"/>
  <c r="M19" i="89"/>
  <c r="M83" i="89" a="1"/>
  <c r="M83" i="89"/>
  <c r="M77" i="89" a="1"/>
  <c r="M77" i="89"/>
  <c r="M36" i="89" a="1"/>
  <c r="M36" i="89"/>
  <c r="M61" i="89" a="1"/>
  <c r="M61" i="89"/>
  <c r="M35" i="89" a="1"/>
  <c r="M35" i="89"/>
  <c r="M79" i="89" a="1"/>
  <c r="M79" i="89"/>
  <c r="M23" i="89" a="1"/>
  <c r="M23" i="89"/>
  <c r="M41" i="89" a="1"/>
  <c r="M41" i="89"/>
  <c r="T31" i="87"/>
  <c r="M53" i="89" a="1"/>
  <c r="M53" i="89"/>
  <c r="M50" i="89" a="1"/>
  <c r="M50" i="89"/>
  <c r="D31" i="87"/>
  <c r="M69" i="89" a="1"/>
  <c r="M69" i="89"/>
  <c r="M89" i="89" a="1"/>
  <c r="M89" i="89"/>
  <c r="M49" i="89" a="1"/>
  <c r="M49" i="89"/>
  <c r="M54" i="89" a="1"/>
  <c r="M54" i="89"/>
  <c r="M90" i="89" a="1"/>
  <c r="M90" i="89"/>
  <c r="M88" i="89" a="1"/>
  <c r="M88" i="89"/>
  <c r="M32" i="89" a="1"/>
  <c r="M32" i="89"/>
  <c r="M25" i="89" a="1"/>
  <c r="M25" i="89"/>
  <c r="M27" i="89" a="1"/>
  <c r="M27" i="89"/>
  <c r="M37" i="89" a="1"/>
  <c r="M37" i="89"/>
  <c r="M59" i="89" a="1"/>
  <c r="M59" i="89"/>
  <c r="M51" i="89" a="1"/>
  <c r="M51" i="89"/>
  <c r="H25" i="83"/>
  <c r="M15" i="89"/>
  <c r="P31" i="87"/>
  <c r="N31" i="87"/>
  <c r="O31" i="87"/>
  <c r="M31" i="87"/>
  <c r="X31" i="87"/>
  <c r="Q31" i="87"/>
  <c r="Z31" i="87"/>
  <c r="J31" i="87"/>
  <c r="W31" i="87"/>
  <c r="K31" i="87"/>
  <c r="S31" i="87"/>
  <c r="L31" i="87"/>
  <c r="V31" i="87"/>
  <c r="I31" i="87"/>
  <c r="M91" i="89"/>
  <c r="L79" i="89" a="1"/>
  <c r="L79" i="89"/>
  <c r="L35" i="89" a="1"/>
  <c r="L35" i="89"/>
  <c r="L76" i="89" a="1"/>
  <c r="L76" i="89"/>
  <c r="L23" i="89" a="1"/>
  <c r="L23" i="89"/>
  <c r="L24" i="89" a="1"/>
  <c r="L24" i="89"/>
  <c r="L19" i="89" a="1"/>
  <c r="L19" i="89"/>
  <c r="L45" i="89"/>
  <c r="L44" i="89"/>
  <c r="L63" i="89" a="1"/>
  <c r="L63" i="89"/>
  <c r="L42" i="89" a="1"/>
  <c r="L42" i="89"/>
  <c r="E30" i="87"/>
  <c r="L37" i="89" a="1"/>
  <c r="L37" i="89"/>
  <c r="L32" i="89" a="1"/>
  <c r="L32" i="89"/>
  <c r="L74" i="89" a="1"/>
  <c r="L74" i="89"/>
  <c r="L75" i="89" a="1"/>
  <c r="L75" i="89"/>
  <c r="L34" i="89" a="1"/>
  <c r="L34" i="89"/>
  <c r="L73" i="89" a="1"/>
  <c r="L73" i="89"/>
  <c r="L43" i="89" a="1"/>
  <c r="L43" i="89"/>
  <c r="L26" i="89" a="1"/>
  <c r="L26" i="89"/>
  <c r="L49" i="89" a="1"/>
  <c r="L49" i="89"/>
  <c r="L69" i="89" a="1"/>
  <c r="L69" i="89"/>
  <c r="L60" i="89" a="1"/>
  <c r="L60" i="89"/>
  <c r="L25" i="89" a="1"/>
  <c r="L25" i="89"/>
  <c r="L55" i="89" a="1"/>
  <c r="L55" i="89"/>
  <c r="L54" i="89" a="1"/>
  <c r="L54" i="89"/>
  <c r="L52" i="89" a="1"/>
  <c r="L52" i="89"/>
  <c r="L78" i="89" a="1"/>
  <c r="L78" i="89"/>
  <c r="T30" i="87"/>
  <c r="L68" i="89" a="1"/>
  <c r="L68" i="89"/>
  <c r="L27" i="89" a="1"/>
  <c r="L27" i="89"/>
  <c r="L61" i="89" a="1"/>
  <c r="L61" i="89"/>
  <c r="L28" i="89" a="1"/>
  <c r="L28" i="89"/>
  <c r="L67" i="89" a="1"/>
  <c r="L67" i="89"/>
  <c r="L36" i="89" a="1"/>
  <c r="L36" i="89"/>
  <c r="L90" i="89" a="1"/>
  <c r="L90" i="89"/>
  <c r="L89" i="89" a="1"/>
  <c r="L89" i="89"/>
  <c r="L50" i="89" a="1"/>
  <c r="L50" i="89"/>
  <c r="L41" i="89" a="1"/>
  <c r="L41" i="89"/>
  <c r="L53" i="89" a="1"/>
  <c r="L53" i="89"/>
  <c r="D30" i="87"/>
  <c r="L84" i="89" a="1"/>
  <c r="L84" i="89"/>
  <c r="L59" i="89" a="1"/>
  <c r="L59" i="89"/>
  <c r="L33" i="89" a="1"/>
  <c r="L33" i="89"/>
  <c r="L62" i="89" a="1"/>
  <c r="L62" i="89"/>
  <c r="C30" i="87"/>
  <c r="L77" i="89" a="1"/>
  <c r="L77" i="89"/>
  <c r="H24" i="83"/>
  <c r="L83" i="89" a="1"/>
  <c r="L83" i="89"/>
  <c r="L88" i="89" a="1"/>
  <c r="L88" i="89"/>
  <c r="L51" i="89" a="1"/>
  <c r="L51" i="89"/>
  <c r="K30" i="87"/>
  <c r="N30" i="87"/>
  <c r="Q30" i="87"/>
  <c r="R14" i="89"/>
  <c r="Q14" i="89"/>
  <c r="P14" i="89"/>
  <c r="O14" i="89"/>
  <c r="N14" i="89"/>
  <c r="M14" i="89"/>
  <c r="S30" i="87"/>
  <c r="L30" i="87"/>
  <c r="W30" i="87"/>
  <c r="X30" i="87"/>
  <c r="V30" i="87"/>
  <c r="R18" i="89"/>
  <c r="Q18" i="89"/>
  <c r="P18" i="89"/>
  <c r="O18" i="89"/>
  <c r="N18" i="89"/>
  <c r="M18" i="89"/>
  <c r="O30" i="87"/>
  <c r="R17" i="89"/>
  <c r="Q17" i="89"/>
  <c r="P17" i="89"/>
  <c r="O17" i="89"/>
  <c r="N17" i="89"/>
  <c r="M17" i="89"/>
  <c r="J30" i="87"/>
  <c r="Z30" i="87"/>
  <c r="L15" i="89"/>
  <c r="P30" i="87"/>
  <c r="M30" i="87"/>
  <c r="I30" i="87"/>
  <c r="R16" i="89"/>
  <c r="Q16" i="89"/>
  <c r="P16" i="89"/>
  <c r="O16" i="89"/>
  <c r="N16" i="89"/>
  <c r="M16" i="89"/>
  <c r="L91" i="89"/>
  <c r="D29" i="87"/>
  <c r="K24" i="89" a="1"/>
  <c r="K24" i="89"/>
  <c r="H23" i="83"/>
  <c r="K43" i="89" a="1"/>
  <c r="K43" i="89"/>
  <c r="K28" i="89" a="1"/>
  <c r="K28" i="89"/>
  <c r="C29" i="87"/>
  <c r="K84" i="89" a="1"/>
  <c r="K84" i="89"/>
  <c r="K69" i="89" a="1"/>
  <c r="K69" i="89"/>
  <c r="K78" i="89" a="1"/>
  <c r="K78" i="89"/>
  <c r="K42" i="89" a="1"/>
  <c r="K42" i="89"/>
  <c r="K67" i="89" a="1"/>
  <c r="K67" i="89"/>
  <c r="K35" i="89" a="1"/>
  <c r="K35" i="89"/>
  <c r="K25" i="89" a="1"/>
  <c r="K25" i="89"/>
  <c r="K63" i="89" a="1"/>
  <c r="K63" i="89"/>
  <c r="K90" i="89" a="1"/>
  <c r="K90" i="89"/>
  <c r="K83" i="89" a="1"/>
  <c r="K83" i="89"/>
  <c r="K50" i="89" a="1"/>
  <c r="K50" i="89"/>
  <c r="K33" i="89" a="1"/>
  <c r="K33" i="89"/>
  <c r="K19" i="89" a="1"/>
  <c r="K19" i="89"/>
  <c r="E29" i="87"/>
  <c r="K89" i="89" a="1"/>
  <c r="K89" i="89"/>
  <c r="K59" i="89" a="1"/>
  <c r="K59" i="89"/>
  <c r="K76" i="89" a="1"/>
  <c r="K76" i="89"/>
  <c r="K74" i="89" a="1"/>
  <c r="K74" i="89"/>
  <c r="K73" i="89" a="1"/>
  <c r="K73" i="89"/>
  <c r="K77" i="89" a="1"/>
  <c r="K77" i="89"/>
  <c r="K37" i="89" a="1"/>
  <c r="K37" i="89"/>
  <c r="K36" i="89" a="1"/>
  <c r="K36" i="89"/>
  <c r="T29" i="87"/>
  <c r="K55" i="89" a="1"/>
  <c r="K55" i="89"/>
  <c r="K79" i="89" a="1"/>
  <c r="K79" i="89"/>
  <c r="K54" i="89" a="1"/>
  <c r="K54" i="89"/>
  <c r="K75" i="89" a="1"/>
  <c r="K75" i="89"/>
  <c r="K62" i="89" a="1"/>
  <c r="K62" i="89"/>
  <c r="K60" i="89" a="1"/>
  <c r="K60" i="89"/>
  <c r="K88" i="89" a="1"/>
  <c r="K88" i="89"/>
  <c r="K23" i="89" a="1"/>
  <c r="K23" i="89"/>
  <c r="K41" i="89" a="1"/>
  <c r="K41" i="89"/>
  <c r="K32" i="89" a="1"/>
  <c r="K32" i="89"/>
  <c r="K45" i="89"/>
  <c r="K44" i="89"/>
  <c r="K53" i="89" a="1"/>
  <c r="K53" i="89"/>
  <c r="K26" i="89" a="1"/>
  <c r="K26" i="89"/>
  <c r="K61" i="89" a="1"/>
  <c r="K61" i="89"/>
  <c r="K34" i="89" a="1"/>
  <c r="K34" i="89"/>
  <c r="K52" i="89" a="1"/>
  <c r="K52" i="89"/>
  <c r="K68" i="89" a="1"/>
  <c r="K68" i="89"/>
  <c r="K49" i="89" a="1"/>
  <c r="K49" i="89"/>
  <c r="K51" i="89" a="1"/>
  <c r="K51" i="89"/>
  <c r="K27" i="89" a="1"/>
  <c r="K27" i="89"/>
  <c r="Z29" i="87"/>
  <c r="L16" i="89"/>
  <c r="K16" i="89"/>
  <c r="M29" i="87"/>
  <c r="K29" i="87"/>
  <c r="W29" i="87"/>
  <c r="Q29" i="87"/>
  <c r="S29" i="87"/>
  <c r="L29" i="87"/>
  <c r="P29" i="87"/>
  <c r="O29" i="87"/>
  <c r="I29" i="87"/>
  <c r="L17" i="89"/>
  <c r="K17" i="89"/>
  <c r="L14" i="89"/>
  <c r="K14" i="89"/>
  <c r="K15" i="89"/>
  <c r="L18" i="89"/>
  <c r="K18" i="89"/>
  <c r="N29" i="87"/>
  <c r="X29" i="87"/>
  <c r="J29" i="87"/>
  <c r="V29" i="87"/>
  <c r="K91" i="89"/>
  <c r="J63" i="89" a="1"/>
  <c r="J63" i="89"/>
  <c r="J42" i="89" a="1"/>
  <c r="J42" i="89"/>
  <c r="J90" i="89" a="1"/>
  <c r="J90" i="89"/>
  <c r="J89" i="89" a="1"/>
  <c r="J89" i="89"/>
  <c r="J35" i="89" a="1"/>
  <c r="J35" i="89"/>
  <c r="J74" i="89" a="1"/>
  <c r="J74" i="89"/>
  <c r="J73" i="89" a="1"/>
  <c r="J73" i="89"/>
  <c r="D28" i="87"/>
  <c r="J78" i="89" a="1"/>
  <c r="J78" i="89"/>
  <c r="J25" i="89" a="1"/>
  <c r="J25" i="89"/>
  <c r="J67" i="89" a="1"/>
  <c r="J67" i="89"/>
  <c r="J37" i="89" a="1"/>
  <c r="J37" i="89"/>
  <c r="J27" i="89" a="1"/>
  <c r="J27" i="89"/>
  <c r="C28" i="87"/>
  <c r="J79" i="89" a="1"/>
  <c r="J79" i="89"/>
  <c r="J55" i="89" a="1"/>
  <c r="J55" i="89"/>
  <c r="J54" i="89" a="1"/>
  <c r="J54" i="89"/>
  <c r="J59" i="89" a="1"/>
  <c r="J59" i="89"/>
  <c r="J75" i="89" a="1"/>
  <c r="J75" i="89"/>
  <c r="J69" i="89" a="1"/>
  <c r="J69" i="89"/>
  <c r="J19" i="89" a="1"/>
  <c r="J19" i="89"/>
  <c r="J26" i="89" a="1"/>
  <c r="J26" i="89"/>
  <c r="J33" i="89" a="1"/>
  <c r="J33" i="89"/>
  <c r="J88" i="89" a="1"/>
  <c r="J88" i="89"/>
  <c r="H22" i="83"/>
  <c r="J68" i="89" a="1"/>
  <c r="J68" i="89"/>
  <c r="T28" i="87"/>
  <c r="J43" i="89" a="1"/>
  <c r="J43" i="89"/>
  <c r="J28" i="89" a="1"/>
  <c r="J28" i="89"/>
  <c r="J53" i="89" a="1"/>
  <c r="J53" i="89"/>
  <c r="J32" i="89" a="1"/>
  <c r="J32" i="89"/>
  <c r="J34" i="89" a="1"/>
  <c r="J34" i="89"/>
  <c r="J24" i="89" a="1"/>
  <c r="J24" i="89"/>
  <c r="J52" i="89" a="1"/>
  <c r="J52" i="89"/>
  <c r="J49" i="89" a="1"/>
  <c r="J49" i="89"/>
  <c r="J51" i="89" a="1"/>
  <c r="J51" i="89"/>
  <c r="J23" i="89" a="1"/>
  <c r="J23" i="89"/>
  <c r="J76" i="89" a="1"/>
  <c r="J76" i="89"/>
  <c r="J62" i="89" a="1"/>
  <c r="J62" i="89"/>
  <c r="J84" i="89" a="1"/>
  <c r="J84" i="89"/>
  <c r="J83" i="89" a="1"/>
  <c r="J83" i="89"/>
  <c r="J45" i="89"/>
  <c r="J44" i="89"/>
  <c r="J41" i="89" a="1"/>
  <c r="J41" i="89"/>
  <c r="J77" i="89" a="1"/>
  <c r="J77" i="89"/>
  <c r="J61" i="89" a="1"/>
  <c r="J61" i="89"/>
  <c r="E28" i="87"/>
  <c r="J60" i="89" a="1"/>
  <c r="J60" i="89"/>
  <c r="J36" i="89" a="1"/>
  <c r="J36" i="89"/>
  <c r="J50" i="89" a="1"/>
  <c r="J50" i="89"/>
  <c r="Q28" i="87"/>
  <c r="J14" i="89"/>
  <c r="J16" i="89"/>
  <c r="P28" i="87"/>
  <c r="J18" i="89"/>
  <c r="J17" i="89"/>
  <c r="O28" i="87"/>
  <c r="W28" i="87"/>
  <c r="M28" i="87"/>
  <c r="V28" i="87"/>
  <c r="K28" i="87"/>
  <c r="Z28" i="87"/>
  <c r="J15" i="89"/>
  <c r="N28" i="87"/>
  <c r="S28" i="87"/>
  <c r="L28" i="87"/>
  <c r="X28" i="87"/>
  <c r="J28" i="87"/>
  <c r="I28" i="87"/>
  <c r="J91" i="89"/>
  <c r="I61" i="89" a="1"/>
  <c r="I61" i="89"/>
  <c r="I54" i="89" a="1"/>
  <c r="I54" i="89"/>
  <c r="I35" i="89" a="1"/>
  <c r="I35" i="89"/>
  <c r="I34" i="89" a="1"/>
  <c r="I34" i="89"/>
  <c r="E27" i="87"/>
  <c r="D27" i="87"/>
  <c r="I74" i="89" a="1"/>
  <c r="I74" i="89"/>
  <c r="I78" i="89" a="1"/>
  <c r="I78" i="89"/>
  <c r="I63" i="89" a="1"/>
  <c r="I63" i="89"/>
  <c r="T27" i="87"/>
  <c r="I32" i="89" a="1"/>
  <c r="I32" i="89"/>
  <c r="I27" i="89" a="1"/>
  <c r="I27" i="89"/>
  <c r="I69" i="89" a="1"/>
  <c r="I69" i="89"/>
  <c r="I84" i="89" a="1"/>
  <c r="I84" i="89"/>
  <c r="I83" i="89" a="1"/>
  <c r="I83" i="89"/>
  <c r="I88" i="89" a="1"/>
  <c r="I88" i="89"/>
  <c r="C27" i="87"/>
  <c r="I26" i="89" a="1"/>
  <c r="I26" i="89"/>
  <c r="I59" i="89" a="1"/>
  <c r="I59" i="89"/>
  <c r="I79" i="89" a="1"/>
  <c r="I79" i="89"/>
  <c r="I73" i="89" a="1"/>
  <c r="I73" i="89"/>
  <c r="I55" i="89" a="1"/>
  <c r="I55" i="89"/>
  <c r="I45" i="89"/>
  <c r="I44" i="89"/>
  <c r="I76" i="89" a="1"/>
  <c r="I76" i="89"/>
  <c r="I23" i="89" a="1"/>
  <c r="I23" i="89"/>
  <c r="I67" i="89" a="1"/>
  <c r="I67" i="89"/>
  <c r="I77" i="89" a="1"/>
  <c r="I77" i="89"/>
  <c r="I42" i="89" a="1"/>
  <c r="I42" i="89"/>
  <c r="I89" i="89" a="1"/>
  <c r="I89" i="89"/>
  <c r="I90" i="89" a="1"/>
  <c r="I90" i="89"/>
  <c r="I41" i="89" a="1"/>
  <c r="I41" i="89"/>
  <c r="I52" i="89" a="1"/>
  <c r="I52" i="89"/>
  <c r="I49" i="89" a="1"/>
  <c r="I49" i="89"/>
  <c r="I60" i="89" a="1"/>
  <c r="I60" i="89"/>
  <c r="I33" i="89" a="1"/>
  <c r="I33" i="89"/>
  <c r="I24" i="89" a="1"/>
  <c r="I24" i="89"/>
  <c r="I53" i="89" a="1"/>
  <c r="I53" i="89"/>
  <c r="H21" i="83"/>
  <c r="I37" i="89" a="1"/>
  <c r="I37" i="89"/>
  <c r="I36" i="89" a="1"/>
  <c r="I36" i="89"/>
  <c r="I75" i="89" a="1"/>
  <c r="I75" i="89"/>
  <c r="I28" i="89" a="1"/>
  <c r="I28" i="89"/>
  <c r="I62" i="89" a="1"/>
  <c r="I62" i="89"/>
  <c r="I43" i="89" a="1"/>
  <c r="I43" i="89"/>
  <c r="I50" i="89" a="1"/>
  <c r="I50" i="89"/>
  <c r="I19" i="89" a="1"/>
  <c r="I19" i="89"/>
  <c r="I68" i="89" a="1"/>
  <c r="I68" i="89"/>
  <c r="I25" i="89" a="1"/>
  <c r="I25" i="89"/>
  <c r="I51" i="89" a="1"/>
  <c r="I51" i="89"/>
  <c r="P27" i="87"/>
  <c r="K27" i="87"/>
  <c r="V27" i="87"/>
  <c r="N27" i="87"/>
  <c r="S27" i="87"/>
  <c r="L27" i="87"/>
  <c r="Z27" i="87"/>
  <c r="I18" i="89"/>
  <c r="I16" i="89"/>
  <c r="X27" i="87"/>
  <c r="W27" i="87"/>
  <c r="Q27" i="87"/>
  <c r="O27" i="87"/>
  <c r="J27" i="87"/>
  <c r="I17" i="89"/>
  <c r="I14" i="89"/>
  <c r="M27" i="87"/>
  <c r="I27" i="87"/>
  <c r="I15" i="89"/>
  <c r="I91" i="89"/>
  <c r="H110" i="83"/>
  <c r="H109" i="83"/>
  <c r="I110" i="83"/>
  <c r="I109" i="83"/>
  <c r="E110" i="83"/>
  <c r="E109" i="83"/>
  <c r="K109" i="83"/>
  <c r="K110" i="83"/>
  <c r="J109" i="83"/>
  <c r="J110" i="83"/>
  <c r="N110" i="83"/>
  <c r="N109" i="83"/>
  <c r="L109" i="83"/>
  <c r="L110" i="83"/>
  <c r="M110" i="83"/>
  <c r="M109" i="83"/>
  <c r="F110" i="83"/>
  <c r="F109" i="83"/>
  <c r="F107" i="83"/>
  <c r="F111" i="83"/>
  <c r="F108" i="83"/>
  <c r="F112" i="83"/>
  <c r="G109" i="83"/>
  <c r="G110" i="83"/>
  <c r="G108" i="83"/>
  <c r="G107" i="83"/>
  <c r="G111" i="83"/>
  <c r="G112" i="83"/>
  <c r="N111" i="83"/>
  <c r="N112" i="83"/>
  <c r="N108" i="83"/>
  <c r="N107" i="83"/>
  <c r="I107" i="83"/>
  <c r="I108" i="83"/>
  <c r="I112" i="83"/>
  <c r="I111" i="83"/>
  <c r="K108" i="83"/>
  <c r="K111" i="83"/>
  <c r="K112" i="83"/>
  <c r="K107" i="83"/>
  <c r="M111" i="83"/>
  <c r="M107" i="83"/>
  <c r="M112" i="83"/>
  <c r="M108" i="83"/>
  <c r="G61" i="89" a="1"/>
  <c r="G61" i="89"/>
  <c r="G54" i="89" a="1"/>
  <c r="G54" i="89"/>
  <c r="G35" i="89" a="1"/>
  <c r="G35" i="89"/>
  <c r="G34" i="89" a="1"/>
  <c r="G34" i="89"/>
  <c r="G90" i="89" a="1"/>
  <c r="G90" i="89"/>
  <c r="G83" i="89" a="1"/>
  <c r="G83" i="89"/>
  <c r="G79" i="89" a="1"/>
  <c r="G79" i="89"/>
  <c r="G55" i="89" a="1"/>
  <c r="G55" i="89"/>
  <c r="C18" i="87"/>
  <c r="G59" i="89" a="1"/>
  <c r="G59" i="89"/>
  <c r="G25" i="89" a="1"/>
  <c r="G25" i="89"/>
  <c r="G26" i="89" a="1"/>
  <c r="G26" i="89"/>
  <c r="G23" i="89" a="1"/>
  <c r="G23" i="89"/>
  <c r="G43" i="89" a="1"/>
  <c r="G43" i="89"/>
  <c r="G75" i="89" a="1"/>
  <c r="G75" i="89"/>
  <c r="G42" i="89" a="1"/>
  <c r="G42" i="89"/>
  <c r="G69" i="89" a="1"/>
  <c r="G69" i="89"/>
  <c r="G53" i="89" a="1"/>
  <c r="G53" i="89"/>
  <c r="G51" i="89" a="1"/>
  <c r="G51" i="89"/>
  <c r="G52" i="89" a="1"/>
  <c r="G52" i="89"/>
  <c r="G49" i="89" a="1"/>
  <c r="G49" i="89"/>
  <c r="G76" i="89" a="1"/>
  <c r="G76" i="89"/>
  <c r="G74" i="89" a="1"/>
  <c r="G74" i="89"/>
  <c r="G88" i="89" a="1"/>
  <c r="G88" i="89"/>
  <c r="T18" i="87"/>
  <c r="G50" i="89" a="1"/>
  <c r="G50" i="89"/>
  <c r="G33" i="89" a="1"/>
  <c r="G33" i="89"/>
  <c r="G63" i="89" a="1"/>
  <c r="G63" i="89"/>
  <c r="G67" i="89" a="1"/>
  <c r="G67" i="89"/>
  <c r="G73" i="89" a="1"/>
  <c r="G73" i="89"/>
  <c r="G84" i="89" a="1"/>
  <c r="G84" i="89"/>
  <c r="G78" i="89" a="1"/>
  <c r="G78" i="89"/>
  <c r="G60" i="89" a="1"/>
  <c r="G60" i="89"/>
  <c r="G41" i="89" a="1"/>
  <c r="G41" i="89"/>
  <c r="G68" i="89" a="1"/>
  <c r="G68" i="89"/>
  <c r="G32" i="89" a="1"/>
  <c r="G32" i="89"/>
  <c r="G77" i="89" a="1"/>
  <c r="G77" i="89"/>
  <c r="G19" i="89" a="1"/>
  <c r="G19" i="89"/>
  <c r="B24" i="83"/>
  <c r="B175" i="83"/>
  <c r="B166" i="83"/>
  <c r="B157" i="83"/>
  <c r="B148" i="83"/>
  <c r="B139" i="83"/>
  <c r="G45" i="89"/>
  <c r="G44" i="89"/>
  <c r="G89" i="89" a="1"/>
  <c r="G89" i="89"/>
  <c r="G62" i="89" a="1"/>
  <c r="G62" i="89"/>
  <c r="G36" i="89" a="1"/>
  <c r="G36" i="89"/>
  <c r="D18" i="87"/>
  <c r="G24" i="89" a="1"/>
  <c r="G24" i="89"/>
  <c r="E18" i="87"/>
  <c r="G37" i="89" a="1"/>
  <c r="G37" i="89"/>
  <c r="G28" i="89" a="1"/>
  <c r="G28" i="89"/>
  <c r="G27" i="89" a="1"/>
  <c r="G27" i="89"/>
  <c r="H107" i="83"/>
  <c r="H108" i="83"/>
  <c r="H111" i="83"/>
  <c r="H112" i="83"/>
  <c r="L111" i="83"/>
  <c r="L112" i="83"/>
  <c r="L108" i="83"/>
  <c r="L107" i="83"/>
  <c r="L166" i="83"/>
  <c r="L148" i="83"/>
  <c r="L139" i="83"/>
  <c r="L157" i="83"/>
  <c r="N157" i="83"/>
  <c r="N148" i="83"/>
  <c r="N166" i="83"/>
  <c r="N139" i="83"/>
  <c r="J107" i="83"/>
  <c r="J108" i="83"/>
  <c r="J111" i="83"/>
  <c r="J112" i="83"/>
  <c r="G139" i="83"/>
  <c r="G148" i="83"/>
  <c r="G157" i="83"/>
  <c r="G166" i="83"/>
  <c r="K157" i="83"/>
  <c r="K166" i="83"/>
  <c r="K139" i="83"/>
  <c r="K148" i="83"/>
  <c r="J148" i="83"/>
  <c r="J157" i="83"/>
  <c r="J166" i="83"/>
  <c r="J139" i="83"/>
  <c r="E112" i="83"/>
  <c r="E107" i="83"/>
  <c r="E111" i="83"/>
  <c r="E108" i="83"/>
  <c r="I148" i="83"/>
  <c r="I139" i="83"/>
  <c r="I157" i="83"/>
  <c r="I166" i="83"/>
  <c r="H166" i="83"/>
  <c r="H157" i="83"/>
  <c r="H139" i="83"/>
  <c r="H148" i="83"/>
  <c r="M139" i="83"/>
  <c r="M148" i="83"/>
  <c r="M166" i="83"/>
  <c r="M157" i="83"/>
  <c r="S18" i="87"/>
  <c r="L18" i="87"/>
  <c r="G15" i="89"/>
  <c r="G17" i="89"/>
  <c r="Q18" i="87"/>
  <c r="P18" i="87"/>
  <c r="Z18" i="87"/>
  <c r="I18" i="87"/>
  <c r="G14" i="89"/>
  <c r="X18" i="87"/>
  <c r="G16" i="89"/>
  <c r="K18" i="87"/>
  <c r="M18" i="87"/>
  <c r="O18" i="87"/>
  <c r="J18" i="87"/>
  <c r="V18" i="87"/>
  <c r="W18" i="87"/>
  <c r="N18" i="87"/>
  <c r="G18" i="89"/>
  <c r="G91" i="89"/>
  <c r="J88" i="83"/>
  <c r="J87" i="83"/>
  <c r="L87" i="83"/>
  <c r="L88" i="83"/>
  <c r="E87" i="83"/>
  <c r="E88" i="83"/>
  <c r="H88" i="83"/>
  <c r="H87" i="83"/>
  <c r="M87" i="83"/>
  <c r="M88" i="83"/>
  <c r="I87" i="83"/>
  <c r="I88" i="83"/>
  <c r="G88" i="83"/>
  <c r="G87" i="83"/>
  <c r="F87" i="83"/>
  <c r="F88" i="83"/>
  <c r="N88" i="83"/>
  <c r="N87" i="83"/>
  <c r="K88" i="83"/>
  <c r="K87" i="83"/>
  <c r="M90" i="83"/>
  <c r="M86" i="83"/>
  <c r="M85" i="83"/>
  <c r="M89" i="83"/>
  <c r="H164" i="83"/>
  <c r="H155" i="83"/>
  <c r="F85" i="83"/>
  <c r="H146" i="83"/>
  <c r="H137" i="83"/>
  <c r="F86" i="83"/>
  <c r="F89" i="83"/>
  <c r="F90" i="83"/>
  <c r="G89" i="83"/>
  <c r="G85" i="83"/>
  <c r="G90" i="83"/>
  <c r="G86" i="83"/>
  <c r="J155" i="83"/>
  <c r="J137" i="83"/>
  <c r="J146" i="83"/>
  <c r="J164" i="83"/>
  <c r="E86" i="83"/>
  <c r="E90" i="83"/>
  <c r="E85" i="83"/>
  <c r="E89" i="83"/>
  <c r="L89" i="83"/>
  <c r="L86" i="83"/>
  <c r="L90" i="83"/>
  <c r="L85" i="83"/>
  <c r="K137" i="83"/>
  <c r="K164" i="83"/>
  <c r="K155" i="83"/>
  <c r="K146" i="83"/>
  <c r="L137" i="83"/>
  <c r="L164" i="83"/>
  <c r="L146" i="83"/>
  <c r="L155" i="83"/>
  <c r="K85" i="83"/>
  <c r="K90" i="83"/>
  <c r="K86" i="83"/>
  <c r="K89" i="83"/>
  <c r="J86" i="83"/>
  <c r="J85" i="83"/>
  <c r="J89" i="83"/>
  <c r="J90" i="83"/>
  <c r="M155" i="83"/>
  <c r="M164" i="83"/>
  <c r="M146" i="83"/>
  <c r="M137" i="83"/>
  <c r="N86" i="83"/>
  <c r="N90" i="83"/>
  <c r="N85" i="83"/>
  <c r="N89" i="83"/>
  <c r="I90" i="83"/>
  <c r="I85" i="83"/>
  <c r="I89" i="83"/>
  <c r="I86" i="83"/>
  <c r="E42" i="89" a="1"/>
  <c r="E42" i="89"/>
  <c r="E53" i="89" a="1"/>
  <c r="E53" i="89"/>
  <c r="E63" i="89" a="1"/>
  <c r="E63" i="89"/>
  <c r="E37" i="89" a="1"/>
  <c r="E37" i="89"/>
  <c r="E62" i="89" a="1"/>
  <c r="E62" i="89"/>
  <c r="E36" i="89" a="1"/>
  <c r="E36" i="89"/>
  <c r="E50" i="89" a="1"/>
  <c r="E50" i="89"/>
  <c r="E45" i="89"/>
  <c r="E44" i="89"/>
  <c r="E79" i="89" a="1"/>
  <c r="E79" i="89"/>
  <c r="E55" i="89" a="1"/>
  <c r="E55" i="89"/>
  <c r="E54" i="89" a="1"/>
  <c r="E54" i="89"/>
  <c r="E41" i="89" a="1"/>
  <c r="E41" i="89"/>
  <c r="E78" i="89" a="1"/>
  <c r="E78" i="89"/>
  <c r="E60" i="89" a="1"/>
  <c r="E60" i="89"/>
  <c r="E33" i="89" a="1"/>
  <c r="E33" i="89"/>
  <c r="E61" i="89" a="1"/>
  <c r="E61" i="89"/>
  <c r="E35" i="89" a="1"/>
  <c r="E35" i="89"/>
  <c r="E34" i="89" a="1"/>
  <c r="E34" i="89"/>
  <c r="B22" i="83"/>
  <c r="B173" i="83"/>
  <c r="B164" i="83"/>
  <c r="B155" i="83"/>
  <c r="B146" i="83"/>
  <c r="B137" i="83"/>
  <c r="E76" i="89" a="1"/>
  <c r="E76" i="89"/>
  <c r="E89" i="89" a="1"/>
  <c r="E89" i="89"/>
  <c r="E75" i="89" a="1"/>
  <c r="E75" i="89"/>
  <c r="E74" i="89" a="1"/>
  <c r="E74" i="89"/>
  <c r="D16" i="87"/>
  <c r="E84" i="89" a="1"/>
  <c r="E84" i="89"/>
  <c r="E73" i="89" a="1"/>
  <c r="E73" i="89"/>
  <c r="E32" i="89" a="1"/>
  <c r="E32" i="89"/>
  <c r="E90" i="89" a="1"/>
  <c r="E90" i="89"/>
  <c r="E26" i="89" a="1"/>
  <c r="E26" i="89"/>
  <c r="E59" i="89" a="1"/>
  <c r="E59" i="89"/>
  <c r="E43" i="89" a="1"/>
  <c r="E43" i="89"/>
  <c r="E27" i="89" a="1"/>
  <c r="E27" i="89"/>
  <c r="E51" i="89" a="1"/>
  <c r="E51" i="89"/>
  <c r="C16" i="87"/>
  <c r="E16" i="87"/>
  <c r="E83" i="89" a="1"/>
  <c r="E83" i="89"/>
  <c r="T16" i="87"/>
  <c r="E67" i="89" a="1"/>
  <c r="E67" i="89"/>
  <c r="E28" i="89" a="1"/>
  <c r="E28" i="89"/>
  <c r="E24" i="89" a="1"/>
  <c r="E24" i="89"/>
  <c r="E68" i="89" a="1"/>
  <c r="E68" i="89"/>
  <c r="I16" i="87" a="1"/>
  <c r="E77" i="89" a="1"/>
  <c r="I16" i="87" l="1"/>
  <c r="E77" i="89"/>
  <c r="E52" i="89" a="1"/>
  <c r="E52" i="89"/>
  <c r="E23" i="89" a="1"/>
  <c r="E23" i="89"/>
  <c r="E19" i="89" a="1"/>
  <c r="E19" i="89"/>
  <c r="E88" i="89" a="1"/>
  <c r="E88" i="89"/>
  <c r="E25" i="89" a="1"/>
  <c r="E25" i="89"/>
  <c r="E49" i="89" a="1"/>
  <c r="E49" i="89"/>
  <c r="E69" i="89" a="1"/>
  <c r="E69" i="89"/>
  <c r="I146" i="83"/>
  <c r="I137" i="83"/>
  <c r="I164" i="83"/>
  <c r="I155" i="83"/>
  <c r="G146" i="83"/>
  <c r="G164" i="83"/>
  <c r="G155" i="83"/>
  <c r="G137" i="83"/>
  <c r="H86" i="83"/>
  <c r="H85" i="83"/>
  <c r="H90" i="83"/>
  <c r="H89" i="83"/>
  <c r="N155" i="83"/>
  <c r="N137" i="83"/>
  <c r="N146" i="83"/>
  <c r="N164" i="83"/>
  <c r="K16" i="87"/>
  <c r="E18" i="89"/>
  <c r="J16" i="87"/>
  <c r="E16" i="89"/>
  <c r="E17" i="89"/>
  <c r="S16" i="87"/>
  <c r="O16" i="87"/>
  <c r="Z16" i="87"/>
  <c r="V16" i="87"/>
  <c r="Q16" i="87"/>
  <c r="M16" i="87"/>
  <c r="E15" i="89"/>
  <c r="P16" i="87"/>
  <c r="W16" i="87"/>
  <c r="E14" i="89"/>
  <c r="X16" i="87"/>
  <c r="N16" i="87"/>
  <c r="L16" i="87"/>
  <c r="E91" i="89"/>
  <c r="E120" i="83"/>
  <c r="E121" i="83"/>
  <c r="K120" i="83"/>
  <c r="K121" i="83"/>
  <c r="L120" i="83"/>
  <c r="L121" i="83"/>
  <c r="H118" i="83"/>
  <c r="H122" i="83"/>
  <c r="H123" i="83"/>
  <c r="H119" i="83"/>
  <c r="I121" i="83"/>
  <c r="I120" i="83"/>
  <c r="H121" i="83"/>
  <c r="H120" i="83"/>
  <c r="G121" i="83"/>
  <c r="G120" i="83"/>
  <c r="F120" i="83"/>
  <c r="F121" i="83"/>
  <c r="N121" i="83"/>
  <c r="N120" i="83"/>
  <c r="M121" i="83"/>
  <c r="M120" i="83"/>
  <c r="J120" i="83"/>
  <c r="J121" i="83"/>
  <c r="M122" i="83"/>
  <c r="M119" i="83"/>
  <c r="M118" i="83"/>
  <c r="M123" i="83"/>
  <c r="I123" i="83"/>
  <c r="I122" i="83"/>
  <c r="I119" i="83"/>
  <c r="I118" i="83"/>
  <c r="F119" i="83"/>
  <c r="F123" i="83"/>
  <c r="F118" i="83"/>
  <c r="F122" i="83"/>
  <c r="N118" i="83"/>
  <c r="N123" i="83"/>
  <c r="N119" i="83"/>
  <c r="N122" i="83"/>
  <c r="G122" i="83"/>
  <c r="G119" i="83"/>
  <c r="G123" i="83"/>
  <c r="G118" i="83"/>
  <c r="L123" i="83"/>
  <c r="L122" i="83"/>
  <c r="L118" i="83"/>
  <c r="L119" i="83"/>
  <c r="J123" i="83"/>
  <c r="J119" i="83"/>
  <c r="J122" i="83"/>
  <c r="J118" i="83"/>
  <c r="E123" i="83"/>
  <c r="E122" i="83"/>
  <c r="E118" i="83"/>
  <c r="E119" i="83"/>
  <c r="J158" i="83"/>
  <c r="J167" i="83"/>
  <c r="J140" i="83"/>
  <c r="J149" i="83"/>
  <c r="K119" i="83"/>
  <c r="K118" i="83"/>
  <c r="K123" i="83"/>
  <c r="K122" i="83"/>
  <c r="H167" i="83"/>
  <c r="H140" i="83"/>
  <c r="H149" i="83"/>
  <c r="H158" i="83"/>
  <c r="G167" i="83"/>
  <c r="G140" i="83"/>
  <c r="G158" i="83"/>
  <c r="G149" i="83"/>
  <c r="K158" i="83"/>
  <c r="K167" i="83"/>
  <c r="K149" i="83"/>
  <c r="K140" i="83"/>
  <c r="I167" i="83"/>
  <c r="I149" i="83"/>
  <c r="I140" i="83"/>
  <c r="I158" i="83"/>
  <c r="N149" i="83"/>
  <c r="N167" i="83"/>
  <c r="N140" i="83"/>
  <c r="N158" i="83"/>
  <c r="M167" i="83"/>
  <c r="M140" i="83"/>
  <c r="M149" i="83"/>
  <c r="M158" i="83"/>
  <c r="L140" i="83"/>
  <c r="L149" i="83"/>
  <c r="L167" i="83"/>
  <c r="L158" i="83"/>
  <c r="H15" i="89"/>
  <c r="S19" i="87"/>
  <c r="Z19" i="87"/>
  <c r="H14" i="89"/>
  <c r="H16" i="89"/>
  <c r="H18" i="89"/>
  <c r="H17" i="89"/>
  <c r="H76" i="89" a="1"/>
  <c r="H76" i="89"/>
  <c r="H45" i="89"/>
  <c r="H44" i="89"/>
  <c r="H27" i="89" a="1"/>
  <c r="H27" i="89"/>
  <c r="H37" i="89" a="1"/>
  <c r="H37" i="89"/>
  <c r="H67" i="89" a="1"/>
  <c r="H67" i="89"/>
  <c r="H90" i="89" a="1"/>
  <c r="H90" i="89"/>
  <c r="H83" i="89" a="1"/>
  <c r="H83" i="89"/>
  <c r="H34" i="89" a="1"/>
  <c r="H34" i="89"/>
  <c r="B25" i="83"/>
  <c r="B176" i="83"/>
  <c r="B167" i="83"/>
  <c r="B158" i="83"/>
  <c r="B149" i="83"/>
  <c r="B140" i="83"/>
  <c r="H89" i="89" a="1"/>
  <c r="H89" i="89"/>
  <c r="H32" i="89" a="1"/>
  <c r="H32" i="89"/>
  <c r="H19" i="89" a="1"/>
  <c r="H19" i="89"/>
  <c r="H84" i="89" a="1"/>
  <c r="H84" i="89"/>
  <c r="H61" i="89" a="1"/>
  <c r="H61" i="89"/>
  <c r="H52" i="89" a="1"/>
  <c r="H52" i="89"/>
  <c r="H36" i="89" a="1"/>
  <c r="O19" i="87"/>
  <c r="M19" i="87"/>
  <c r="J19" i="87"/>
  <c r="Q19" i="87"/>
  <c r="P19" i="87"/>
  <c r="I19" i="87"/>
  <c r="N19" i="87"/>
  <c r="L19" i="87"/>
  <c r="K19" i="87"/>
  <c r="H36" i="89"/>
  <c r="C19" i="87"/>
  <c r="H51" i="89" a="1"/>
  <c r="H51" i="89"/>
  <c r="H63" i="89" a="1"/>
  <c r="H63" i="89"/>
  <c r="H41" i="89" a="1"/>
  <c r="H41" i="89"/>
  <c r="H79" i="89" a="1"/>
  <c r="H79" i="89"/>
  <c r="H62" i="89" a="1"/>
  <c r="H62" i="89"/>
  <c r="T19" i="87"/>
  <c r="H68" i="89" a="1"/>
  <c r="H68" i="89"/>
  <c r="H42" i="89" a="1"/>
  <c r="H42" i="89"/>
  <c r="H75" i="89" a="1"/>
  <c r="H75" i="89"/>
  <c r="H74" i="89" a="1"/>
  <c r="H74" i="89"/>
  <c r="H78" i="89" a="1"/>
  <c r="H78" i="89"/>
  <c r="H60" i="89" a="1"/>
  <c r="H60" i="89"/>
  <c r="H33" i="89" a="1"/>
  <c r="H33" i="89"/>
  <c r="H77" i="89" a="1"/>
  <c r="H77" i="89"/>
  <c r="H28" i="89" a="1"/>
  <c r="H28" i="89"/>
  <c r="H26" i="89" a="1"/>
  <c r="H26" i="89"/>
  <c r="H53" i="89" a="1"/>
  <c r="H53" i="89"/>
  <c r="H23" i="89" a="1"/>
  <c r="H23" i="89"/>
  <c r="H73" i="89" a="1"/>
  <c r="H73" i="89"/>
  <c r="H55" i="89" a="1"/>
  <c r="H55" i="89"/>
  <c r="H24" i="89" a="1"/>
  <c r="H24" i="89"/>
  <c r="H43" i="89" a="1"/>
  <c r="H43" i="89"/>
  <c r="H88" i="89" a="1"/>
  <c r="H88" i="89"/>
  <c r="E19" i="87"/>
  <c r="D19" i="87"/>
  <c r="H54" i="89" a="1"/>
  <c r="H54" i="89"/>
  <c r="H59" i="89" a="1"/>
  <c r="H59" i="89"/>
  <c r="H69" i="89" a="1"/>
  <c r="H69" i="89"/>
  <c r="H50" i="89" a="1"/>
  <c r="H50" i="89"/>
  <c r="H25" i="89" a="1"/>
  <c r="H25" i="89"/>
  <c r="H35" i="89" a="1"/>
  <c r="H35" i="89"/>
  <c r="H49" i="89" a="1"/>
  <c r="X19" i="87"/>
  <c r="W19" i="87"/>
  <c r="V19" i="87"/>
  <c r="H49" i="89"/>
  <c r="H91" i="89"/>
  <c r="F14" i="89"/>
  <c r="Z17" i="87"/>
  <c r="F15" i="89"/>
  <c r="S17" i="87"/>
  <c r="F17" i="89"/>
  <c r="F18" i="89"/>
  <c r="F16" i="89"/>
  <c r="F34" i="89" a="1"/>
  <c r="F34" i="89"/>
  <c r="C17" i="87"/>
  <c r="F61" i="89" a="1"/>
  <c r="F61" i="89"/>
  <c r="F54" i="89" a="1"/>
  <c r="F54" i="89"/>
  <c r="F35" i="89" a="1"/>
  <c r="F35" i="89"/>
  <c r="F78" i="89" a="1"/>
  <c r="F78" i="89"/>
  <c r="F28" i="89" a="1"/>
  <c r="F28" i="89"/>
  <c r="F67" i="89" a="1"/>
  <c r="F67" i="89"/>
  <c r="F32" i="89" a="1"/>
  <c r="F32" i="89"/>
  <c r="F84" i="89" a="1"/>
  <c r="F84" i="89"/>
  <c r="F60" i="89" a="1"/>
  <c r="F60" i="89"/>
  <c r="F83" i="89" a="1"/>
  <c r="F83" i="89"/>
  <c r="F79" i="89" a="1"/>
  <c r="F79" i="89"/>
  <c r="F55" i="89" a="1"/>
  <c r="F55" i="89"/>
  <c r="F49" i="89" a="1"/>
  <c r="F49" i="89"/>
  <c r="F50" i="89" a="1"/>
  <c r="F50" i="89"/>
  <c r="F88" i="89" a="1"/>
  <c r="F88" i="89"/>
  <c r="F73" i="89" a="1"/>
  <c r="F73" i="89"/>
  <c r="F42" i="89" a="1"/>
  <c r="F42" i="89"/>
  <c r="F75" i="89" a="1"/>
  <c r="F75" i="89"/>
  <c r="F45" i="89"/>
  <c r="F44" i="89"/>
  <c r="F89" i="89" a="1"/>
  <c r="F89" i="89"/>
  <c r="F37" i="89" a="1"/>
  <c r="F37" i="89"/>
  <c r="F68" i="89" a="1"/>
  <c r="F68" i="89"/>
  <c r="F51" i="89" a="1"/>
  <c r="F51" i="89"/>
  <c r="D17" i="87"/>
  <c r="F33" i="89" a="1"/>
  <c r="F33" i="89"/>
  <c r="F24" i="89" a="1"/>
  <c r="F24" i="89"/>
  <c r="F59" i="89" a="1"/>
  <c r="F59" i="89"/>
  <c r="F76" i="89" a="1"/>
  <c r="F76" i="89"/>
  <c r="F69" i="89" a="1"/>
  <c r="F69" i="89"/>
  <c r="F63" i="89" a="1"/>
  <c r="F63" i="89"/>
  <c r="F25" i="89" a="1"/>
  <c r="F25" i="89"/>
  <c r="F62" i="89" a="1"/>
  <c r="F62" i="89"/>
  <c r="E17" i="87"/>
  <c r="F27" i="89" a="1"/>
  <c r="F27" i="89"/>
  <c r="F52" i="89" a="1"/>
  <c r="F52" i="89"/>
  <c r="F36" i="89" a="1"/>
  <c r="F36" i="89"/>
  <c r="F90" i="89" a="1"/>
  <c r="F90" i="89"/>
  <c r="F74" i="89" a="1"/>
  <c r="F74" i="89"/>
  <c r="F43" i="89" a="1"/>
  <c r="F43" i="89"/>
  <c r="F23" i="89" a="1"/>
  <c r="F23" i="89"/>
  <c r="F19" i="89" a="1"/>
  <c r="F19" i="89"/>
  <c r="F26" i="89" a="1"/>
  <c r="F26" i="89"/>
  <c r="B23" i="83"/>
  <c r="T17" i="87"/>
  <c r="F77" i="89" a="1"/>
  <c r="O17" i="87"/>
  <c r="I17" i="87"/>
  <c r="P17" i="87"/>
  <c r="J17" i="87"/>
  <c r="K17" i="87"/>
  <c r="L17" i="87"/>
  <c r="Q17" i="87"/>
  <c r="M17" i="87"/>
  <c r="N17" i="87"/>
  <c r="F77" i="89"/>
  <c r="F41" i="89" a="1"/>
  <c r="F41" i="89"/>
  <c r="F53" i="89" a="1"/>
  <c r="F53" i="89"/>
  <c r="F91" i="89"/>
  <c r="X17" i="87"/>
  <c r="W17" i="87"/>
  <c r="V17" i="87"/>
  <c r="N77" i="83"/>
  <c r="N76" i="83"/>
  <c r="H76" i="83"/>
  <c r="H77" i="83"/>
  <c r="K77" i="83"/>
  <c r="K76" i="83"/>
  <c r="L145" i="83"/>
  <c r="L163" i="83"/>
  <c r="L136" i="83"/>
  <c r="L154" i="83"/>
  <c r="J76" i="83"/>
  <c r="J77" i="83"/>
  <c r="I77" i="83"/>
  <c r="I76" i="83"/>
  <c r="G77" i="83"/>
  <c r="G76" i="83"/>
  <c r="L77" i="83"/>
  <c r="L76" i="83"/>
  <c r="M145" i="83"/>
  <c r="M136" i="83"/>
  <c r="M163" i="83"/>
  <c r="M154" i="83"/>
  <c r="M77" i="83"/>
  <c r="M76" i="83"/>
  <c r="K145" i="83"/>
  <c r="K136" i="83"/>
  <c r="K163" i="83"/>
  <c r="K154" i="83"/>
  <c r="N136" i="83"/>
  <c r="N145" i="83"/>
  <c r="N163" i="83"/>
  <c r="N154" i="83"/>
  <c r="F77" i="83"/>
  <c r="F76" i="83"/>
  <c r="G145" i="83"/>
  <c r="G136" i="83"/>
  <c r="G154" i="83"/>
  <c r="G163" i="83"/>
  <c r="J163" i="83"/>
  <c r="J154" i="83"/>
  <c r="J145" i="83"/>
  <c r="J136" i="83"/>
  <c r="E76" i="83"/>
  <c r="E77" i="83"/>
  <c r="I145" i="83"/>
  <c r="I136" i="83"/>
  <c r="I154" i="83"/>
  <c r="I163" i="83"/>
  <c r="H163" i="83"/>
  <c r="H145" i="83"/>
  <c r="H154" i="83"/>
  <c r="H136" i="83"/>
  <c r="D88" i="89" a="1"/>
  <c r="D88" i="89"/>
  <c r="C15" i="87"/>
  <c r="D62" i="89" a="1"/>
  <c r="D62" i="89"/>
  <c r="D90" i="89" a="1"/>
  <c r="D90" i="89"/>
  <c r="D89" i="89" a="1"/>
  <c r="D89" i="89"/>
  <c r="D51" i="89" a="1"/>
  <c r="D51" i="89"/>
  <c r="D78" i="89" a="1"/>
  <c r="D78" i="89"/>
  <c r="D60" i="89" a="1"/>
  <c r="D60" i="89"/>
  <c r="D33" i="89" a="1"/>
  <c r="D33" i="89"/>
  <c r="D77" i="89" a="1"/>
  <c r="D77" i="89"/>
  <c r="D45" i="89"/>
  <c r="D44" i="89"/>
  <c r="D74" i="89" a="1"/>
  <c r="D74" i="89"/>
  <c r="D28" i="89" a="1"/>
  <c r="D28" i="89"/>
  <c r="D15" i="87"/>
  <c r="D43" i="89" a="1"/>
  <c r="D43" i="89"/>
  <c r="D79" i="89" a="1"/>
  <c r="D79" i="89"/>
  <c r="D55" i="89" a="1"/>
  <c r="D55" i="89"/>
  <c r="D54" i="89" a="1"/>
  <c r="D54" i="89"/>
  <c r="D83" i="89" a="1"/>
  <c r="D83" i="89"/>
  <c r="D34" i="89" a="1"/>
  <c r="D34" i="89"/>
  <c r="E15" i="87"/>
  <c r="D59" i="89" a="1"/>
  <c r="D59" i="89"/>
  <c r="D32" i="89" a="1"/>
  <c r="D32" i="89"/>
  <c r="D19" i="89" a="1"/>
  <c r="D19" i="89"/>
  <c r="D75" i="89" a="1"/>
  <c r="D75" i="89"/>
  <c r="D42" i="89" a="1"/>
  <c r="D42" i="89"/>
  <c r="D41" i="89" a="1"/>
  <c r="D41" i="89"/>
  <c r="D27" i="89" a="1"/>
  <c r="D27" i="89"/>
  <c r="D73" i="89" a="1"/>
  <c r="D73" i="89"/>
  <c r="D63" i="89" a="1"/>
  <c r="D63" i="89"/>
  <c r="D49" i="89" a="1"/>
  <c r="D49" i="89"/>
  <c r="D69" i="89" a="1"/>
  <c r="D69" i="89"/>
  <c r="D84" i="89" a="1"/>
  <c r="D84" i="89"/>
  <c r="D67" i="89" a="1"/>
  <c r="D67" i="89"/>
  <c r="D76" i="89" a="1"/>
  <c r="D76" i="89"/>
  <c r="D68" i="89" a="1"/>
  <c r="D68" i="89"/>
  <c r="D23" i="89" a="1"/>
  <c r="D23" i="89"/>
  <c r="T15" i="87"/>
  <c r="B21" i="83" a="1"/>
  <c r="B21" i="83"/>
  <c r="B172" i="83"/>
  <c r="B163" i="83"/>
  <c r="B154" i="83"/>
  <c r="B145" i="83"/>
  <c r="B136" i="83"/>
  <c r="D24" i="89" a="1"/>
  <c r="D24" i="89"/>
  <c r="D61" i="89" a="1"/>
  <c r="D61" i="89"/>
  <c r="D35" i="89" a="1"/>
  <c r="D35" i="89"/>
  <c r="D36" i="89" a="1"/>
  <c r="D36" i="89"/>
  <c r="D52" i="89" a="1"/>
  <c r="D52" i="89"/>
  <c r="D25" i="89" a="1"/>
  <c r="D25" i="89"/>
  <c r="D26" i="89" a="1"/>
  <c r="D26" i="89"/>
  <c r="D50" i="89" a="1"/>
  <c r="D50" i="89"/>
  <c r="D53" i="89" a="1"/>
  <c r="D53" i="89"/>
  <c r="D37" i="89" a="1"/>
  <c r="D37" i="89"/>
  <c r="N15" i="87"/>
  <c r="Z15" i="87"/>
  <c r="D17" i="89"/>
  <c r="P15" i="87"/>
  <c r="O15" i="87"/>
  <c r="D18" i="89"/>
  <c r="M15" i="87"/>
  <c r="K15" i="87"/>
  <c r="J15" i="87"/>
  <c r="S15" i="87"/>
  <c r="L15" i="87"/>
  <c r="D16" i="89"/>
  <c r="Q15" i="87"/>
  <c r="W15" i="87"/>
  <c r="D14" i="89"/>
  <c r="X15" i="87"/>
  <c r="V15" i="87"/>
  <c r="I15" i="87"/>
  <c r="D15" i="89"/>
  <c r="N78" i="83"/>
  <c r="N75" i="83"/>
  <c r="N79" i="83"/>
  <c r="N74" i="83"/>
  <c r="I78" i="83"/>
  <c r="I79" i="83"/>
  <c r="I75" i="83"/>
  <c r="I74" i="83"/>
  <c r="J78" i="83"/>
  <c r="J79" i="83"/>
  <c r="J75" i="83"/>
  <c r="J74" i="83"/>
  <c r="K75" i="83"/>
  <c r="K79" i="83"/>
  <c r="K74" i="83"/>
  <c r="E74" i="83"/>
  <c r="K78" i="83"/>
  <c r="E75" i="83"/>
  <c r="E78" i="83"/>
  <c r="E79" i="83"/>
  <c r="D91" i="89"/>
  <c r="F74" i="83"/>
  <c r="F78" i="83"/>
  <c r="F79" i="83"/>
  <c r="F75" i="83"/>
  <c r="H75" i="83"/>
  <c r="H79" i="83"/>
  <c r="H78" i="83"/>
  <c r="H74" i="83"/>
  <c r="M79" i="83"/>
  <c r="M75" i="83"/>
  <c r="M78" i="83"/>
  <c r="M74" i="83"/>
  <c r="L75" i="83"/>
  <c r="L79" i="83"/>
  <c r="L78" i="83"/>
  <c r="L74" i="83"/>
  <c r="G78" i="83"/>
  <c r="G75" i="83"/>
  <c r="G79" i="83"/>
  <c r="G74" i="83"/>
  <c r="AJ12" i="78"/>
  <c r="AL12" i="78"/>
  <c r="AJ11" i="78"/>
  <c r="AL11" i="78"/>
  <c r="AH12" i="78"/>
  <c r="AH11" i="78"/>
  <c r="X31" i="78"/>
  <c r="X14" i="78"/>
  <c r="Y14" i="78"/>
  <c r="X13" i="78"/>
  <c r="Y13" i="78"/>
  <c r="X12" i="78"/>
  <c r="Y12" i="78"/>
  <c r="X11" i="78"/>
  <c r="Y11" i="78"/>
  <c r="H21" i="78"/>
  <c r="H15" i="78"/>
  <c r="E21" i="78"/>
  <c r="F21" i="78"/>
  <c r="G21" i="78"/>
  <c r="D21" i="78"/>
  <c r="N21" i="78"/>
  <c r="K21" i="78"/>
  <c r="L21" i="78"/>
  <c r="M21" i="78"/>
  <c r="K11" i="78"/>
  <c r="L11" i="78"/>
  <c r="M11" i="78"/>
  <c r="J21" i="78"/>
  <c r="T21" i="78"/>
  <c r="R21" i="78"/>
  <c r="S21" i="78"/>
  <c r="Q21" i="78"/>
  <c r="S15" i="78"/>
  <c r="Q15" i="78"/>
  <c r="P21" i="78"/>
  <c r="V14" i="78"/>
  <c r="V13" i="78"/>
  <c r="V12" i="78"/>
  <c r="W21" i="78"/>
  <c r="V11" i="78"/>
  <c r="AD16" i="78"/>
  <c r="R15" i="78"/>
  <c r="T15" i="78"/>
  <c r="X15" i="78"/>
  <c r="Y15" i="78"/>
  <c r="Z15" i="78"/>
  <c r="AC15" i="78"/>
  <c r="AD15" i="78"/>
  <c r="Y16" i="78"/>
  <c r="E15" i="78"/>
  <c r="F15" i="78"/>
  <c r="G15" i="78"/>
  <c r="AE15" i="78"/>
  <c r="AF15" i="78"/>
  <c r="AT15" i="78"/>
  <c r="AU15" i="78"/>
  <c r="AV15" i="78"/>
  <c r="AW15" i="78"/>
  <c r="AX15" i="78"/>
  <c r="AY15" i="78"/>
  <c r="AZ15" i="78"/>
  <c r="AH16" i="78"/>
  <c r="AJ16" i="78"/>
  <c r="AL16" i="78"/>
  <c r="AL31" i="78"/>
  <c r="AJ31" i="78"/>
  <c r="AH31" i="78"/>
  <c r="Y31" i="78"/>
  <c r="AD31" i="78"/>
  <c r="V16" i="78"/>
  <c r="Q16" i="78"/>
  <c r="R16" i="78"/>
  <c r="S16" i="78"/>
  <c r="P16" i="78"/>
  <c r="T16" i="78" s="1"/>
  <c r="J16" i="78"/>
  <c r="D16" i="78"/>
  <c r="J63" i="83"/>
  <c r="G65" i="83"/>
  <c r="G66" i="83"/>
  <c r="N66" i="83"/>
  <c r="N65" i="83"/>
  <c r="F66" i="83"/>
  <c r="F65" i="83"/>
  <c r="M66" i="83"/>
  <c r="M65" i="83"/>
  <c r="L66" i="83"/>
  <c r="L65" i="83"/>
  <c r="I66" i="83"/>
  <c r="I65" i="83"/>
  <c r="K66" i="83"/>
  <c r="K65" i="83"/>
  <c r="J65" i="83"/>
  <c r="J66" i="83"/>
  <c r="H66" i="83"/>
  <c r="H65" i="83"/>
  <c r="E65" i="83"/>
  <c r="E66" i="83"/>
  <c r="O13" i="83"/>
  <c r="O14" i="83"/>
  <c r="E164" i="86" a="1"/>
  <c r="E164" i="86"/>
  <c r="M18" i="83"/>
  <c r="E171" i="86" a="1"/>
  <c r="E171" i="86"/>
  <c r="D17" i="83"/>
  <c r="D18" i="83"/>
  <c r="E174" i="86" a="1"/>
  <c r="E174" i="86"/>
  <c r="E169" i="86" a="1"/>
  <c r="E169" i="86"/>
  <c r="E168" i="86" a="1"/>
  <c r="E168" i="86"/>
  <c r="E170" i="86" a="1"/>
  <c r="E170" i="86"/>
  <c r="E165" i="86" a="1"/>
  <c r="E165" i="86"/>
  <c r="E173" i="86" a="1"/>
  <c r="E173" i="86"/>
  <c r="E166" i="86" a="1"/>
  <c r="E166" i="86"/>
  <c r="S7" i="83"/>
  <c r="B171" i="83"/>
  <c r="B162" i="83"/>
  <c r="B153" i="83"/>
  <c r="B144" i="83"/>
  <c r="B135" i="83"/>
  <c r="H67" i="83"/>
  <c r="H68" i="83"/>
  <c r="H63" i="83"/>
  <c r="H64" i="83"/>
  <c r="N64" i="83"/>
  <c r="N68" i="83"/>
  <c r="N67" i="83"/>
  <c r="N63" i="83"/>
  <c r="I64" i="83"/>
  <c r="I63" i="83"/>
  <c r="I68" i="83"/>
  <c r="I67" i="83"/>
  <c r="F64" i="83"/>
  <c r="F63" i="83"/>
  <c r="F68" i="83"/>
  <c r="F67" i="83"/>
  <c r="G68" i="83"/>
  <c r="G67" i="83"/>
  <c r="G63" i="83"/>
  <c r="G64" i="83"/>
  <c r="L67" i="83"/>
  <c r="L63" i="83"/>
  <c r="L64" i="83"/>
  <c r="L68" i="83"/>
  <c r="J68" i="83"/>
  <c r="J67" i="83"/>
  <c r="J64" i="83"/>
  <c r="M63" i="83"/>
  <c r="M67" i="83"/>
  <c r="M64" i="83"/>
  <c r="M68" i="83"/>
  <c r="E63" i="83"/>
  <c r="E64" i="83"/>
  <c r="E68" i="83"/>
  <c r="E67" i="83"/>
  <c r="K63" i="83"/>
  <c r="K67" i="83"/>
  <c r="K68" i="83"/>
  <c r="K64" i="83"/>
  <c r="H162" i="83"/>
  <c r="H144" i="83"/>
  <c r="H135" i="83"/>
  <c r="H153" i="83"/>
  <c r="J144" i="83"/>
  <c r="J135" i="83"/>
  <c r="J153" i="83"/>
  <c r="J162" i="83"/>
  <c r="L135" i="83"/>
  <c r="L153" i="83"/>
  <c r="L162" i="83"/>
  <c r="L144" i="83"/>
  <c r="M144" i="83"/>
  <c r="M153" i="83"/>
  <c r="M162" i="83"/>
  <c r="M135" i="83"/>
  <c r="I162" i="83"/>
  <c r="I144" i="83"/>
  <c r="I135" i="83"/>
  <c r="I153" i="83"/>
  <c r="K153" i="83"/>
  <c r="K162" i="83"/>
  <c r="K135" i="83"/>
  <c r="K144" i="83"/>
  <c r="G153" i="83"/>
  <c r="G144" i="83"/>
  <c r="G162" i="83"/>
  <c r="G135" i="83"/>
  <c r="N162" i="83"/>
  <c r="N153" i="83"/>
  <c r="N144" i="83"/>
  <c r="N135" i="83"/>
  <c r="AL14" i="78" l="1"/>
  <c r="AL13" i="78"/>
  <c r="AJ14" i="78"/>
  <c r="AJ13" i="78"/>
  <c r="AD14" i="78"/>
  <c r="AD13" i="78"/>
  <c r="AD12" i="78"/>
  <c r="AD11" i="78"/>
  <c r="AH14" i="78"/>
  <c r="AH13" i="78"/>
  <c r="W14" i="78"/>
  <c r="Z14" i="78" s="1"/>
  <c r="W13" i="78"/>
  <c r="Z13" i="78" s="1"/>
  <c r="W12" i="78"/>
  <c r="Z12" i="78" s="1"/>
  <c r="W11" i="78"/>
  <c r="Z11" i="78" s="1"/>
  <c r="P14" i="78"/>
  <c r="P13" i="78"/>
  <c r="P12" i="78"/>
  <c r="P11" i="78"/>
  <c r="Q14" i="78"/>
  <c r="Q13" i="78"/>
  <c r="Q12" i="78"/>
  <c r="Q11" i="78"/>
  <c r="S14" i="78"/>
  <c r="S13" i="78"/>
  <c r="S12" i="78"/>
  <c r="S11" i="78"/>
  <c r="R14" i="78"/>
  <c r="R13" i="78"/>
  <c r="R12" i="78"/>
  <c r="R11" i="78"/>
  <c r="J14" i="78"/>
  <c r="J13" i="78"/>
  <c r="J12" i="78"/>
  <c r="J11" i="78"/>
  <c r="N11" i="78" s="1"/>
  <c r="M14" i="78"/>
  <c r="M13" i="78"/>
  <c r="M12" i="78"/>
  <c r="L14" i="78"/>
  <c r="L13" i="78"/>
  <c r="L12" i="78"/>
  <c r="K14" i="78"/>
  <c r="K13" i="78"/>
  <c r="K12" i="78"/>
  <c r="D14" i="78"/>
  <c r="D13" i="78"/>
  <c r="D12" i="78"/>
  <c r="D11" i="78"/>
  <c r="G14" i="78"/>
  <c r="G13" i="78"/>
  <c r="G12" i="78"/>
  <c r="G11" i="78"/>
  <c r="F14" i="78"/>
  <c r="F13" i="78"/>
  <c r="F12" i="78"/>
  <c r="F11" i="78"/>
  <c r="E14" i="78"/>
  <c r="E13" i="78"/>
  <c r="E12" i="78"/>
  <c r="E11" i="78"/>
  <c r="X16" i="78"/>
  <c r="AB31" i="78"/>
  <c r="AB16" i="78"/>
  <c r="AC31" i="78"/>
  <c r="AC16" i="78"/>
  <c r="AE31" i="78"/>
  <c r="AE16" i="78"/>
  <c r="AF16" i="78" s="1"/>
  <c r="E16" i="78"/>
  <c r="W16" i="78"/>
  <c r="K16" i="78"/>
  <c r="F16" i="78"/>
  <c r="Y44" i="91" a="1"/>
  <c r="Y44" i="91" s="1"/>
  <c r="X44" i="91" a="1"/>
  <c r="X44" i="91" s="1"/>
  <c r="Y43" i="91" a="1"/>
  <c r="Y43" i="91" s="1"/>
  <c r="X43" i="91" a="1"/>
  <c r="X43" i="91" s="1"/>
  <c r="Z43" i="91" s="1"/>
  <c r="Y42" i="91" a="1"/>
  <c r="Y42" i="91" s="1"/>
  <c r="X42" i="91" a="1"/>
  <c r="X42" i="91" s="1"/>
  <c r="Y41" i="91" a="1"/>
  <c r="Y41" i="91" s="1"/>
  <c r="X41" i="91" a="1"/>
  <c r="X41" i="91" s="1"/>
  <c r="Y40" i="91" a="1"/>
  <c r="Y40" i="91" s="1"/>
  <c r="X40" i="91" a="1"/>
  <c r="X40" i="91" s="1"/>
  <c r="Z40" i="91" s="1"/>
  <c r="Y39" i="91" a="1"/>
  <c r="Y39" i="91" s="1"/>
  <c r="X39" i="91" a="1"/>
  <c r="X39" i="91" s="1"/>
  <c r="Y38" i="91" a="1"/>
  <c r="Y38" i="91" s="1"/>
  <c r="X38" i="91" a="1"/>
  <c r="X38" i="91" s="1"/>
  <c r="AC14" i="78" l="1"/>
  <c r="AC13" i="78"/>
  <c r="AC12" i="78"/>
  <c r="AC11" i="78"/>
  <c r="AB13" i="78"/>
  <c r="AB12" i="78"/>
  <c r="AB14" i="78"/>
  <c r="AB11" i="78"/>
  <c r="AE14" i="78"/>
  <c r="AE13" i="78"/>
  <c r="AE12" i="78"/>
  <c r="AE11" i="78"/>
  <c r="AF11" i="78"/>
  <c r="AF12" i="78"/>
  <c r="AF13" i="78"/>
  <c r="AF14" i="78"/>
  <c r="H11" i="78"/>
  <c r="H12" i="78"/>
  <c r="H13" i="78"/>
  <c r="H14" i="78"/>
  <c r="N12" i="78"/>
  <c r="N13" i="78"/>
  <c r="N14" i="78"/>
  <c r="T11" i="78"/>
  <c r="T12" i="78"/>
  <c r="T13" i="78"/>
  <c r="T14" i="78"/>
  <c r="L16" i="78"/>
  <c r="M16" i="78"/>
  <c r="G16" i="78"/>
  <c r="H16" i="78" s="1"/>
  <c r="Z39" i="91"/>
  <c r="Z44" i="91"/>
  <c r="Z42" i="91"/>
  <c r="Z38" i="91"/>
  <c r="Z41" i="91"/>
  <c r="N16" i="78" l="1"/>
  <c r="AD28" i="91" a="1"/>
  <c r="AD28" i="91" s="1"/>
  <c r="AF115" i="78" l="1"/>
  <c r="R161" i="78" l="1"/>
  <c r="H21" i="85" l="1"/>
  <c r="H22" i="85"/>
  <c r="AF161" i="78" l="1"/>
  <c r="AL43" i="78"/>
  <c r="AJ43" i="78"/>
  <c r="AH43" i="78"/>
  <c r="AE43" i="78"/>
  <c r="AD43" i="78"/>
  <c r="AC43" i="78"/>
  <c r="AB43" i="78"/>
  <c r="Y43" i="78"/>
  <c r="X43" i="78"/>
  <c r="AL34" i="78"/>
  <c r="AJ34" i="78"/>
  <c r="AH34" i="78"/>
  <c r="AE34" i="78"/>
  <c r="AD34" i="78"/>
  <c r="AC34" i="78"/>
  <c r="AB34" i="78"/>
  <c r="Y34" i="78"/>
  <c r="X34" i="78"/>
  <c r="AL106" i="78"/>
  <c r="AL109" i="78" s="1"/>
  <c r="W112" i="78" l="1"/>
  <c r="J115" i="78"/>
  <c r="T115" i="78"/>
  <c r="V112" i="78"/>
  <c r="F112" i="78"/>
  <c r="T112" i="78"/>
  <c r="L112" i="78"/>
  <c r="L115" i="78"/>
  <c r="Q115" i="78"/>
  <c r="J112" i="78"/>
  <c r="D115" i="78"/>
  <c r="E115" i="78"/>
  <c r="M112" i="78"/>
  <c r="R115" i="78"/>
  <c r="D112" i="78"/>
  <c r="D28" i="6"/>
  <c r="N112" i="78"/>
  <c r="M115" i="78"/>
  <c r="P115" i="78"/>
  <c r="W115" i="78"/>
  <c r="F115" i="78"/>
  <c r="V115" i="78"/>
  <c r="E112" i="78"/>
  <c r="H112" i="78"/>
  <c r="S112" i="78"/>
  <c r="Q112" i="78"/>
  <c r="P112" i="78"/>
  <c r="G115" i="78"/>
  <c r="R112" i="78"/>
  <c r="N115" i="78"/>
  <c r="G112" i="78"/>
  <c r="K115" i="78"/>
  <c r="S115" i="78"/>
  <c r="K112" i="78"/>
  <c r="H115" i="78"/>
  <c r="X106" i="78"/>
  <c r="X109" i="78" s="1"/>
  <c r="Y106" i="78"/>
  <c r="Y109" i="78" s="1"/>
  <c r="AB106" i="78"/>
  <c r="AB109" i="78" s="1"/>
  <c r="AC106" i="78"/>
  <c r="AC109" i="78" s="1"/>
  <c r="AD106" i="78"/>
  <c r="AD109" i="78" s="1"/>
  <c r="AE106" i="78"/>
  <c r="AE109" i="78" s="1"/>
  <c r="AH106" i="78"/>
  <c r="AH109" i="78" s="1"/>
  <c r="AJ106" i="78"/>
  <c r="AJ109" i="78" s="1"/>
  <c r="Z115" i="78" l="1"/>
  <c r="F20" i="85"/>
  <c r="H30" i="85" l="1"/>
  <c r="H31" i="85"/>
  <c r="H28" i="85" l="1"/>
  <c r="H27" i="85" l="1"/>
  <c r="H25" i="85"/>
  <c r="H26" i="85"/>
  <c r="H23" i="85" l="1"/>
  <c r="C12" i="89" l="1"/>
  <c r="J82" i="78"/>
  <c r="M82" i="78"/>
  <c r="D82" i="78"/>
  <c r="D83" i="78" s="1"/>
  <c r="V82" i="78"/>
  <c r="Q82" i="78"/>
  <c r="E82" i="78"/>
  <c r="K82" i="78"/>
  <c r="P82" i="78"/>
  <c r="W82" i="78"/>
  <c r="F82" i="78"/>
  <c r="L82" i="78"/>
  <c r="G82" i="78"/>
  <c r="S82" i="78"/>
  <c r="R82" i="78"/>
  <c r="D52" i="78" l="1"/>
  <c r="N12" i="89" l="1" a="1"/>
  <c r="D12" i="89" a="1"/>
  <c r="I12" i="89" a="1"/>
  <c r="Q133" i="83"/>
  <c r="R133" i="83" s="1"/>
  <c r="S133" i="83" s="1"/>
  <c r="T133" i="83" s="1"/>
  <c r="U133" i="83" s="1"/>
  <c r="V133" i="83" s="1"/>
  <c r="W133" i="83" s="1"/>
  <c r="Q142" i="83"/>
  <c r="R142" i="83" s="1"/>
  <c r="S142" i="83" s="1"/>
  <c r="T142" i="83" s="1"/>
  <c r="U142" i="83" s="1"/>
  <c r="V142" i="83" s="1"/>
  <c r="W142" i="83" s="1"/>
  <c r="Q151" i="83"/>
  <c r="R151" i="83" s="1"/>
  <c r="S151" i="83" s="1"/>
  <c r="T151" i="83" s="1"/>
  <c r="U151" i="83" s="1"/>
  <c r="V151" i="83" s="1"/>
  <c r="W151" i="83" s="1"/>
  <c r="Q160" i="83"/>
  <c r="R160" i="83" s="1"/>
  <c r="S160" i="83" s="1"/>
  <c r="T160" i="83" s="1"/>
  <c r="U160" i="83" s="1"/>
  <c r="V160" i="83" s="1"/>
  <c r="W160" i="83" s="1"/>
  <c r="N12" i="89" l="1"/>
  <c r="N21" i="89" s="1"/>
  <c r="N30" i="89" s="1"/>
  <c r="N39" i="89" s="1"/>
  <c r="N47" i="89" s="1"/>
  <c r="N57" i="89" s="1"/>
  <c r="N65" i="89" s="1"/>
  <c r="N71" i="89" s="1"/>
  <c r="N81" i="89" s="1"/>
  <c r="N86" i="89" s="1"/>
  <c r="R21" i="89"/>
  <c r="R30" i="89" s="1"/>
  <c r="R39" i="89" s="1"/>
  <c r="R47" i="89" s="1"/>
  <c r="R57" i="89" s="1"/>
  <c r="R65" i="89" s="1"/>
  <c r="R71" i="89" s="1"/>
  <c r="R81" i="89" s="1"/>
  <c r="R86" i="89" s="1"/>
  <c r="P21" i="89"/>
  <c r="P30" i="89" s="1"/>
  <c r="P39" i="89" s="1"/>
  <c r="P47" i="89" s="1"/>
  <c r="P57" i="89" s="1"/>
  <c r="P65" i="89" s="1"/>
  <c r="P71" i="89" s="1"/>
  <c r="P81" i="89" s="1"/>
  <c r="P86" i="89" s="1"/>
  <c r="O21" i="89"/>
  <c r="O30" i="89" s="1"/>
  <c r="O39" i="89" s="1"/>
  <c r="O47" i="89" s="1"/>
  <c r="O57" i="89" s="1"/>
  <c r="O65" i="89" s="1"/>
  <c r="O71" i="89" s="1"/>
  <c r="O81" i="89" s="1"/>
  <c r="O86" i="89" s="1"/>
  <c r="Q21" i="89"/>
  <c r="Q30" i="89" s="1"/>
  <c r="Q39" i="89" s="1"/>
  <c r="Q47" i="89" s="1"/>
  <c r="Q57" i="89" s="1"/>
  <c r="Q65" i="89" s="1"/>
  <c r="Q71" i="89" s="1"/>
  <c r="Q81" i="89" s="1"/>
  <c r="Q86" i="89" s="1"/>
  <c r="I12" i="89"/>
  <c r="I21" i="89" s="1"/>
  <c r="I30" i="89" s="1"/>
  <c r="I39" i="89" s="1"/>
  <c r="I47" i="89" s="1"/>
  <c r="I57" i="89" s="1"/>
  <c r="I65" i="89" s="1"/>
  <c r="I71" i="89" s="1"/>
  <c r="I81" i="89" s="1"/>
  <c r="I86" i="89" s="1"/>
  <c r="M21" i="89"/>
  <c r="M30" i="89" s="1"/>
  <c r="M39" i="89" s="1"/>
  <c r="M47" i="89" s="1"/>
  <c r="M57" i="89" s="1"/>
  <c r="M65" i="89" s="1"/>
  <c r="M71" i="89" s="1"/>
  <c r="M81" i="89" s="1"/>
  <c r="M86" i="89" s="1"/>
  <c r="K21" i="89"/>
  <c r="K30" i="89" s="1"/>
  <c r="K39" i="89" s="1"/>
  <c r="K47" i="89" s="1"/>
  <c r="K57" i="89" s="1"/>
  <c r="K65" i="89" s="1"/>
  <c r="K71" i="89" s="1"/>
  <c r="K81" i="89" s="1"/>
  <c r="K86" i="89" s="1"/>
  <c r="L21" i="89"/>
  <c r="L30" i="89" s="1"/>
  <c r="L39" i="89" s="1"/>
  <c r="L47" i="89" s="1"/>
  <c r="L57" i="89" s="1"/>
  <c r="L65" i="89" s="1"/>
  <c r="L71" i="89" s="1"/>
  <c r="L81" i="89" s="1"/>
  <c r="L86" i="89" s="1"/>
  <c r="J21" i="89"/>
  <c r="J30" i="89" s="1"/>
  <c r="J39" i="89" s="1"/>
  <c r="J47" i="89" s="1"/>
  <c r="J57" i="89" s="1"/>
  <c r="J65" i="89" s="1"/>
  <c r="J71" i="89" s="1"/>
  <c r="J81" i="89" s="1"/>
  <c r="J86" i="89" s="1"/>
  <c r="D12" i="89"/>
  <c r="D21" i="89" s="1"/>
  <c r="D30" i="89" s="1"/>
  <c r="D39" i="89" s="1"/>
  <c r="D47" i="89" s="1"/>
  <c r="D57" i="89" s="1"/>
  <c r="D65" i="89" s="1"/>
  <c r="D71" i="89" s="1"/>
  <c r="D81" i="89" s="1"/>
  <c r="D86" i="89" s="1"/>
  <c r="H21" i="89"/>
  <c r="H30" i="89" s="1"/>
  <c r="H39" i="89" s="1"/>
  <c r="H47" i="89" s="1"/>
  <c r="H57" i="89" s="1"/>
  <c r="H65" i="89" s="1"/>
  <c r="H71" i="89" s="1"/>
  <c r="H81" i="89" s="1"/>
  <c r="H86" i="89" s="1"/>
  <c r="G21" i="89"/>
  <c r="G30" i="89" s="1"/>
  <c r="G39" i="89" s="1"/>
  <c r="G47" i="89" s="1"/>
  <c r="G57" i="89" s="1"/>
  <c r="G65" i="89" s="1"/>
  <c r="G71" i="89" s="1"/>
  <c r="G81" i="89" s="1"/>
  <c r="G86" i="89" s="1"/>
  <c r="E21" i="89"/>
  <c r="E30" i="89" s="1"/>
  <c r="E39" i="89" s="1"/>
  <c r="E47" i="89" s="1"/>
  <c r="E57" i="89" s="1"/>
  <c r="E65" i="89" s="1"/>
  <c r="E71" i="89" s="1"/>
  <c r="E81" i="89" s="1"/>
  <c r="E86" i="89" s="1"/>
  <c r="F21" i="89"/>
  <c r="F30" i="89" s="1"/>
  <c r="F39" i="89" s="1"/>
  <c r="F47" i="89" s="1"/>
  <c r="F57" i="89" s="1"/>
  <c r="F65" i="89" s="1"/>
  <c r="F71" i="89" s="1"/>
  <c r="F81" i="89" s="1"/>
  <c r="F86" i="89" s="1"/>
  <c r="B7" i="87"/>
  <c r="S55" i="87"/>
  <c r="R55" i="87"/>
  <c r="S54" i="87"/>
  <c r="R54" i="87"/>
  <c r="S52" i="87"/>
  <c r="S51" i="87"/>
  <c r="S46" i="87"/>
  <c r="S45" i="87"/>
  <c r="S34" i="87"/>
  <c r="S33" i="87"/>
  <c r="S22" i="87"/>
  <c r="S21" i="87"/>
  <c r="J34" i="87" l="1"/>
  <c r="L34" i="87"/>
  <c r="L33" i="87"/>
  <c r="L54" i="87"/>
  <c r="O55" i="87"/>
  <c r="V33" i="87"/>
  <c r="W55" i="87"/>
  <c r="M33" i="87"/>
  <c r="X34" i="87"/>
  <c r="X33" i="87"/>
  <c r="W22" i="87"/>
  <c r="O34" i="87"/>
  <c r="N45" i="87"/>
  <c r="N55" i="87"/>
  <c r="N52" i="87"/>
  <c r="N54" i="87"/>
  <c r="N51" i="87"/>
  <c r="N46" i="87"/>
  <c r="N34" i="87"/>
  <c r="K55" i="87"/>
  <c r="V22" i="87"/>
  <c r="V21" i="87"/>
  <c r="T33" i="87"/>
  <c r="Q33" i="87"/>
  <c r="X55" i="87"/>
  <c r="X51" i="87"/>
  <c r="X54" i="87"/>
  <c r="X52" i="87"/>
  <c r="X45" i="87"/>
  <c r="X46" i="87"/>
  <c r="P33" i="87"/>
  <c r="V55" i="87"/>
  <c r="V52" i="87"/>
  <c r="I33" i="87"/>
  <c r="K33" i="87"/>
  <c r="J45" i="87"/>
  <c r="Z22" i="87"/>
  <c r="M45" i="87"/>
  <c r="Z52" i="87"/>
  <c r="T45" i="87"/>
  <c r="W34" i="87"/>
  <c r="T22" i="87"/>
  <c r="Z33" i="87"/>
  <c r="X22" i="87"/>
  <c r="P51" i="87"/>
  <c r="W45" i="87"/>
  <c r="V46" i="87"/>
  <c r="V45" i="87"/>
  <c r="V51" i="87"/>
  <c r="V54" i="87"/>
  <c r="W46" i="87"/>
  <c r="W54" i="87"/>
  <c r="W52" i="87"/>
  <c r="W51" i="87"/>
  <c r="M52" i="87"/>
  <c r="M51" i="87"/>
  <c r="M55" i="87"/>
  <c r="M54" i="87"/>
  <c r="N33" i="87"/>
  <c r="P54" i="87"/>
  <c r="P55" i="87"/>
  <c r="P52" i="87"/>
  <c r="P46" i="87"/>
  <c r="V34" i="87"/>
  <c r="M46" i="87"/>
  <c r="P45" i="87"/>
  <c r="K34" i="87"/>
  <c r="W33" i="87"/>
  <c r="W21" i="87"/>
  <c r="P34" i="87"/>
  <c r="O33" i="87"/>
  <c r="L46" i="87"/>
  <c r="J52" i="87"/>
  <c r="L52" i="87"/>
  <c r="O46" i="87"/>
  <c r="Q34" i="87"/>
  <c r="L51" i="87"/>
  <c r="O51" i="87"/>
  <c r="J54" i="87"/>
  <c r="M34" i="87"/>
  <c r="J55" i="87"/>
  <c r="K45" i="87"/>
  <c r="O52" i="87"/>
  <c r="L45" i="87"/>
  <c r="J46" i="87"/>
  <c r="O45" i="87"/>
  <c r="J51" i="87"/>
  <c r="O54" i="87"/>
  <c r="L55" i="87"/>
  <c r="X21" i="87"/>
  <c r="K52" i="87"/>
  <c r="I34" i="87"/>
  <c r="K46" i="87"/>
  <c r="K54" i="87"/>
  <c r="K51" i="87"/>
  <c r="T52" i="87"/>
  <c r="T55" i="87"/>
  <c r="Z55" i="87"/>
  <c r="J33" i="87"/>
  <c r="Z34" i="87"/>
  <c r="I45" i="87"/>
  <c r="I51" i="87"/>
  <c r="I54" i="87"/>
  <c r="I52" i="87"/>
  <c r="I55" i="87"/>
  <c r="I46" i="87"/>
  <c r="Z46" i="87"/>
  <c r="Q45" i="87"/>
  <c r="Q51" i="87"/>
  <c r="Q55" i="87"/>
  <c r="T21" i="87"/>
  <c r="T34" i="87"/>
  <c r="Q46" i="87"/>
  <c r="Q54" i="87"/>
  <c r="Z45" i="87"/>
  <c r="Z54" i="87"/>
  <c r="Z51" i="87"/>
  <c r="Q52" i="87"/>
  <c r="Z21" i="87"/>
  <c r="T51" i="87"/>
  <c r="T54" i="87"/>
  <c r="T46" i="87"/>
  <c r="Q22" i="87"/>
  <c r="Q21" i="87"/>
  <c r="P22" i="87"/>
  <c r="P21" i="87"/>
  <c r="O22" i="87"/>
  <c r="O21" i="87"/>
  <c r="N21" i="87"/>
  <c r="N22" i="87"/>
  <c r="M22" i="87"/>
  <c r="M21" i="87"/>
  <c r="L22" i="87"/>
  <c r="L21" i="87"/>
  <c r="K21" i="87"/>
  <c r="K22" i="87"/>
  <c r="J22" i="87"/>
  <c r="J21" i="87"/>
  <c r="I22" i="87"/>
  <c r="I21" i="87"/>
  <c r="H32" i="6"/>
  <c r="G32" i="6"/>
  <c r="F32" i="6"/>
  <c r="K16" i="6"/>
  <c r="K15" i="6"/>
  <c r="K14" i="6"/>
  <c r="K13" i="6"/>
  <c r="K12" i="6"/>
  <c r="O9" i="6"/>
  <c r="P9" i="6" s="1"/>
  <c r="Q9" i="6" s="1"/>
  <c r="R9" i="6" s="1"/>
  <c r="E31" i="6"/>
  <c r="F31" i="6"/>
  <c r="G31" i="6"/>
  <c r="H31" i="6"/>
  <c r="H13" i="6"/>
  <c r="G13" i="6"/>
  <c r="F13" i="6"/>
  <c r="E9" i="6"/>
  <c r="F9" i="6" s="1"/>
  <c r="G9" i="6" s="1"/>
  <c r="H9" i="6" s="1"/>
  <c r="H33" i="6" l="1"/>
  <c r="D16" i="6"/>
  <c r="G33" i="6"/>
  <c r="F33" i="6"/>
  <c r="B27" i="87" l="1"/>
  <c r="B28" i="87"/>
  <c r="B29" i="87"/>
  <c r="B30" i="87"/>
  <c r="B31" i="87"/>
  <c r="B41" i="87"/>
  <c r="B42" i="87"/>
  <c r="B43" i="87"/>
  <c r="B39" i="87"/>
  <c r="B40" i="87"/>
  <c r="B15" i="87"/>
  <c r="B16" i="87"/>
  <c r="B17" i="87"/>
  <c r="B18" i="87"/>
  <c r="B19" i="87"/>
  <c r="C176" i="83"/>
  <c r="C175" i="83" l="1"/>
  <c r="C174" i="83"/>
  <c r="C173" i="83"/>
  <c r="C172" i="83"/>
  <c r="C171" i="83"/>
  <c r="H169" i="83"/>
  <c r="I169" i="83" s="1"/>
  <c r="J169" i="83" s="1"/>
  <c r="K169" i="83" s="1"/>
  <c r="L169" i="83" s="1"/>
  <c r="M169" i="83" s="1"/>
  <c r="N169" i="83" s="1"/>
  <c r="C167" i="83"/>
  <c r="C166" i="83"/>
  <c r="C165" i="83"/>
  <c r="C164" i="83"/>
  <c r="C163" i="83"/>
  <c r="C162" i="83"/>
  <c r="H160" i="83"/>
  <c r="I160" i="83" s="1"/>
  <c r="J160" i="83" s="1"/>
  <c r="K160" i="83" s="1"/>
  <c r="L160" i="83" s="1"/>
  <c r="M160" i="83" s="1"/>
  <c r="N160" i="83" s="1"/>
  <c r="C158" i="83"/>
  <c r="C157" i="83"/>
  <c r="C156" i="83"/>
  <c r="C155" i="83"/>
  <c r="C154" i="83"/>
  <c r="C153" i="83"/>
  <c r="H151" i="83"/>
  <c r="I151" i="83" s="1"/>
  <c r="J151" i="83" s="1"/>
  <c r="K151" i="83" s="1"/>
  <c r="L151" i="83" s="1"/>
  <c r="M151" i="83" s="1"/>
  <c r="N151" i="83" s="1"/>
  <c r="C149" i="83"/>
  <c r="C148" i="83"/>
  <c r="C147" i="83"/>
  <c r="C146" i="83"/>
  <c r="C145" i="83"/>
  <c r="C144" i="83"/>
  <c r="H142" i="83"/>
  <c r="I142" i="83" s="1"/>
  <c r="J142" i="83" s="1"/>
  <c r="K142" i="83" s="1"/>
  <c r="L142" i="83" s="1"/>
  <c r="M142" i="83" s="1"/>
  <c r="N142" i="83" s="1"/>
  <c r="C140" i="83"/>
  <c r="B174" i="83"/>
  <c r="B156" i="83"/>
  <c r="B147" i="83"/>
  <c r="B165" i="83"/>
  <c r="P149" i="83" l="1"/>
  <c r="P140" i="83"/>
  <c r="P158" i="83"/>
  <c r="P167" i="83"/>
  <c r="C139" i="83"/>
  <c r="P148" i="83" l="1"/>
  <c r="P139" i="83"/>
  <c r="P166" i="83"/>
  <c r="P157" i="83"/>
  <c r="C138" i="83"/>
  <c r="B138" i="83"/>
  <c r="L165" i="83"/>
  <c r="L156" i="83"/>
  <c r="L138" i="83"/>
  <c r="L147" i="83"/>
  <c r="H165" i="83"/>
  <c r="H138" i="83"/>
  <c r="H147" i="83"/>
  <c r="H156" i="83"/>
  <c r="M147" i="83"/>
  <c r="M138" i="83"/>
  <c r="M156" i="83"/>
  <c r="M165" i="83"/>
  <c r="K147" i="83"/>
  <c r="K138" i="83"/>
  <c r="K165" i="83"/>
  <c r="K156" i="83"/>
  <c r="G147" i="83"/>
  <c r="G165" i="83"/>
  <c r="G138" i="83"/>
  <c r="G156" i="83"/>
  <c r="N165" i="83"/>
  <c r="N147" i="83"/>
  <c r="N156" i="83"/>
  <c r="N138" i="83"/>
  <c r="J138" i="83"/>
  <c r="J147" i="83"/>
  <c r="J156" i="83"/>
  <c r="J165" i="83"/>
  <c r="I147" i="83"/>
  <c r="I138" i="83"/>
  <c r="I156" i="83"/>
  <c r="I165" i="83"/>
  <c r="P156" i="83" l="1"/>
  <c r="P147" i="83"/>
  <c r="P165" i="83"/>
  <c r="P138" i="83"/>
  <c r="C137" i="83"/>
  <c r="P164" i="83" l="1"/>
  <c r="P137" i="83"/>
  <c r="P146" i="83"/>
  <c r="P155" i="83"/>
  <c r="C136" i="83"/>
  <c r="P145" i="83" l="1"/>
  <c r="P136" i="83"/>
  <c r="P163" i="83"/>
  <c r="P154" i="83"/>
  <c r="C135" i="83"/>
  <c r="P144" i="83" l="1"/>
  <c r="P135" i="83"/>
  <c r="P153" i="83"/>
  <c r="P162" i="83"/>
  <c r="H133" i="83"/>
  <c r="B5" i="86"/>
  <c r="I133" i="83" l="1"/>
  <c r="B6" i="86"/>
  <c r="I5" i="86"/>
  <c r="Q5" i="86" s="1"/>
  <c r="Q140" i="83" l="1"/>
  <c r="Q156" i="83"/>
  <c r="Q137" i="83"/>
  <c r="Q154" i="83"/>
  <c r="Q155" i="83"/>
  <c r="Q136" i="83"/>
  <c r="Q147" i="83"/>
  <c r="Q135" i="83"/>
  <c r="Q162" i="83"/>
  <c r="Q144" i="83"/>
  <c r="Q153" i="83"/>
  <c r="Q163" i="83"/>
  <c r="Q158" i="83"/>
  <c r="Q145" i="83"/>
  <c r="Q166" i="83"/>
  <c r="Q164" i="83"/>
  <c r="Q149" i="83"/>
  <c r="Q146" i="83"/>
  <c r="Q157" i="83"/>
  <c r="Q167" i="83"/>
  <c r="Q165" i="83"/>
  <c r="Q139" i="83"/>
  <c r="Q138" i="83"/>
  <c r="Q148" i="83"/>
  <c r="J133" i="83"/>
  <c r="B7" i="86"/>
  <c r="I6" i="86"/>
  <c r="Q6" i="86" s="1"/>
  <c r="AM4" i="86"/>
  <c r="T4" i="86"/>
  <c r="S4" i="86"/>
  <c r="A61" i="83"/>
  <c r="M21" i="3"/>
  <c r="M19" i="3"/>
  <c r="M17" i="3"/>
  <c r="M15" i="3"/>
  <c r="M13" i="3"/>
  <c r="M18" i="3"/>
  <c r="M16" i="3"/>
  <c r="M14" i="3"/>
  <c r="M12" i="3"/>
  <c r="M20" i="3"/>
  <c r="E9" i="3"/>
  <c r="F9" i="3" s="1"/>
  <c r="G9" i="3" s="1"/>
  <c r="H9" i="3" s="1"/>
  <c r="I9" i="3" s="1"/>
  <c r="J9" i="3" s="1"/>
  <c r="K9" i="3" s="1"/>
  <c r="M9" i="3" s="1"/>
  <c r="J8" i="84"/>
  <c r="P8" i="84" s="1"/>
  <c r="V8" i="84" s="1"/>
  <c r="AB8" i="84" s="1"/>
  <c r="AH8" i="84" s="1"/>
  <c r="AN8" i="84" s="1"/>
  <c r="AT8" i="84" s="1"/>
  <c r="AV8" i="84" s="1"/>
  <c r="AX8" i="84" s="1"/>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C193" i="66" l="1"/>
  <c r="C192" i="66" s="1"/>
  <c r="R137" i="83"/>
  <c r="R155" i="83"/>
  <c r="R164" i="83"/>
  <c r="R162" i="83"/>
  <c r="R146" i="83"/>
  <c r="R165" i="83"/>
  <c r="R145" i="83"/>
  <c r="R138" i="83"/>
  <c r="R147" i="83"/>
  <c r="R154" i="83"/>
  <c r="R144" i="83"/>
  <c r="R135" i="83"/>
  <c r="R166" i="83"/>
  <c r="R139" i="83"/>
  <c r="R163" i="83"/>
  <c r="R140" i="83"/>
  <c r="R158" i="83"/>
  <c r="R156" i="83"/>
  <c r="R157" i="83"/>
  <c r="R148" i="83"/>
  <c r="R149" i="83"/>
  <c r="R167" i="83"/>
  <c r="R153" i="83"/>
  <c r="R136" i="83"/>
  <c r="W4" i="86"/>
  <c r="N17" i="79"/>
  <c r="AF13" i="79"/>
  <c r="AF17" i="79"/>
  <c r="AL16" i="79"/>
  <c r="AR15" i="79"/>
  <c r="N14" i="79"/>
  <c r="T13" i="79"/>
  <c r="T17" i="79"/>
  <c r="Z16" i="79"/>
  <c r="AF15" i="79"/>
  <c r="AR13" i="79"/>
  <c r="AR17" i="79"/>
  <c r="K133" i="83"/>
  <c r="V4" i="86"/>
  <c r="AM5" i="86"/>
  <c r="B8" i="86"/>
  <c r="I7" i="86"/>
  <c r="Q7" i="86" s="1"/>
  <c r="AF16" i="79"/>
  <c r="H17" i="79"/>
  <c r="N16" i="79"/>
  <c r="T16" i="79"/>
  <c r="N15" i="79"/>
  <c r="T14" i="79"/>
  <c r="Z13" i="79"/>
  <c r="Z17" i="79"/>
  <c r="AL15" i="79"/>
  <c r="Z15" i="79"/>
  <c r="AR16" i="79"/>
  <c r="T15" i="79"/>
  <c r="N13" i="79"/>
  <c r="AL17" i="79"/>
  <c r="AR14" i="79"/>
  <c r="AL13" i="79"/>
  <c r="AL14" i="79"/>
  <c r="AF14" i="79"/>
  <c r="Z14" i="79"/>
  <c r="C194" i="66" l="1"/>
  <c r="C191" i="66"/>
  <c r="S144" i="83"/>
  <c r="S166" i="83"/>
  <c r="S167" i="83"/>
  <c r="S155" i="83"/>
  <c r="S140" i="83"/>
  <c r="S156" i="83"/>
  <c r="S137" i="83"/>
  <c r="S139" i="83"/>
  <c r="S146" i="83"/>
  <c r="S147" i="83"/>
  <c r="S138" i="83"/>
  <c r="S162" i="83"/>
  <c r="S148" i="83"/>
  <c r="S135" i="83"/>
  <c r="S163" i="83"/>
  <c r="S136" i="83"/>
  <c r="S149" i="83"/>
  <c r="S154" i="83"/>
  <c r="S153" i="83"/>
  <c r="S158" i="83"/>
  <c r="S157" i="83"/>
  <c r="S145" i="83"/>
  <c r="S165" i="83"/>
  <c r="S164" i="83"/>
  <c r="L133" i="83"/>
  <c r="AM6" i="86"/>
  <c r="B9" i="86"/>
  <c r="I8" i="86"/>
  <c r="Q8" i="86" s="1"/>
  <c r="C195" i="66" l="1"/>
  <c r="C190" i="66"/>
  <c r="T155" i="83"/>
  <c r="T158" i="83"/>
  <c r="T164" i="83"/>
  <c r="T149" i="83"/>
  <c r="T146" i="83"/>
  <c r="T167" i="83"/>
  <c r="T147" i="83"/>
  <c r="T135" i="83"/>
  <c r="T138" i="83"/>
  <c r="T162" i="83"/>
  <c r="T163" i="83"/>
  <c r="T145" i="83"/>
  <c r="T148" i="83"/>
  <c r="T166" i="83"/>
  <c r="T137" i="83"/>
  <c r="T157" i="83"/>
  <c r="T139" i="83"/>
  <c r="T156" i="83"/>
  <c r="T153" i="83"/>
  <c r="T165" i="83"/>
  <c r="T136" i="83"/>
  <c r="T140" i="83"/>
  <c r="T154" i="83"/>
  <c r="T144" i="83"/>
  <c r="M133" i="83"/>
  <c r="AM7" i="86"/>
  <c r="B10" i="86"/>
  <c r="I9" i="86"/>
  <c r="Q9" i="86" s="1"/>
  <c r="L59" i="65"/>
  <c r="L108" i="65" s="1"/>
  <c r="K59" i="65"/>
  <c r="K102" i="65" s="1"/>
  <c r="J59" i="65"/>
  <c r="J108" i="65" s="1"/>
  <c r="I59" i="65"/>
  <c r="I71" i="65" s="1"/>
  <c r="I120" i="65" s="1"/>
  <c r="H59" i="65"/>
  <c r="H71" i="65" s="1"/>
  <c r="H120" i="65" s="1"/>
  <c r="G112" i="65"/>
  <c r="F112" i="65"/>
  <c r="E112" i="65"/>
  <c r="C196" i="66" l="1"/>
  <c r="C189" i="66"/>
  <c r="U167" i="83"/>
  <c r="U146" i="83"/>
  <c r="U155" i="83"/>
  <c r="U138" i="83"/>
  <c r="U165" i="83"/>
  <c r="U154" i="83"/>
  <c r="U140" i="83"/>
  <c r="U144" i="83"/>
  <c r="U136" i="83"/>
  <c r="U149" i="83"/>
  <c r="U164" i="83"/>
  <c r="U156" i="83"/>
  <c r="U137" i="83"/>
  <c r="U147" i="83"/>
  <c r="U158" i="83"/>
  <c r="U135" i="83"/>
  <c r="U163" i="83"/>
  <c r="U145" i="83"/>
  <c r="U139" i="83"/>
  <c r="U148" i="83"/>
  <c r="U166" i="83"/>
  <c r="U157" i="83"/>
  <c r="U162" i="83"/>
  <c r="U153" i="83"/>
  <c r="N133" i="83"/>
  <c r="B11" i="86"/>
  <c r="I10" i="86"/>
  <c r="Q10" i="86" s="1"/>
  <c r="AM8" i="86"/>
  <c r="H131" i="65"/>
  <c r="I131" i="65"/>
  <c r="J131" i="65"/>
  <c r="K131" i="65"/>
  <c r="L131" i="65"/>
  <c r="J71" i="65"/>
  <c r="J120" i="65" s="1"/>
  <c r="K71" i="65"/>
  <c r="K120" i="65" s="1"/>
  <c r="L71" i="65"/>
  <c r="L120" i="65" s="1"/>
  <c r="H108" i="65"/>
  <c r="J102" i="65"/>
  <c r="K108" i="65"/>
  <c r="J60" i="65"/>
  <c r="L60" i="65"/>
  <c r="L102" i="65"/>
  <c r="I108" i="65"/>
  <c r="I60" i="65"/>
  <c r="K60" i="65"/>
  <c r="H102" i="65"/>
  <c r="I102" i="65"/>
  <c r="C197" i="66" l="1"/>
  <c r="C188" i="66"/>
  <c r="V148" i="83"/>
  <c r="V167" i="83"/>
  <c r="V158" i="83"/>
  <c r="V154" i="83"/>
  <c r="V145" i="83"/>
  <c r="V138" i="83"/>
  <c r="V136" i="83"/>
  <c r="V137" i="83"/>
  <c r="V163" i="83"/>
  <c r="V157" i="83"/>
  <c r="V164" i="83"/>
  <c r="V166" i="83"/>
  <c r="V135" i="83"/>
  <c r="V139" i="83"/>
  <c r="V165" i="83"/>
  <c r="V155" i="83"/>
  <c r="V156" i="83"/>
  <c r="V153" i="83"/>
  <c r="V140" i="83"/>
  <c r="V144" i="83"/>
  <c r="V149" i="83"/>
  <c r="V146" i="83"/>
  <c r="V162" i="83"/>
  <c r="V147" i="83"/>
  <c r="AM9" i="86"/>
  <c r="B12" i="86"/>
  <c r="I11" i="86"/>
  <c r="Q11" i="86" s="1"/>
  <c r="C198" i="66" l="1"/>
  <c r="C187" i="66"/>
  <c r="W138" i="83"/>
  <c r="W146" i="83"/>
  <c r="W163" i="83"/>
  <c r="W139" i="83"/>
  <c r="W137" i="83"/>
  <c r="W164" i="83"/>
  <c r="W155" i="83"/>
  <c r="W166" i="83"/>
  <c r="W145" i="83"/>
  <c r="W135" i="83"/>
  <c r="W136" i="83"/>
  <c r="W140" i="83"/>
  <c r="W148" i="83"/>
  <c r="W162" i="83"/>
  <c r="W144" i="83"/>
  <c r="W147" i="83"/>
  <c r="W153" i="83"/>
  <c r="W156" i="83"/>
  <c r="W158" i="83"/>
  <c r="W157" i="83"/>
  <c r="W165" i="83"/>
  <c r="W149" i="83"/>
  <c r="W167" i="83"/>
  <c r="W154" i="83"/>
  <c r="B13" i="86"/>
  <c r="I12" i="86"/>
  <c r="Q12" i="86" s="1"/>
  <c r="AM10" i="86"/>
  <c r="C199" i="66" l="1"/>
  <c r="C186" i="66"/>
  <c r="AM11" i="86"/>
  <c r="B14" i="86"/>
  <c r="I13" i="86"/>
  <c r="Q13" i="86" s="1"/>
  <c r="C200" i="66" l="1"/>
  <c r="C185" i="66"/>
  <c r="B15" i="86"/>
  <c r="I14" i="86"/>
  <c r="Q14" i="86" s="1"/>
  <c r="AM12" i="86"/>
  <c r="C201" i="66" l="1"/>
  <c r="C184" i="66"/>
  <c r="AM13" i="86"/>
  <c r="B16" i="86"/>
  <c r="I15" i="86"/>
  <c r="Q15" i="86" s="1"/>
  <c r="C202" i="66" l="1"/>
  <c r="C183" i="66"/>
  <c r="AM14" i="86"/>
  <c r="B17" i="86"/>
  <c r="I16" i="86"/>
  <c r="Q16" i="86" s="1"/>
  <c r="C203" i="66" l="1"/>
  <c r="C182" i="66"/>
  <c r="B18" i="86"/>
  <c r="I17" i="86"/>
  <c r="Q17" i="86" s="1"/>
  <c r="AM15" i="86"/>
  <c r="Q63" i="83"/>
  <c r="C181" i="66" l="1"/>
  <c r="C204" i="66"/>
  <c r="AM16" i="86"/>
  <c r="B19" i="86"/>
  <c r="I18" i="86"/>
  <c r="Q18" i="86" s="1"/>
  <c r="Q64" i="83"/>
  <c r="C205" i="66" l="1"/>
  <c r="C180" i="66"/>
  <c r="Q65" i="83"/>
  <c r="B20" i="86"/>
  <c r="I19" i="86"/>
  <c r="Q19" i="86" s="1"/>
  <c r="AM17" i="86"/>
  <c r="C206" i="66" l="1"/>
  <c r="C179" i="66"/>
  <c r="Q66" i="83"/>
  <c r="AM18" i="86"/>
  <c r="B21" i="86"/>
  <c r="I20" i="86"/>
  <c r="Q20" i="86" s="1"/>
  <c r="B30" i="83"/>
  <c r="E14" i="65"/>
  <c r="B62" i="83"/>
  <c r="B73" i="83"/>
  <c r="F73" i="83"/>
  <c r="G73" i="83" s="1"/>
  <c r="H73" i="83" s="1"/>
  <c r="I73" i="83" s="1"/>
  <c r="J73" i="83" s="1"/>
  <c r="K73" i="83" s="1"/>
  <c r="L73" i="83" s="1"/>
  <c r="M73" i="83" s="1"/>
  <c r="N73" i="83" s="1"/>
  <c r="C207" i="66" l="1"/>
  <c r="C178" i="66"/>
  <c r="D4" i="86"/>
  <c r="C4" i="86"/>
  <c r="Q67" i="83"/>
  <c r="K4" i="86"/>
  <c r="B22" i="86"/>
  <c r="I21" i="86"/>
  <c r="Q21" i="86" s="1"/>
  <c r="AM19" i="86"/>
  <c r="AD17" i="84"/>
  <c r="AD21" i="84"/>
  <c r="AD68" i="79"/>
  <c r="R21" i="84"/>
  <c r="R17" i="84"/>
  <c r="R68" i="79"/>
  <c r="F21" i="84"/>
  <c r="F17" i="84"/>
  <c r="F68" i="79"/>
  <c r="X21" i="84"/>
  <c r="X17" i="84"/>
  <c r="X68" i="79"/>
  <c r="L17" i="84"/>
  <c r="L21" i="84"/>
  <c r="L68" i="79"/>
  <c r="AL146" i="78"/>
  <c r="AJ146" i="78"/>
  <c r="AH146" i="78"/>
  <c r="AE146" i="78"/>
  <c r="AD146" i="78"/>
  <c r="AC146" i="78"/>
  <c r="AB146" i="78"/>
  <c r="Y146" i="78"/>
  <c r="X146" i="78"/>
  <c r="E69" i="83"/>
  <c r="E81" i="83"/>
  <c r="E80" i="83"/>
  <c r="E82" i="83"/>
  <c r="B117" i="83"/>
  <c r="B106" i="83"/>
  <c r="B95" i="83"/>
  <c r="B84" i="83"/>
  <c r="E84" i="83"/>
  <c r="E95" i="83" s="1"/>
  <c r="E106" i="83" s="1"/>
  <c r="E117" i="83" s="1"/>
  <c r="F62" i="83"/>
  <c r="J100" i="83"/>
  <c r="J97" i="83"/>
  <c r="J101" i="83"/>
  <c r="J96" i="83"/>
  <c r="F101" i="83"/>
  <c r="F97" i="83"/>
  <c r="F100" i="83"/>
  <c r="F96" i="83"/>
  <c r="K97" i="83"/>
  <c r="K100" i="83"/>
  <c r="K96" i="83"/>
  <c r="K101" i="83"/>
  <c r="L97" i="83"/>
  <c r="L101" i="83"/>
  <c r="L100" i="83"/>
  <c r="L96" i="83"/>
  <c r="I100" i="83"/>
  <c r="I101" i="83"/>
  <c r="I97" i="83"/>
  <c r="I96" i="83"/>
  <c r="G96" i="83"/>
  <c r="G97" i="83"/>
  <c r="G101" i="83"/>
  <c r="G100" i="83"/>
  <c r="M101" i="83"/>
  <c r="M100" i="83"/>
  <c r="M96" i="83"/>
  <c r="M97" i="83"/>
  <c r="H96" i="83"/>
  <c r="H97" i="83"/>
  <c r="H100" i="83"/>
  <c r="H101" i="83"/>
  <c r="N101" i="83"/>
  <c r="N100" i="83"/>
  <c r="N97" i="83"/>
  <c r="N96" i="83"/>
  <c r="F98" i="83"/>
  <c r="F99" i="83"/>
  <c r="E100" i="83"/>
  <c r="E101" i="83"/>
  <c r="E97" i="83"/>
  <c r="E96" i="83"/>
  <c r="L98" i="83"/>
  <c r="L99" i="83"/>
  <c r="H99" i="83"/>
  <c r="H98" i="83"/>
  <c r="M99" i="83"/>
  <c r="M98" i="83"/>
  <c r="G99" i="83"/>
  <c r="G98" i="83"/>
  <c r="J99" i="83"/>
  <c r="J98" i="83"/>
  <c r="K99" i="83"/>
  <c r="K98" i="83"/>
  <c r="N98" i="83"/>
  <c r="N99" i="83"/>
  <c r="E99" i="83"/>
  <c r="E98" i="83"/>
  <c r="I98" i="83"/>
  <c r="I99" i="83"/>
  <c r="C208" i="66" l="1"/>
  <c r="C177" i="66"/>
  <c r="E4" i="86"/>
  <c r="H4" i="86"/>
  <c r="F4" i="86"/>
  <c r="G4" i="86"/>
  <c r="J4" i="86"/>
  <c r="Q68" i="83"/>
  <c r="Z4" i="86"/>
  <c r="AM20" i="86"/>
  <c r="B23" i="86"/>
  <c r="I22" i="86"/>
  <c r="Q22" i="86" s="1"/>
  <c r="E115" i="83"/>
  <c r="E114" i="83"/>
  <c r="E113" i="83"/>
  <c r="E126" i="83"/>
  <c r="E125" i="83"/>
  <c r="E124" i="83"/>
  <c r="E104" i="83"/>
  <c r="E103" i="83"/>
  <c r="E102" i="83"/>
  <c r="E93" i="83"/>
  <c r="E92" i="83"/>
  <c r="E91" i="83"/>
  <c r="G62" i="83"/>
  <c r="F84" i="83"/>
  <c r="F95" i="83" s="1"/>
  <c r="F106" i="83" s="1"/>
  <c r="F117" i="83" s="1"/>
  <c r="G84" i="83"/>
  <c r="G95" i="83" s="1"/>
  <c r="C209" i="66" l="1"/>
  <c r="C176" i="66"/>
  <c r="N4" i="86"/>
  <c r="M4" i="86"/>
  <c r="O4" i="86"/>
  <c r="L4" i="86"/>
  <c r="Y4" i="86"/>
  <c r="AF4" i="86" s="1"/>
  <c r="R4" i="86"/>
  <c r="F71" i="83"/>
  <c r="F80" i="83"/>
  <c r="F69" i="83"/>
  <c r="F82" i="83"/>
  <c r="F93" i="83"/>
  <c r="F126" i="83"/>
  <c r="F102" i="83"/>
  <c r="F125" i="83"/>
  <c r="F103" i="83"/>
  <c r="F70" i="83"/>
  <c r="F114" i="83"/>
  <c r="F92" i="83"/>
  <c r="F91" i="83"/>
  <c r="F81" i="83"/>
  <c r="Q69" i="83"/>
  <c r="AG4" i="86"/>
  <c r="AC4" i="86"/>
  <c r="AB4" i="86"/>
  <c r="B24" i="86"/>
  <c r="I23" i="86"/>
  <c r="Q23" i="86" s="1"/>
  <c r="AM21" i="86"/>
  <c r="F113" i="83"/>
  <c r="F104" i="83"/>
  <c r="F115" i="83"/>
  <c r="F124" i="83"/>
  <c r="H84" i="83"/>
  <c r="I84" i="83" s="1"/>
  <c r="J84" i="83" s="1"/>
  <c r="K84" i="83" s="1"/>
  <c r="L84" i="83" s="1"/>
  <c r="M84" i="83" s="1"/>
  <c r="N84" i="83" s="1"/>
  <c r="H62" i="83"/>
  <c r="H95" i="83"/>
  <c r="I95" i="83" s="1"/>
  <c r="J95" i="83" s="1"/>
  <c r="K95" i="83" s="1"/>
  <c r="L95" i="83" s="1"/>
  <c r="M95" i="83" s="1"/>
  <c r="N95" i="83" s="1"/>
  <c r="G106" i="83"/>
  <c r="AD4" i="86" l="1"/>
  <c r="C210" i="66"/>
  <c r="C175" i="66"/>
  <c r="AA4" i="86"/>
  <c r="U4" i="86"/>
  <c r="G92" i="83"/>
  <c r="G71" i="83"/>
  <c r="Q70" i="83"/>
  <c r="G114" i="83"/>
  <c r="G125" i="83"/>
  <c r="G93" i="83"/>
  <c r="AK4" i="86"/>
  <c r="AI4" i="86"/>
  <c r="AJ4" i="86"/>
  <c r="B25" i="86"/>
  <c r="I24" i="86"/>
  <c r="Q24" i="86" s="1"/>
  <c r="AM22" i="86"/>
  <c r="G70" i="83"/>
  <c r="G103" i="83"/>
  <c r="G69" i="83"/>
  <c r="G124" i="83"/>
  <c r="G102" i="83"/>
  <c r="G80" i="83"/>
  <c r="G113" i="83"/>
  <c r="G115" i="83"/>
  <c r="G104" i="83"/>
  <c r="G91" i="83"/>
  <c r="G81" i="83"/>
  <c r="G82" i="83"/>
  <c r="G126" i="83"/>
  <c r="I62" i="83"/>
  <c r="H106" i="83"/>
  <c r="I106" i="83" s="1"/>
  <c r="J106" i="83" s="1"/>
  <c r="K106" i="83" s="1"/>
  <c r="L106" i="83" s="1"/>
  <c r="M106" i="83" s="1"/>
  <c r="N106" i="83" s="1"/>
  <c r="G117" i="83"/>
  <c r="H117" i="83" s="1"/>
  <c r="I117" i="83" s="1"/>
  <c r="J117" i="83" s="1"/>
  <c r="K117" i="83" s="1"/>
  <c r="L117" i="83" s="1"/>
  <c r="M117" i="83" s="1"/>
  <c r="N117" i="83" s="1"/>
  <c r="S70" i="83"/>
  <c r="S69" i="83" s="1"/>
  <c r="S68" i="83" s="1"/>
  <c r="S67" i="83" s="1"/>
  <c r="S66" i="83" s="1"/>
  <c r="S65" i="83" s="1"/>
  <c r="S64" i="83" s="1"/>
  <c r="S63" i="83" s="1"/>
  <c r="W70" i="83"/>
  <c r="W69" i="83" s="1"/>
  <c r="W68" i="83" s="1"/>
  <c r="W67" i="83" s="1"/>
  <c r="W66" i="83" s="1"/>
  <c r="W65" i="83" s="1"/>
  <c r="W64" i="83" s="1"/>
  <c r="W63" i="83" s="1"/>
  <c r="R70" i="83"/>
  <c r="R69" i="83" s="1"/>
  <c r="R68" i="83" s="1"/>
  <c r="R67" i="83" s="1"/>
  <c r="R66" i="83" s="1"/>
  <c r="R65" i="83" s="1"/>
  <c r="R64" i="83" s="1"/>
  <c r="R63" i="83" s="1"/>
  <c r="AH4" i="86" l="1"/>
  <c r="C211" i="66"/>
  <c r="C174" i="66"/>
  <c r="H81" i="83"/>
  <c r="H70" i="83"/>
  <c r="H114" i="83"/>
  <c r="H103" i="83"/>
  <c r="H125" i="83"/>
  <c r="H92" i="83"/>
  <c r="U70" i="83"/>
  <c r="B26" i="86"/>
  <c r="I25" i="86"/>
  <c r="Q25" i="86" s="1"/>
  <c r="AM23" i="86"/>
  <c r="H91" i="83"/>
  <c r="H80" i="83"/>
  <c r="H82" i="83"/>
  <c r="H113" i="83"/>
  <c r="H93" i="83"/>
  <c r="H69" i="83"/>
  <c r="H124" i="83"/>
  <c r="H102" i="83"/>
  <c r="H104" i="83"/>
  <c r="H126" i="83"/>
  <c r="H115" i="83"/>
  <c r="H71" i="83"/>
  <c r="J62" i="83"/>
  <c r="C212" i="66" l="1"/>
  <c r="C173" i="66"/>
  <c r="U69" i="83"/>
  <c r="I92" i="83"/>
  <c r="B27" i="86"/>
  <c r="I26" i="86"/>
  <c r="Q26" i="86" s="1"/>
  <c r="AM24" i="86"/>
  <c r="I126" i="83"/>
  <c r="I104" i="83"/>
  <c r="I113" i="83"/>
  <c r="I71" i="83"/>
  <c r="I102" i="83"/>
  <c r="I80" i="83"/>
  <c r="I70" i="83"/>
  <c r="I103" i="83"/>
  <c r="I81" i="83"/>
  <c r="I125" i="83"/>
  <c r="I69" i="83"/>
  <c r="I115" i="83"/>
  <c r="I124" i="83"/>
  <c r="I91" i="83"/>
  <c r="I114" i="83"/>
  <c r="I82" i="83"/>
  <c r="I93" i="83"/>
  <c r="K62" i="83"/>
  <c r="C213" i="66" l="1"/>
  <c r="C172" i="66"/>
  <c r="U68" i="83"/>
  <c r="J70" i="83"/>
  <c r="J81" i="83"/>
  <c r="J103" i="83"/>
  <c r="J71" i="83"/>
  <c r="J125" i="83"/>
  <c r="J114" i="83"/>
  <c r="AM25" i="86"/>
  <c r="B28" i="86"/>
  <c r="I27" i="86"/>
  <c r="Q27" i="86" s="1"/>
  <c r="J69" i="83"/>
  <c r="J124" i="83"/>
  <c r="J113" i="83"/>
  <c r="J102" i="83"/>
  <c r="J93" i="83"/>
  <c r="J115" i="83"/>
  <c r="J126" i="83"/>
  <c r="J104" i="83"/>
  <c r="J91" i="83"/>
  <c r="J82" i="83"/>
  <c r="J80" i="83"/>
  <c r="J92" i="83"/>
  <c r="L62" i="83"/>
  <c r="C214" i="66" l="1"/>
  <c r="C171" i="66"/>
  <c r="U67" i="83"/>
  <c r="K81" i="83"/>
  <c r="K125" i="83"/>
  <c r="K80" i="83"/>
  <c r="K114" i="83"/>
  <c r="K70" i="83"/>
  <c r="K91" i="83"/>
  <c r="K92" i="83"/>
  <c r="K69" i="83"/>
  <c r="K104" i="83"/>
  <c r="K93" i="83"/>
  <c r="K102" i="83"/>
  <c r="B29" i="86"/>
  <c r="I28" i="86"/>
  <c r="Q28" i="86" s="1"/>
  <c r="AM26" i="86"/>
  <c r="K71" i="83"/>
  <c r="K103" i="83"/>
  <c r="K113" i="83"/>
  <c r="K126" i="83"/>
  <c r="K82" i="83"/>
  <c r="K115" i="83"/>
  <c r="K124" i="83"/>
  <c r="M62" i="83"/>
  <c r="C215" i="66" l="1"/>
  <c r="C170" i="66"/>
  <c r="U66" i="83"/>
  <c r="B30" i="86"/>
  <c r="I29" i="86"/>
  <c r="Q29" i="86" s="1"/>
  <c r="AM27" i="86"/>
  <c r="L103" i="83"/>
  <c r="L80" i="83"/>
  <c r="L69" i="83"/>
  <c r="L114" i="83"/>
  <c r="L102" i="83"/>
  <c r="L92" i="83"/>
  <c r="L71" i="83"/>
  <c r="L93" i="83"/>
  <c r="L104" i="83"/>
  <c r="L113" i="83"/>
  <c r="L82" i="83"/>
  <c r="L115" i="83"/>
  <c r="L91" i="83"/>
  <c r="L126" i="83"/>
  <c r="L81" i="83"/>
  <c r="L70" i="83"/>
  <c r="L125" i="83"/>
  <c r="L124" i="83"/>
  <c r="N62" i="83"/>
  <c r="C169" i="66" l="1"/>
  <c r="C216" i="66"/>
  <c r="U65" i="83"/>
  <c r="M103" i="83"/>
  <c r="M70" i="83"/>
  <c r="M125" i="83"/>
  <c r="M115" i="83"/>
  <c r="M82" i="83"/>
  <c r="AM28" i="86"/>
  <c r="B31" i="86"/>
  <c r="I30" i="86"/>
  <c r="Q30" i="86" s="1"/>
  <c r="M102" i="83"/>
  <c r="M113" i="83"/>
  <c r="M69" i="83"/>
  <c r="M80" i="83"/>
  <c r="M91" i="83"/>
  <c r="M93" i="83"/>
  <c r="M126" i="83"/>
  <c r="M124" i="83"/>
  <c r="M104" i="83"/>
  <c r="M114" i="83"/>
  <c r="M81" i="83"/>
  <c r="M71" i="83"/>
  <c r="M92" i="83"/>
  <c r="C217" i="66" l="1"/>
  <c r="C168" i="66"/>
  <c r="U64" i="83"/>
  <c r="N125" i="83"/>
  <c r="B32" i="86"/>
  <c r="I31" i="86"/>
  <c r="Q31" i="86" s="1"/>
  <c r="AM29" i="86"/>
  <c r="N91" i="83"/>
  <c r="N82" i="83"/>
  <c r="N71" i="83"/>
  <c r="N93" i="83"/>
  <c r="N103" i="83"/>
  <c r="N113" i="83"/>
  <c r="N92" i="83"/>
  <c r="N69" i="83"/>
  <c r="N104" i="83"/>
  <c r="N70" i="83"/>
  <c r="N115" i="83"/>
  <c r="N102" i="83"/>
  <c r="N81" i="83"/>
  <c r="N124" i="83"/>
  <c r="N114" i="83"/>
  <c r="N126" i="83"/>
  <c r="N80" i="83"/>
  <c r="C218" i="66" l="1"/>
  <c r="C167" i="66"/>
  <c r="M16" i="83"/>
  <c r="U63" i="83"/>
  <c r="J14" i="83" s="1"/>
  <c r="AM30" i="86"/>
  <c r="B33" i="86"/>
  <c r="I32" i="86"/>
  <c r="Q32" i="86" s="1"/>
  <c r="AF124" i="78"/>
  <c r="E32" i="6" s="1"/>
  <c r="E33" i="6" s="1"/>
  <c r="AF99" i="78"/>
  <c r="Z99" i="78"/>
  <c r="AF83" i="78"/>
  <c r="C219" i="66" l="1"/>
  <c r="C166" i="66"/>
  <c r="B34" i="86"/>
  <c r="I33" i="86"/>
  <c r="Q33" i="86" s="1"/>
  <c r="AM31" i="86"/>
  <c r="Z80" i="78"/>
  <c r="AF80" i="78"/>
  <c r="W55" i="78"/>
  <c r="W52" i="78"/>
  <c r="R65" i="78"/>
  <c r="R64" i="78"/>
  <c r="L65" i="78"/>
  <c r="L64" i="78"/>
  <c r="K55" i="78"/>
  <c r="J55" i="78"/>
  <c r="K52" i="78"/>
  <c r="J52" i="78"/>
  <c r="C220" i="66" l="1"/>
  <c r="C165" i="66"/>
  <c r="AX17" i="84"/>
  <c r="AX21" i="84"/>
  <c r="AX68" i="79"/>
  <c r="AT21" i="84"/>
  <c r="AT17" i="84"/>
  <c r="AT68" i="79"/>
  <c r="B35" i="86"/>
  <c r="I34" i="86"/>
  <c r="Q34" i="86" s="1"/>
  <c r="AM32" i="86"/>
  <c r="AE32" i="78"/>
  <c r="AB70" i="78"/>
  <c r="AB76" i="78"/>
  <c r="AB58" i="78"/>
  <c r="AC70" i="78"/>
  <c r="AC58" i="78"/>
  <c r="AC76" i="78"/>
  <c r="AD76" i="78"/>
  <c r="AD70" i="78"/>
  <c r="AD58" i="78"/>
  <c r="AE58" i="78"/>
  <c r="AE70" i="78"/>
  <c r="AE76" i="78"/>
  <c r="AL32" i="78"/>
  <c r="AZ18" i="78" s="1"/>
  <c r="AJ58" i="78"/>
  <c r="AJ76" i="78"/>
  <c r="AJ70" i="78"/>
  <c r="AL76" i="78"/>
  <c r="AL58" i="78"/>
  <c r="AL70" i="78"/>
  <c r="X70" i="78"/>
  <c r="X58" i="78"/>
  <c r="X76" i="78"/>
  <c r="Y70" i="78"/>
  <c r="Y76" i="78"/>
  <c r="Y58" i="78"/>
  <c r="AH76" i="78"/>
  <c r="AH58" i="78"/>
  <c r="AH70" i="78"/>
  <c r="AJ32" i="78"/>
  <c r="AY18" i="78" s="1"/>
  <c r="H55" i="78"/>
  <c r="E83" i="65" s="1"/>
  <c r="G55" i="78"/>
  <c r="F55" i="78"/>
  <c r="E55" i="78"/>
  <c r="H52" i="78"/>
  <c r="E80" i="65" s="1"/>
  <c r="G52" i="78"/>
  <c r="F52" i="78"/>
  <c r="E52" i="78"/>
  <c r="D55" i="78"/>
  <c r="AD139" i="78"/>
  <c r="AF139" i="78" s="1"/>
  <c r="X139" i="78"/>
  <c r="Z139" i="78" s="1"/>
  <c r="AD118" i="78"/>
  <c r="AF118" i="78" s="1"/>
  <c r="X118" i="78"/>
  <c r="Y118" i="78" s="1"/>
  <c r="R118" i="78"/>
  <c r="Q118" i="78" s="1"/>
  <c r="L118" i="78"/>
  <c r="N118" i="78" s="1"/>
  <c r="F118" i="78"/>
  <c r="E118" i="78" s="1"/>
  <c r="D118" i="78"/>
  <c r="AM24" i="78"/>
  <c r="AD24" i="78"/>
  <c r="AF24" i="78" s="1"/>
  <c r="X24" i="78"/>
  <c r="Y24" i="78" s="1"/>
  <c r="R24" i="78"/>
  <c r="T24" i="78" s="1"/>
  <c r="L24" i="78"/>
  <c r="K24" i="78" s="1"/>
  <c r="D24" i="78"/>
  <c r="F24" i="78"/>
  <c r="J8" i="78"/>
  <c r="P8" i="78" s="1"/>
  <c r="V8" i="78" s="1"/>
  <c r="AB8" i="78" s="1"/>
  <c r="AH8" i="78" s="1"/>
  <c r="AJ8" i="78" s="1"/>
  <c r="AL8" i="78" s="1"/>
  <c r="AL139" i="78" s="1"/>
  <c r="X147" i="78"/>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E13" i="6" l="1"/>
  <c r="AF21" i="78"/>
  <c r="C221" i="66"/>
  <c r="C164" i="66"/>
  <c r="R16" i="6"/>
  <c r="R15" i="6"/>
  <c r="R14" i="6"/>
  <c r="R13" i="6"/>
  <c r="R12" i="6"/>
  <c r="AR18" i="79"/>
  <c r="AP171" i="79"/>
  <c r="AP21" i="84"/>
  <c r="AP17" i="84"/>
  <c r="AP68" i="79"/>
  <c r="AQ17" i="84"/>
  <c r="AQ21" i="84"/>
  <c r="AQ68" i="79"/>
  <c r="AV17" i="84"/>
  <c r="AV21" i="84"/>
  <c r="AV68" i="79"/>
  <c r="AO17" i="84"/>
  <c r="AO21" i="84"/>
  <c r="AO68" i="79"/>
  <c r="AN17" i="84"/>
  <c r="AN21" i="84"/>
  <c r="AN68" i="79"/>
  <c r="AM33" i="86"/>
  <c r="B36" i="86"/>
  <c r="I35" i="86"/>
  <c r="Q35" i="86" s="1"/>
  <c r="AD32" i="78"/>
  <c r="AJ17" i="84"/>
  <c r="AJ21" i="84"/>
  <c r="AJ68" i="79"/>
  <c r="AK21" i="84"/>
  <c r="AK17" i="84"/>
  <c r="AK68" i="79"/>
  <c r="AK171" i="79"/>
  <c r="AC134" i="78"/>
  <c r="AO171" i="79"/>
  <c r="AF76" i="78"/>
  <c r="AL134" i="78"/>
  <c r="AX171" i="79"/>
  <c r="AF70" i="78"/>
  <c r="AJ134" i="78"/>
  <c r="AV171" i="79"/>
  <c r="AE134" i="78"/>
  <c r="AQ171" i="79"/>
  <c r="AF109" i="78"/>
  <c r="AR139" i="79" s="1"/>
  <c r="AB134" i="78"/>
  <c r="AN171" i="79"/>
  <c r="AB97" i="78"/>
  <c r="AB130" i="78" s="1"/>
  <c r="AT171" i="79"/>
  <c r="AX139" i="79"/>
  <c r="Z76" i="78"/>
  <c r="X134" i="78"/>
  <c r="AJ171" i="79"/>
  <c r="AB73" i="78"/>
  <c r="AD37" i="78"/>
  <c r="AB88" i="78"/>
  <c r="AB85" i="78"/>
  <c r="AH134" i="78"/>
  <c r="AD134" i="78"/>
  <c r="AF106" i="78"/>
  <c r="AB37" i="78"/>
  <c r="AJ37" i="78"/>
  <c r="AJ73" i="78"/>
  <c r="AV98" i="79" s="1"/>
  <c r="AJ85" i="78"/>
  <c r="AJ97" i="78"/>
  <c r="AJ130" i="78" s="1"/>
  <c r="AJ88" i="78"/>
  <c r="AE97" i="78"/>
  <c r="AE130" i="78" s="1"/>
  <c r="AE88" i="78"/>
  <c r="AE73" i="78"/>
  <c r="AD97" i="78"/>
  <c r="AD130" i="78" s="1"/>
  <c r="AD88" i="78"/>
  <c r="AE85" i="78"/>
  <c r="AE37" i="78"/>
  <c r="AE40" i="78" s="1"/>
  <c r="AD73" i="78"/>
  <c r="AF43" i="78"/>
  <c r="AC97" i="78"/>
  <c r="AC130" i="78" s="1"/>
  <c r="AC88" i="78"/>
  <c r="Y134" i="78"/>
  <c r="AD85" i="78"/>
  <c r="AL97" i="78"/>
  <c r="AL130" i="78" s="1"/>
  <c r="AL88" i="78"/>
  <c r="AL37" i="78"/>
  <c r="AL85" i="78"/>
  <c r="AL73" i="78"/>
  <c r="X88" i="78"/>
  <c r="X97" i="78"/>
  <c r="AH88" i="78"/>
  <c r="AH97" i="78"/>
  <c r="AH130" i="78" s="1"/>
  <c r="AF58" i="78"/>
  <c r="Y88" i="78"/>
  <c r="Y97" i="78"/>
  <c r="Z70" i="78"/>
  <c r="AH32" i="78"/>
  <c r="AX18" i="78" s="1"/>
  <c r="X37" i="78"/>
  <c r="X73" i="78"/>
  <c r="AJ98" i="79" s="1"/>
  <c r="X85" i="78"/>
  <c r="Y73" i="78"/>
  <c r="Y85" i="78"/>
  <c r="Y37" i="78"/>
  <c r="AC37" i="78"/>
  <c r="AC85" i="78"/>
  <c r="AC73" i="78"/>
  <c r="AH37" i="78"/>
  <c r="AH73" i="78"/>
  <c r="AH85" i="78"/>
  <c r="AF34" i="78"/>
  <c r="AF35" i="78" s="1"/>
  <c r="Z24" i="78"/>
  <c r="Z118" i="78"/>
  <c r="AC139" i="78"/>
  <c r="AL24" i="78"/>
  <c r="V139" i="78"/>
  <c r="AH118" i="78"/>
  <c r="W24" i="78"/>
  <c r="AB139" i="78"/>
  <c r="P118" i="78"/>
  <c r="J24" i="78"/>
  <c r="M118" i="78"/>
  <c r="AB118" i="78"/>
  <c r="M24" i="78"/>
  <c r="N24" i="78"/>
  <c r="AB24" i="78"/>
  <c r="G118" i="78"/>
  <c r="T118" i="78"/>
  <c r="AJ118" i="78"/>
  <c r="P24" i="78"/>
  <c r="H118" i="78"/>
  <c r="V118" i="78"/>
  <c r="AL118" i="78"/>
  <c r="AH139" i="78"/>
  <c r="AH24" i="78"/>
  <c r="J118" i="78"/>
  <c r="W118" i="78"/>
  <c r="AJ139" i="78"/>
  <c r="V24" i="78"/>
  <c r="AJ24" i="78"/>
  <c r="K118" i="78"/>
  <c r="AE139" i="78"/>
  <c r="W139" i="78"/>
  <c r="Y139" i="78"/>
  <c r="S118" i="78"/>
  <c r="AC118" i="78"/>
  <c r="AE118" i="78"/>
  <c r="Q24" i="78"/>
  <c r="S24" i="78"/>
  <c r="AC24" i="78"/>
  <c r="AE24" i="78"/>
  <c r="H24" i="78"/>
  <c r="G24" i="78"/>
  <c r="E24" i="78"/>
  <c r="AH147" i="78"/>
  <c r="AJ147" i="78"/>
  <c r="AL147" i="78"/>
  <c r="AD147" i="78"/>
  <c r="AE147" i="78"/>
  <c r="AC147" i="78"/>
  <c r="AB147" i="78"/>
  <c r="Y147" i="78"/>
  <c r="C222" i="66" l="1"/>
  <c r="C163" i="66"/>
  <c r="R18" i="6"/>
  <c r="H18" i="6" s="1"/>
  <c r="AR21" i="84"/>
  <c r="Q13" i="6" s="1"/>
  <c r="AR17" i="84"/>
  <c r="P13" i="6"/>
  <c r="P16" i="6"/>
  <c r="P15" i="6"/>
  <c r="P14" i="6"/>
  <c r="P12" i="6"/>
  <c r="AF110" i="78"/>
  <c r="AT139" i="79"/>
  <c r="O16" i="6"/>
  <c r="O15" i="6"/>
  <c r="O14" i="6"/>
  <c r="O13" i="6"/>
  <c r="O12" i="6"/>
  <c r="AR68" i="79"/>
  <c r="AF77" i="78"/>
  <c r="AV139" i="79"/>
  <c r="B37" i="86"/>
  <c r="I36" i="86"/>
  <c r="Q36" i="86" s="1"/>
  <c r="AM34" i="86"/>
  <c r="AL103" i="78"/>
  <c r="AL132" i="78" s="1"/>
  <c r="AF71" i="78"/>
  <c r="AV109" i="79"/>
  <c r="AF59" i="78"/>
  <c r="AJ40" i="78"/>
  <c r="AJ41" i="78" s="1"/>
  <c r="AT131" i="79"/>
  <c r="AT109" i="79"/>
  <c r="AF88" i="78"/>
  <c r="AX138" i="79"/>
  <c r="AL40" i="78"/>
  <c r="AL46" i="78" s="1"/>
  <c r="AF134" i="78"/>
  <c r="AJ103" i="78"/>
  <c r="AJ104" i="78" s="1"/>
  <c r="AT98" i="79"/>
  <c r="Y103" i="78"/>
  <c r="AC103" i="78"/>
  <c r="AO98" i="79"/>
  <c r="AO109" i="79"/>
  <c r="Z85" i="78"/>
  <c r="Z73" i="78"/>
  <c r="AL98" i="79" s="1"/>
  <c r="AK98" i="79"/>
  <c r="Z88" i="78"/>
  <c r="AP109" i="79"/>
  <c r="AD103" i="78"/>
  <c r="AP98" i="79"/>
  <c r="AF85" i="78"/>
  <c r="AF73" i="78"/>
  <c r="AF74" i="78" s="1"/>
  <c r="AE103" i="78"/>
  <c r="AQ98" i="79"/>
  <c r="AN109" i="79"/>
  <c r="AB103" i="78"/>
  <c r="AB132" i="78" s="1"/>
  <c r="AN98" i="79"/>
  <c r="AB40" i="78"/>
  <c r="AB41" i="78" s="1"/>
  <c r="AD40" i="78"/>
  <c r="AR21" i="79"/>
  <c r="AH40" i="78"/>
  <c r="AJ109" i="79"/>
  <c r="AQ71" i="79"/>
  <c r="AF107" i="78"/>
  <c r="AE41" i="78"/>
  <c r="AE46" i="78"/>
  <c r="Y130" i="78"/>
  <c r="X130" i="78"/>
  <c r="AF97" i="78"/>
  <c r="X40" i="78"/>
  <c r="AF37" i="78"/>
  <c r="Y40" i="78"/>
  <c r="AC40" i="78"/>
  <c r="C223" i="66" l="1"/>
  <c r="C162" i="66"/>
  <c r="C161" i="66" s="1"/>
  <c r="C160" i="66" s="1"/>
  <c r="C159" i="66" s="1"/>
  <c r="C158" i="66" s="1"/>
  <c r="C157" i="66" s="1"/>
  <c r="C156" i="66" s="1"/>
  <c r="C155" i="66" s="1"/>
  <c r="C154" i="66" s="1"/>
  <c r="J15" i="83"/>
  <c r="J17" i="83"/>
  <c r="Q12" i="6"/>
  <c r="Q14" i="6"/>
  <c r="Q15" i="6"/>
  <c r="Q16" i="6"/>
  <c r="J16" i="83"/>
  <c r="D97" i="79"/>
  <c r="P18" i="6"/>
  <c r="F18" i="6" s="1"/>
  <c r="O18" i="6"/>
  <c r="E18" i="6" s="1"/>
  <c r="AV131" i="79"/>
  <c r="AM35" i="86"/>
  <c r="B38" i="86"/>
  <c r="I37" i="86"/>
  <c r="Q37" i="86" s="1"/>
  <c r="AL41" i="78"/>
  <c r="AL104" i="78"/>
  <c r="AR109" i="79"/>
  <c r="AF89" i="78"/>
  <c r="AR131" i="79"/>
  <c r="AV134" i="79"/>
  <c r="AQ109" i="79"/>
  <c r="AK109" i="79"/>
  <c r="AF86" i="78"/>
  <c r="AV128" i="79"/>
  <c r="AR128" i="79"/>
  <c r="AJ46" i="78"/>
  <c r="AV71" i="79"/>
  <c r="AT128" i="79"/>
  <c r="AR30" i="79"/>
  <c r="AX71" i="79"/>
  <c r="AV132" i="79"/>
  <c r="AR138" i="79"/>
  <c r="AR171" i="79"/>
  <c r="AT138" i="79"/>
  <c r="AV138" i="79"/>
  <c r="AT133" i="79"/>
  <c r="AL109" i="79"/>
  <c r="AR98" i="79"/>
  <c r="AH103" i="78"/>
  <c r="AH132" i="78" s="1"/>
  <c r="AH46" i="78"/>
  <c r="AH41" i="78"/>
  <c r="AP71" i="79"/>
  <c r="AD41" i="78"/>
  <c r="AD46" i="78"/>
  <c r="AO71" i="79"/>
  <c r="AR27" i="79"/>
  <c r="AK71" i="79"/>
  <c r="AJ71" i="79"/>
  <c r="AB46" i="78"/>
  <c r="AB104" i="78"/>
  <c r="AC104" i="78"/>
  <c r="AC132" i="78"/>
  <c r="AF98" i="78"/>
  <c r="AF130" i="78"/>
  <c r="Y104" i="78"/>
  <c r="Y132" i="78"/>
  <c r="AD104" i="78"/>
  <c r="AD132" i="78"/>
  <c r="AE104" i="78"/>
  <c r="AE132" i="78"/>
  <c r="AJ132" i="78"/>
  <c r="X41" i="78"/>
  <c r="X46" i="78"/>
  <c r="AC46" i="78"/>
  <c r="AC41" i="78"/>
  <c r="AF40" i="78"/>
  <c r="Y46" i="78"/>
  <c r="Y41" i="78"/>
  <c r="AF103" i="78"/>
  <c r="AF132" i="78" s="1"/>
  <c r="D98" i="79"/>
  <c r="C224" i="66" l="1"/>
  <c r="Q18" i="6"/>
  <c r="G18" i="6" s="1"/>
  <c r="B39" i="86"/>
  <c r="I38" i="86"/>
  <c r="Q38" i="86" s="1"/>
  <c r="AM36" i="86"/>
  <c r="AH104" i="78"/>
  <c r="AR134" i="79"/>
  <c r="AT134" i="79"/>
  <c r="AV133" i="79"/>
  <c r="AR133" i="79"/>
  <c r="AT132" i="79"/>
  <c r="AR132" i="79"/>
  <c r="AF41" i="78"/>
  <c r="AR24" i="79"/>
  <c r="AF46" i="78"/>
  <c r="AR22" i="79"/>
  <c r="AN71" i="79"/>
  <c r="AT71" i="79"/>
  <c r="C225" i="66" l="1"/>
  <c r="E68" i="79"/>
  <c r="G68" i="79"/>
  <c r="G17" i="84"/>
  <c r="G21" i="84"/>
  <c r="E17" i="84"/>
  <c r="E21" i="84"/>
  <c r="H68" i="79"/>
  <c r="H21" i="84"/>
  <c r="H80" i="79"/>
  <c r="H87" i="79"/>
  <c r="AM37" i="86"/>
  <c r="B40" i="86"/>
  <c r="I39" i="86"/>
  <c r="Q39" i="86" s="1"/>
  <c r="AR29" i="79"/>
  <c r="AR23" i="79"/>
  <c r="AF47" i="78"/>
  <c r="AR71" i="79"/>
  <c r="R73" i="78"/>
  <c r="R70" i="78"/>
  <c r="H77" i="79"/>
  <c r="H71" i="79"/>
  <c r="H86" i="79"/>
  <c r="H83" i="79"/>
  <c r="H74" i="79"/>
  <c r="AD97" i="79"/>
  <c r="C226" i="66" l="1"/>
  <c r="B41" i="86"/>
  <c r="I40" i="86"/>
  <c r="Q40" i="86" s="1"/>
  <c r="AM38" i="86"/>
  <c r="H125" i="79"/>
  <c r="C227" i="66" l="1"/>
  <c r="AM39" i="86"/>
  <c r="B42" i="86"/>
  <c r="I41" i="86"/>
  <c r="Q41" i="86" s="1"/>
  <c r="N125" i="79"/>
  <c r="C228" i="66" l="1"/>
  <c r="B43" i="86"/>
  <c r="I42" i="86"/>
  <c r="Q42" i="86" s="1"/>
  <c r="AM40" i="86"/>
  <c r="S94" i="78"/>
  <c r="Q94" i="78"/>
  <c r="R94" i="78"/>
  <c r="P94" i="78"/>
  <c r="M94" i="78"/>
  <c r="K94" i="78"/>
  <c r="W94" i="78"/>
  <c r="V94" i="78"/>
  <c r="L94" i="78"/>
  <c r="J94" i="78"/>
  <c r="E94" i="78"/>
  <c r="E128" i="78" s="1"/>
  <c r="F94" i="78"/>
  <c r="F128" i="78" s="1"/>
  <c r="G94" i="78"/>
  <c r="G128" i="78" s="1"/>
  <c r="D94" i="78"/>
  <c r="D128" i="78" s="1"/>
  <c r="AL125" i="79"/>
  <c r="T125" i="79"/>
  <c r="N127" i="79"/>
  <c r="AF125" i="79"/>
  <c r="H127" i="79"/>
  <c r="Z125" i="79"/>
  <c r="H128" i="79"/>
  <c r="N128" i="79"/>
  <c r="C229" i="66" l="1"/>
  <c r="AM41" i="86"/>
  <c r="B44" i="86"/>
  <c r="I43" i="86"/>
  <c r="Q43" i="86" s="1"/>
  <c r="AL128" i="79"/>
  <c r="L97" i="78"/>
  <c r="L130" i="78" s="1"/>
  <c r="P97" i="78"/>
  <c r="P130" i="78" s="1"/>
  <c r="K97" i="78"/>
  <c r="K130" i="78" s="1"/>
  <c r="J97" i="78"/>
  <c r="J130" i="78" s="1"/>
  <c r="Q97" i="78"/>
  <c r="Q130" i="78" s="1"/>
  <c r="S97" i="78"/>
  <c r="S130" i="78" s="1"/>
  <c r="M97" i="78"/>
  <c r="M130" i="78" s="1"/>
  <c r="W97" i="78"/>
  <c r="W130" i="78" s="1"/>
  <c r="R97" i="78"/>
  <c r="R130" i="78" s="1"/>
  <c r="V97" i="78"/>
  <c r="J128" i="78"/>
  <c r="L128" i="78"/>
  <c r="K128" i="78"/>
  <c r="M128" i="78"/>
  <c r="P128" i="78"/>
  <c r="AF127" i="79"/>
  <c r="T94" i="78"/>
  <c r="G125" i="65" s="1"/>
  <c r="R128" i="78"/>
  <c r="V128" i="78"/>
  <c r="Q128" i="78"/>
  <c r="Z127" i="79"/>
  <c r="N94" i="78"/>
  <c r="F125" i="65" s="1"/>
  <c r="W128" i="78"/>
  <c r="S128" i="78"/>
  <c r="G97" i="78"/>
  <c r="G130" i="78" s="1"/>
  <c r="E97" i="78"/>
  <c r="E130" i="78" s="1"/>
  <c r="F97" i="78"/>
  <c r="F130" i="78" s="1"/>
  <c r="D97" i="78"/>
  <c r="D130" i="78" s="1"/>
  <c r="T127" i="79"/>
  <c r="H94" i="78"/>
  <c r="E125" i="65" s="1"/>
  <c r="H129" i="79"/>
  <c r="N129" i="79"/>
  <c r="C230" i="66" l="1"/>
  <c r="D22" i="6"/>
  <c r="B45" i="86"/>
  <c r="I44" i="86"/>
  <c r="Q44" i="86" s="1"/>
  <c r="AM42" i="86"/>
  <c r="AL165" i="78"/>
  <c r="Z165" i="78"/>
  <c r="AF165" i="78"/>
  <c r="N128" i="78"/>
  <c r="V130" i="78"/>
  <c r="Z97" i="78"/>
  <c r="Z130" i="78" s="1"/>
  <c r="Z128" i="79"/>
  <c r="N97" i="78"/>
  <c r="N130" i="78" s="1"/>
  <c r="AF128" i="79"/>
  <c r="T97" i="78"/>
  <c r="T130" i="78" s="1"/>
  <c r="T128" i="78"/>
  <c r="H128" i="78"/>
  <c r="T128" i="79"/>
  <c r="H97" i="78"/>
  <c r="AL129" i="79"/>
  <c r="AF129" i="79"/>
  <c r="Z129" i="79"/>
  <c r="T129" i="79"/>
  <c r="H131" i="79"/>
  <c r="N131" i="79"/>
  <c r="C231" i="66" l="1"/>
  <c r="AM43" i="86"/>
  <c r="B46" i="86"/>
  <c r="I45" i="86"/>
  <c r="Q45" i="86" s="1"/>
  <c r="H130" i="78"/>
  <c r="H132" i="79"/>
  <c r="N132" i="79"/>
  <c r="C232" i="66" l="1"/>
  <c r="AM44" i="86"/>
  <c r="B47" i="86"/>
  <c r="I46" i="86"/>
  <c r="Q46" i="86" s="1"/>
  <c r="AF131" i="79"/>
  <c r="Z131" i="79"/>
  <c r="T131" i="79"/>
  <c r="AF132" i="79"/>
  <c r="Z132" i="79"/>
  <c r="T132" i="79"/>
  <c r="H133" i="79"/>
  <c r="N133" i="79"/>
  <c r="C233" i="66" l="1"/>
  <c r="B48" i="86"/>
  <c r="I47" i="86"/>
  <c r="Q47" i="86" s="1"/>
  <c r="AM45" i="86"/>
  <c r="V103" i="78"/>
  <c r="Q103" i="78"/>
  <c r="Q132" i="78" s="1"/>
  <c r="P103" i="78"/>
  <c r="P132" i="78" s="1"/>
  <c r="J103" i="78"/>
  <c r="J132" i="78" s="1"/>
  <c r="M103" i="78"/>
  <c r="M132" i="78" s="1"/>
  <c r="L103" i="78"/>
  <c r="L132" i="78" s="1"/>
  <c r="S103" i="78"/>
  <c r="S132" i="78" s="1"/>
  <c r="K103" i="78"/>
  <c r="K132" i="78" s="1"/>
  <c r="R103" i="78"/>
  <c r="R132" i="78" s="1"/>
  <c r="W103" i="78"/>
  <c r="W132" i="78" s="1"/>
  <c r="J168" i="79"/>
  <c r="K168" i="79"/>
  <c r="G103" i="78"/>
  <c r="M168" i="79"/>
  <c r="F103" i="78"/>
  <c r="L168" i="79"/>
  <c r="E103" i="78"/>
  <c r="D103" i="78"/>
  <c r="F168" i="79"/>
  <c r="E168" i="79"/>
  <c r="D168" i="79"/>
  <c r="G168" i="79"/>
  <c r="AF134" i="79"/>
  <c r="T134" i="79"/>
  <c r="Z133" i="79"/>
  <c r="H134" i="79"/>
  <c r="Z134" i="79"/>
  <c r="N134" i="79"/>
  <c r="T133" i="79"/>
  <c r="C234" i="66" l="1"/>
  <c r="AM46" i="86"/>
  <c r="B49" i="86"/>
  <c r="I48" i="86"/>
  <c r="Q48" i="86" s="1"/>
  <c r="S109" i="78"/>
  <c r="Q109" i="78"/>
  <c r="P109" i="78"/>
  <c r="P106" i="78"/>
  <c r="Q106" i="78"/>
  <c r="J106" i="78"/>
  <c r="W109" i="78"/>
  <c r="V106" i="78"/>
  <c r="M106" i="78"/>
  <c r="V109" i="78"/>
  <c r="K106" i="78"/>
  <c r="K109" i="78"/>
  <c r="W106" i="78"/>
  <c r="M109" i="78"/>
  <c r="L106" i="78"/>
  <c r="L109" i="78"/>
  <c r="S106" i="78"/>
  <c r="R109" i="78"/>
  <c r="R106" i="78"/>
  <c r="J109" i="78"/>
  <c r="AF133" i="79"/>
  <c r="T103" i="78"/>
  <c r="N103" i="78"/>
  <c r="V132" i="78"/>
  <c r="D132" i="78"/>
  <c r="E132" i="78"/>
  <c r="F132" i="78"/>
  <c r="G132" i="78"/>
  <c r="H103" i="78"/>
  <c r="E128" i="65" s="1"/>
  <c r="D109" i="78"/>
  <c r="X168" i="79"/>
  <c r="G106" i="78"/>
  <c r="AE168" i="79"/>
  <c r="P168" i="79"/>
  <c r="AD168" i="79"/>
  <c r="E109" i="78"/>
  <c r="AH168" i="79"/>
  <c r="Y168" i="79"/>
  <c r="S168" i="79"/>
  <c r="G109" i="78"/>
  <c r="F106" i="78"/>
  <c r="V168" i="79"/>
  <c r="AB168" i="79"/>
  <c r="R168" i="79"/>
  <c r="E106" i="78"/>
  <c r="AI168" i="79"/>
  <c r="AC168" i="79"/>
  <c r="D106" i="78"/>
  <c r="W168" i="79"/>
  <c r="Q168" i="79"/>
  <c r="F109"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06" i="78"/>
  <c r="Z143" i="79"/>
  <c r="H139" i="79"/>
  <c r="H144" i="79"/>
  <c r="Z144" i="79"/>
  <c r="T140" i="79"/>
  <c r="G171" i="79"/>
  <c r="F171" i="79"/>
  <c r="E171" i="79"/>
  <c r="D171" i="79"/>
  <c r="C235" i="66" l="1"/>
  <c r="B50" i="86"/>
  <c r="I49" i="86"/>
  <c r="Q49" i="86" s="1"/>
  <c r="AM47" i="86"/>
  <c r="N132" i="78"/>
  <c r="F128" i="65"/>
  <c r="T132" i="78"/>
  <c r="G128" i="65"/>
  <c r="W134" i="78"/>
  <c r="K110" i="78"/>
  <c r="S134" i="78"/>
  <c r="R134" i="78"/>
  <c r="J110" i="78"/>
  <c r="L110" i="78"/>
  <c r="P134" i="78"/>
  <c r="M134" i="78"/>
  <c r="P110" i="78"/>
  <c r="Q110" i="78"/>
  <c r="R110" i="78"/>
  <c r="L134" i="78"/>
  <c r="Z139" i="79"/>
  <c r="N109" i="78"/>
  <c r="M110" i="78"/>
  <c r="AF139" i="79"/>
  <c r="T109" i="78"/>
  <c r="K134" i="78"/>
  <c r="V110" i="78"/>
  <c r="Z109" i="78"/>
  <c r="AL139" i="79" s="1"/>
  <c r="V134" i="78"/>
  <c r="Z106" i="78"/>
  <c r="Z138" i="79"/>
  <c r="N106" i="78"/>
  <c r="W110" i="78"/>
  <c r="J134" i="78"/>
  <c r="Q134" i="78"/>
  <c r="AF138" i="79"/>
  <c r="T106" i="78"/>
  <c r="S110" i="78"/>
  <c r="E110" i="78"/>
  <c r="F110" i="78"/>
  <c r="D110" i="78"/>
  <c r="H132" i="78"/>
  <c r="D134" i="78"/>
  <c r="G134" i="78"/>
  <c r="G110" i="78"/>
  <c r="F134" i="78"/>
  <c r="E134" i="78"/>
  <c r="T139" i="79"/>
  <c r="H109" i="78"/>
  <c r="E131" i="65" s="1"/>
  <c r="T138" i="79"/>
  <c r="T135" i="79"/>
  <c r="T168" i="79"/>
  <c r="AF135" i="79"/>
  <c r="AF168" i="79"/>
  <c r="Z135" i="79"/>
  <c r="Z168" i="79"/>
  <c r="H146" i="79"/>
  <c r="H145" i="79"/>
  <c r="M171" i="79"/>
  <c r="L171" i="79"/>
  <c r="K171" i="79"/>
  <c r="J171" i="79"/>
  <c r="C236" i="66" l="1"/>
  <c r="AM48" i="86"/>
  <c r="B51" i="86"/>
  <c r="I50" i="86"/>
  <c r="Q50" i="86" s="1"/>
  <c r="G131" i="65"/>
  <c r="F131" i="65"/>
  <c r="AL171" i="79"/>
  <c r="AL138" i="79"/>
  <c r="Z134" i="78"/>
  <c r="N134" i="78"/>
  <c r="T134" i="78"/>
  <c r="N110" i="78"/>
  <c r="T110" i="78"/>
  <c r="H134" i="78"/>
  <c r="H110" i="78"/>
  <c r="N146" i="79"/>
  <c r="H171" i="79"/>
  <c r="N145" i="79"/>
  <c r="S171" i="79"/>
  <c r="R171" i="79"/>
  <c r="Q171" i="79"/>
  <c r="P171" i="79"/>
  <c r="C237" i="66" l="1"/>
  <c r="B52" i="86"/>
  <c r="I51" i="86"/>
  <c r="Q51" i="86" s="1"/>
  <c r="AM49" i="86"/>
  <c r="N171" i="79"/>
  <c r="T146" i="79"/>
  <c r="Y171" i="79"/>
  <c r="X171" i="79"/>
  <c r="W171" i="79"/>
  <c r="V171" i="79"/>
  <c r="T145" i="79"/>
  <c r="C238" i="66" l="1"/>
  <c r="AM50" i="86"/>
  <c r="B53" i="86"/>
  <c r="I52" i="86"/>
  <c r="Q52" i="86" s="1"/>
  <c r="T171" i="79"/>
  <c r="Z146" i="79"/>
  <c r="Z145" i="79"/>
  <c r="AE171" i="79"/>
  <c r="AD171" i="79"/>
  <c r="AC171" i="79"/>
  <c r="AB171" i="79"/>
  <c r="C239" i="66" l="1"/>
  <c r="B54" i="86"/>
  <c r="I53" i="86"/>
  <c r="Q53" i="86" s="1"/>
  <c r="AM51" i="86"/>
  <c r="Z171" i="79"/>
  <c r="AF146" i="79"/>
  <c r="AL146" i="79"/>
  <c r="AF145" i="79"/>
  <c r="AI171" i="79"/>
  <c r="AL145" i="79"/>
  <c r="C240" i="66" l="1"/>
  <c r="AM52" i="86"/>
  <c r="B55" i="86"/>
  <c r="I54" i="86"/>
  <c r="Q54" i="86" s="1"/>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B56" i="86"/>
  <c r="I55" i="86"/>
  <c r="Q55" i="86" s="1"/>
  <c r="AM53" i="86"/>
  <c r="H155" i="79"/>
  <c r="H154" i="79"/>
  <c r="M174" i="79"/>
  <c r="L174" i="79"/>
  <c r="K174" i="79"/>
  <c r="J174" i="79"/>
  <c r="C242" i="66" l="1"/>
  <c r="AM54" i="86"/>
  <c r="B57" i="86"/>
  <c r="I56" i="86"/>
  <c r="Q56" i="86" s="1"/>
  <c r="N155" i="79"/>
  <c r="H174" i="79"/>
  <c r="N154" i="79"/>
  <c r="S174" i="79"/>
  <c r="R174" i="79"/>
  <c r="Q174" i="79"/>
  <c r="P174" i="79"/>
  <c r="C243" i="66" l="1"/>
  <c r="AM55" i="86"/>
  <c r="B58" i="86"/>
  <c r="I57" i="86"/>
  <c r="Q57" i="86" s="1"/>
  <c r="N174" i="79"/>
  <c r="T155" i="79"/>
  <c r="T154" i="79"/>
  <c r="Y174" i="79"/>
  <c r="X174" i="79"/>
  <c r="W174" i="79"/>
  <c r="V174" i="79"/>
  <c r="C244" i="66" l="1"/>
  <c r="B59" i="86"/>
  <c r="I58" i="86"/>
  <c r="Q58" i="86" s="1"/>
  <c r="AM56" i="86"/>
  <c r="T174" i="79"/>
  <c r="Z155" i="79"/>
  <c r="Z154" i="79"/>
  <c r="AE174" i="79"/>
  <c r="AD174" i="79"/>
  <c r="AC174" i="79"/>
  <c r="AB174" i="79"/>
  <c r="C245" i="66" l="1"/>
  <c r="AM57" i="86"/>
  <c r="B60" i="86"/>
  <c r="I59" i="86"/>
  <c r="Q59" i="86" s="1"/>
  <c r="Z174" i="79"/>
  <c r="AF155" i="79"/>
  <c r="AL155" i="79"/>
  <c r="AF154" i="79"/>
  <c r="AI174" i="79"/>
  <c r="AL154" i="79"/>
  <c r="C246" i="66" l="1"/>
  <c r="B61" i="86"/>
  <c r="I60" i="86"/>
  <c r="Q60" i="86" s="1"/>
  <c r="AM58" i="86"/>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B62" i="86"/>
  <c r="I61" i="86"/>
  <c r="Q61" i="86" s="1"/>
  <c r="AM59" i="86"/>
  <c r="Z159" i="79"/>
  <c r="Z176" i="79"/>
  <c r="Z177" i="79"/>
  <c r="AF159" i="79"/>
  <c r="AF176" i="79"/>
  <c r="AF177" i="79"/>
  <c r="N159" i="79"/>
  <c r="N176" i="79"/>
  <c r="N177" i="79"/>
  <c r="T159" i="79"/>
  <c r="T176" i="79"/>
  <c r="T177" i="79"/>
  <c r="J97" i="79"/>
  <c r="K97" i="79"/>
  <c r="M97" i="79"/>
  <c r="L97" i="79"/>
  <c r="H159" i="79"/>
  <c r="H176" i="79"/>
  <c r="N97" i="79"/>
  <c r="C248" i="66" l="1"/>
  <c r="B63" i="86"/>
  <c r="I62" i="86"/>
  <c r="Q62" i="86" s="1"/>
  <c r="AM60" i="86"/>
  <c r="Q97" i="79"/>
  <c r="P97" i="79"/>
  <c r="R97" i="79"/>
  <c r="S97" i="79"/>
  <c r="T97" i="79"/>
  <c r="C249" i="66" l="1"/>
  <c r="AM61" i="86"/>
  <c r="B64" i="86"/>
  <c r="I63" i="86"/>
  <c r="Q63" i="86" s="1"/>
  <c r="X97" i="79"/>
  <c r="Y97" i="79"/>
  <c r="W97" i="79"/>
  <c r="V97" i="79"/>
  <c r="Z97" i="79"/>
  <c r="C250" i="66" l="1"/>
  <c r="AM62" i="86"/>
  <c r="B65" i="86"/>
  <c r="I64" i="86"/>
  <c r="Q64" i="86" s="1"/>
  <c r="AB97" i="79"/>
  <c r="AE97" i="79"/>
  <c r="AC97" i="79"/>
  <c r="AF97" i="79"/>
  <c r="C251" i="66" l="1"/>
  <c r="B66" i="86"/>
  <c r="I65" i="86"/>
  <c r="Q65" i="86" s="1"/>
  <c r="AM63" i="86"/>
  <c r="P73" i="78"/>
  <c r="V73" i="78"/>
  <c r="W73" i="78"/>
  <c r="AL132" i="79" s="1"/>
  <c r="J70" i="78"/>
  <c r="L70" i="78"/>
  <c r="Q70" i="78"/>
  <c r="K73" i="78"/>
  <c r="M73" i="78"/>
  <c r="W70" i="78"/>
  <c r="S70" i="78"/>
  <c r="J73" i="78"/>
  <c r="L73" i="78"/>
  <c r="S73" i="78"/>
  <c r="M70" i="78"/>
  <c r="P70" i="78"/>
  <c r="V70" i="78"/>
  <c r="Q73" i="78"/>
  <c r="K70" i="78"/>
  <c r="D70" i="78"/>
  <c r="D73" i="78"/>
  <c r="F70" i="78"/>
  <c r="E70" i="78"/>
  <c r="G73" i="78"/>
  <c r="G70" i="78"/>
  <c r="E73" i="78"/>
  <c r="F73" i="78"/>
  <c r="AH97" i="79"/>
  <c r="AI97" i="79"/>
  <c r="H70" i="78"/>
  <c r="E102" i="65" s="1"/>
  <c r="T70" i="78"/>
  <c r="G102" i="65" s="1"/>
  <c r="N70" i="78"/>
  <c r="F102" i="65" s="1"/>
  <c r="N73" i="78"/>
  <c r="F105" i="65" s="1"/>
  <c r="T73" i="78"/>
  <c r="G105" i="65" s="1"/>
  <c r="H73" i="78"/>
  <c r="E105" i="65" s="1"/>
  <c r="F98" i="79"/>
  <c r="E98" i="79"/>
  <c r="C252" i="66" l="1"/>
  <c r="AM64" i="86"/>
  <c r="B67" i="86"/>
  <c r="I66" i="86"/>
  <c r="Q66" i="86" s="1"/>
  <c r="AL131" i="79"/>
  <c r="H98" i="79"/>
  <c r="G98" i="79"/>
  <c r="L98" i="79"/>
  <c r="K98" i="79"/>
  <c r="J98" i="79"/>
  <c r="C253" i="66" l="1"/>
  <c r="AM65" i="86"/>
  <c r="B68" i="86"/>
  <c r="I67" i="86"/>
  <c r="Q67" i="86" s="1"/>
  <c r="N98" i="79"/>
  <c r="M98" i="79"/>
  <c r="C254" i="66" l="1"/>
  <c r="AM66" i="86"/>
  <c r="B69" i="86"/>
  <c r="I68" i="86"/>
  <c r="Q68" i="86" s="1"/>
  <c r="R98" i="79"/>
  <c r="F76" i="78"/>
  <c r="Q98" i="79"/>
  <c r="E76" i="78"/>
  <c r="H76" i="78"/>
  <c r="E108" i="65" s="1"/>
  <c r="G76" i="78"/>
  <c r="P98" i="79"/>
  <c r="D76" i="78"/>
  <c r="S98" i="79"/>
  <c r="C255" i="66" l="1"/>
  <c r="B70" i="86"/>
  <c r="I69" i="86"/>
  <c r="Q69" i="86" s="1"/>
  <c r="AM67" i="86"/>
  <c r="V98" i="79"/>
  <c r="J76" i="78"/>
  <c r="W98" i="79"/>
  <c r="K76" i="78"/>
  <c r="X98" i="79"/>
  <c r="L76" i="78"/>
  <c r="N76" i="78"/>
  <c r="F108" i="65" s="1"/>
  <c r="M76" i="78"/>
  <c r="T98" i="79"/>
  <c r="Y98" i="79"/>
  <c r="C256" i="66" l="1"/>
  <c r="Z98" i="79"/>
  <c r="AM68" i="86"/>
  <c r="B71" i="86"/>
  <c r="I70" i="86"/>
  <c r="Q70" i="86" s="1"/>
  <c r="T76" i="78"/>
  <c r="G108" i="65" s="1"/>
  <c r="S76" i="78"/>
  <c r="AB98" i="79"/>
  <c r="P76" i="78"/>
  <c r="AD98" i="79"/>
  <c r="R76" i="78"/>
  <c r="AC98" i="79"/>
  <c r="Q76" i="78"/>
  <c r="AE98" i="79"/>
  <c r="C257" i="66" l="1"/>
  <c r="B72" i="86"/>
  <c r="I71" i="86"/>
  <c r="Q71" i="86" s="1"/>
  <c r="AM69" i="86"/>
  <c r="AF98" i="79"/>
  <c r="V83" i="78"/>
  <c r="J83" i="78"/>
  <c r="W83" i="78"/>
  <c r="Q83" i="78"/>
  <c r="R83" i="78"/>
  <c r="R79" i="78"/>
  <c r="P83" i="78"/>
  <c r="K79" i="78"/>
  <c r="K53" i="78" s="1"/>
  <c r="S83" i="78"/>
  <c r="K83" i="78"/>
  <c r="L79" i="78"/>
  <c r="W79" i="78"/>
  <c r="P79" i="78"/>
  <c r="V79" i="78"/>
  <c r="M83" i="78"/>
  <c r="M79" i="78"/>
  <c r="J79" i="78"/>
  <c r="J53" i="78" s="1"/>
  <c r="S79" i="78"/>
  <c r="L83" i="78"/>
  <c r="Q79" i="78"/>
  <c r="AH98" i="79"/>
  <c r="V76" i="78"/>
  <c r="AI98" i="79"/>
  <c r="W76" i="78"/>
  <c r="F79" i="78"/>
  <c r="F53" i="78" s="1"/>
  <c r="E79" i="78"/>
  <c r="E53" i="78" s="1"/>
  <c r="D79" i="78"/>
  <c r="D53" i="78" s="1"/>
  <c r="G79" i="78"/>
  <c r="G53"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79" i="78"/>
  <c r="E111" i="65" s="1"/>
  <c r="E81" i="65" s="1"/>
  <c r="N82" i="78"/>
  <c r="H82" i="78"/>
  <c r="T79" i="78"/>
  <c r="T82" i="78"/>
  <c r="N79" i="78"/>
  <c r="F103" i="79"/>
  <c r="E103" i="79"/>
  <c r="D103" i="79"/>
  <c r="C258" i="66" l="1"/>
  <c r="Z83" i="78"/>
  <c r="E56" i="78"/>
  <c r="E83" i="78"/>
  <c r="F114" i="65"/>
  <c r="N83" i="78"/>
  <c r="F115" i="65" s="1"/>
  <c r="G56" i="78"/>
  <c r="G83" i="78"/>
  <c r="E114" i="65"/>
  <c r="E84" i="65" s="1"/>
  <c r="H83" i="78"/>
  <c r="E115" i="65" s="1"/>
  <c r="D56" i="78"/>
  <c r="F56" i="78"/>
  <c r="F83" i="78"/>
  <c r="G114" i="65"/>
  <c r="H83" i="65" s="1"/>
  <c r="T83" i="78"/>
  <c r="G115" i="65" s="1"/>
  <c r="AM70" i="86"/>
  <c r="B73" i="86"/>
  <c r="I72" i="86"/>
  <c r="Q72" i="86" s="1"/>
  <c r="F111" i="65"/>
  <c r="G111" i="65"/>
  <c r="H80" i="65" s="1"/>
  <c r="H53" i="78"/>
  <c r="L95" i="78"/>
  <c r="T95" i="78"/>
  <c r="G126" i="65" s="1"/>
  <c r="X52" i="78"/>
  <c r="W53" i="78"/>
  <c r="P95" i="78"/>
  <c r="Q95" i="78"/>
  <c r="M95" i="78"/>
  <c r="N95" i="78"/>
  <c r="F126" i="65" s="1"/>
  <c r="K56" i="78"/>
  <c r="K95" i="78"/>
  <c r="S95" i="78"/>
  <c r="R95" i="78"/>
  <c r="X55" i="78"/>
  <c r="X82" i="78" s="1"/>
  <c r="AJ102" i="79" s="1"/>
  <c r="W56" i="78"/>
  <c r="W95" i="78"/>
  <c r="J56" i="78"/>
  <c r="J95" i="78"/>
  <c r="V95" i="78"/>
  <c r="G95" i="78"/>
  <c r="F95" i="78"/>
  <c r="D95" i="78"/>
  <c r="N102" i="79"/>
  <c r="E95" i="78"/>
  <c r="H56" i="78"/>
  <c r="H95" i="78"/>
  <c r="E126" i="65" s="1"/>
  <c r="AF102" i="79"/>
  <c r="G103" i="79"/>
  <c r="H102" i="79"/>
  <c r="H101" i="79"/>
  <c r="H103" i="79"/>
  <c r="T102" i="79"/>
  <c r="N101" i="79"/>
  <c r="Z101" i="79"/>
  <c r="Z102" i="79"/>
  <c r="T101" i="79"/>
  <c r="AF101" i="79"/>
  <c r="L103" i="79"/>
  <c r="K103" i="79"/>
  <c r="J103" i="79"/>
  <c r="C259" i="66" l="1"/>
  <c r="B74" i="86"/>
  <c r="I73" i="86"/>
  <c r="Q73" i="86" s="1"/>
  <c r="AM71" i="86"/>
  <c r="H77" i="65"/>
  <c r="Y55" i="78"/>
  <c r="Y82" i="78" s="1"/>
  <c r="AK102" i="79" s="1"/>
  <c r="X49" i="78"/>
  <c r="N103" i="79"/>
  <c r="M103" i="79"/>
  <c r="R103" i="79"/>
  <c r="Q103" i="79"/>
  <c r="P103" i="79"/>
  <c r="C260" i="66" l="1"/>
  <c r="AM72" i="86"/>
  <c r="B75" i="86"/>
  <c r="I74" i="86"/>
  <c r="Q74" i="86" s="1"/>
  <c r="AB55" i="78"/>
  <c r="Z82" i="78"/>
  <c r="X94" i="78"/>
  <c r="X61" i="78"/>
  <c r="AJ77" i="79" s="1"/>
  <c r="T103" i="79"/>
  <c r="S103" i="79"/>
  <c r="X103" i="79"/>
  <c r="W103" i="79"/>
  <c r="V103" i="79"/>
  <c r="X128" i="78" l="1"/>
  <c r="X22" i="74"/>
  <c r="X28" i="74"/>
  <c r="C261" i="66"/>
  <c r="B76" i="86"/>
  <c r="I75" i="86"/>
  <c r="Q75" i="86" s="1"/>
  <c r="AM73" i="86"/>
  <c r="AL102" i="79"/>
  <c r="AJ74" i="79"/>
  <c r="X62" i="78"/>
  <c r="X122" i="78"/>
  <c r="X126" i="78" s="1"/>
  <c r="X112" i="78" s="1"/>
  <c r="AB82" i="78"/>
  <c r="Z103" i="79"/>
  <c r="Y103" i="79"/>
  <c r="AD103" i="79"/>
  <c r="AC103" i="79"/>
  <c r="AB103" i="79"/>
  <c r="X65" i="74" l="1"/>
  <c r="L55" i="78" s="1"/>
  <c r="L56" i="78" s="1"/>
  <c r="X64" i="74"/>
  <c r="L52" i="78" s="1"/>
  <c r="L53" i="78" s="1"/>
  <c r="C262" i="66"/>
  <c r="AM74" i="86"/>
  <c r="B77" i="86"/>
  <c r="I76" i="86"/>
  <c r="Q76" i="86" s="1"/>
  <c r="AC55" i="78"/>
  <c r="AC82" i="78" s="1"/>
  <c r="AN102" i="79"/>
  <c r="AF103" i="79"/>
  <c r="AE103" i="79"/>
  <c r="AI103" i="79"/>
  <c r="AH103" i="79"/>
  <c r="C263" i="66" l="1"/>
  <c r="B78" i="86"/>
  <c r="I77" i="86"/>
  <c r="Q77" i="86" s="1"/>
  <c r="AM75" i="86"/>
  <c r="AD55" i="78"/>
  <c r="AO102" i="79"/>
  <c r="Q85" i="78"/>
  <c r="K85" i="78"/>
  <c r="L85" i="78"/>
  <c r="V85" i="78"/>
  <c r="J85" i="78"/>
  <c r="M85" i="78"/>
  <c r="W85" i="78"/>
  <c r="S85" i="78"/>
  <c r="R85" i="78"/>
  <c r="P85" i="78"/>
  <c r="F85" i="78"/>
  <c r="D85" i="78"/>
  <c r="G85" i="78"/>
  <c r="E85"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85" i="78"/>
  <c r="G117" i="65" s="1"/>
  <c r="N85" i="78"/>
  <c r="F117" i="65" s="1"/>
  <c r="T104" i="79"/>
  <c r="H85" i="78"/>
  <c r="E117" i="65" s="1"/>
  <c r="N104" i="79"/>
  <c r="F109" i="79"/>
  <c r="E109" i="79"/>
  <c r="D109" i="79"/>
  <c r="C264" i="66" l="1"/>
  <c r="B79" i="86"/>
  <c r="I78" i="86"/>
  <c r="Q78" i="86" s="1"/>
  <c r="AM76" i="86"/>
  <c r="AL133" i="79"/>
  <c r="AD82" i="78"/>
  <c r="G109" i="79"/>
  <c r="H109" i="79"/>
  <c r="L109" i="79"/>
  <c r="K109" i="79"/>
  <c r="J109" i="79"/>
  <c r="C265" i="66" l="1"/>
  <c r="AM77" i="86"/>
  <c r="B80" i="86"/>
  <c r="I79" i="86"/>
  <c r="Q79" i="86" s="1"/>
  <c r="AE55" i="78"/>
  <c r="AP102" i="79"/>
  <c r="N109" i="79"/>
  <c r="M109" i="79"/>
  <c r="C266" i="66" l="1"/>
  <c r="B81" i="86"/>
  <c r="I80" i="86"/>
  <c r="Q80" i="86" s="1"/>
  <c r="AM78" i="86"/>
  <c r="AE82" i="78"/>
  <c r="AF55" i="78"/>
  <c r="Q109" i="79"/>
  <c r="E88" i="78"/>
  <c r="R109" i="79"/>
  <c r="F88" i="78"/>
  <c r="H88" i="78"/>
  <c r="E120" i="65" s="1"/>
  <c r="G88" i="78"/>
  <c r="P109" i="79"/>
  <c r="D88" i="78"/>
  <c r="S109" i="79"/>
  <c r="C267" i="66" l="1"/>
  <c r="AM79" i="86"/>
  <c r="B82" i="86"/>
  <c r="I81" i="86"/>
  <c r="Q81" i="86" s="1"/>
  <c r="AF82" i="78"/>
  <c r="AQ102" i="79"/>
  <c r="X109" i="79"/>
  <c r="L88" i="78"/>
  <c r="V109" i="79"/>
  <c r="J88" i="78"/>
  <c r="N88" i="78"/>
  <c r="F120" i="65" s="1"/>
  <c r="M88" i="78"/>
  <c r="W109" i="79"/>
  <c r="K88" i="78"/>
  <c r="T109" i="79"/>
  <c r="Y109" i="79"/>
  <c r="C268" i="66" l="1"/>
  <c r="B83" i="86"/>
  <c r="I82" i="86"/>
  <c r="Q82" i="86" s="1"/>
  <c r="AM80" i="86"/>
  <c r="AH55" i="78"/>
  <c r="AH82" i="78" s="1"/>
  <c r="AR102" i="79"/>
  <c r="AF56" i="78"/>
  <c r="Z109" i="79"/>
  <c r="AB109" i="79"/>
  <c r="P88" i="78"/>
  <c r="AC109" i="79"/>
  <c r="Q88" i="78"/>
  <c r="AD109" i="79"/>
  <c r="R88" i="78"/>
  <c r="T88" i="78"/>
  <c r="G120" i="65" s="1"/>
  <c r="S88" i="78"/>
  <c r="AE109" i="79"/>
  <c r="C269" i="66" l="1"/>
  <c r="AF109" i="79"/>
  <c r="AM81" i="86"/>
  <c r="B84" i="86"/>
  <c r="I83" i="86"/>
  <c r="Q83" i="86" s="1"/>
  <c r="AJ55" i="78"/>
  <c r="AJ82" i="78" s="1"/>
  <c r="AT102" i="79"/>
  <c r="AF164" i="78"/>
  <c r="Z164" i="78"/>
  <c r="AL164" i="78"/>
  <c r="AI109" i="79"/>
  <c r="W88" i="78"/>
  <c r="AH109" i="79"/>
  <c r="V88" i="78"/>
  <c r="F112" i="79"/>
  <c r="E112" i="79"/>
  <c r="D112" i="79"/>
  <c r="C28" i="6" l="1"/>
  <c r="C270" i="66"/>
  <c r="B85" i="86"/>
  <c r="I84" i="86"/>
  <c r="Q84" i="86" s="1"/>
  <c r="AM82" i="86"/>
  <c r="X103" i="78"/>
  <c r="AL55" i="78"/>
  <c r="AL82" i="78" s="1"/>
  <c r="AV102" i="79"/>
  <c r="H112" i="79"/>
  <c r="G112" i="79"/>
  <c r="L112" i="79"/>
  <c r="K112" i="79"/>
  <c r="J112" i="79"/>
  <c r="C271" i="66" l="1"/>
  <c r="AM83" i="86"/>
  <c r="B86" i="86"/>
  <c r="I85" i="86"/>
  <c r="Q85" i="86" s="1"/>
  <c r="N112" i="79"/>
  <c r="X132" i="78"/>
  <c r="X136" i="78" s="1"/>
  <c r="Z103" i="78"/>
  <c r="Z132" i="78" s="1"/>
  <c r="AJ176" i="79"/>
  <c r="AL134" i="79"/>
  <c r="AJ168" i="79"/>
  <c r="M112" i="79"/>
  <c r="R112" i="79"/>
  <c r="Q112" i="79"/>
  <c r="P112" i="79"/>
  <c r="C272" i="66" l="1"/>
  <c r="B87" i="86"/>
  <c r="I86" i="86"/>
  <c r="Q86" i="86" s="1"/>
  <c r="AM84" i="86"/>
  <c r="T112" i="79"/>
  <c r="S112" i="79"/>
  <c r="X112" i="79"/>
  <c r="W112" i="79"/>
  <c r="V112" i="79"/>
  <c r="C273" i="66" l="1"/>
  <c r="AM85" i="86"/>
  <c r="B88" i="86"/>
  <c r="I87" i="86"/>
  <c r="Q87" i="86" s="1"/>
  <c r="Z112" i="79"/>
  <c r="Y112" i="79"/>
  <c r="AD112" i="79"/>
  <c r="AC112" i="79"/>
  <c r="AB112" i="79"/>
  <c r="C274" i="66" l="1"/>
  <c r="B89" i="86"/>
  <c r="I88" i="86"/>
  <c r="Q88" i="86" s="1"/>
  <c r="AM86" i="86"/>
  <c r="AF112" i="79"/>
  <c r="AE112" i="79"/>
  <c r="AI112" i="79"/>
  <c r="AH112" i="79"/>
  <c r="C275" i="66" l="1"/>
  <c r="AM87" i="86"/>
  <c r="B90" i="86"/>
  <c r="I89" i="86"/>
  <c r="Q89" i="86" s="1"/>
  <c r="AL166" i="78"/>
  <c r="AF166" i="78"/>
  <c r="Z166" i="78"/>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B91" i="86"/>
  <c r="I90" i="86"/>
  <c r="Q90" i="86" s="1"/>
  <c r="AM88" i="86"/>
  <c r="G116" i="79"/>
  <c r="H116" i="79"/>
  <c r="L116" i="79"/>
  <c r="K116" i="79"/>
  <c r="J116" i="79"/>
  <c r="C277" i="66" l="1"/>
  <c r="AM89" i="86"/>
  <c r="B92" i="86"/>
  <c r="I91" i="86"/>
  <c r="Q91" i="86" s="1"/>
  <c r="N116" i="79"/>
  <c r="M116" i="79"/>
  <c r="R116" i="79"/>
  <c r="Q116" i="79"/>
  <c r="P116" i="79"/>
  <c r="C278" i="66" l="1"/>
  <c r="AM90" i="86"/>
  <c r="B93" i="86"/>
  <c r="I92" i="86"/>
  <c r="Q92" i="86" s="1"/>
  <c r="T116" i="79"/>
  <c r="S116" i="79"/>
  <c r="X116" i="79"/>
  <c r="W116" i="79"/>
  <c r="V116" i="79"/>
  <c r="C279" i="66" l="1"/>
  <c r="B94" i="86"/>
  <c r="I93" i="86"/>
  <c r="Q93" i="86" s="1"/>
  <c r="AM91" i="86"/>
  <c r="Z116" i="79"/>
  <c r="Y116" i="79"/>
  <c r="AD116" i="79"/>
  <c r="AC116" i="79"/>
  <c r="AB116" i="79"/>
  <c r="C43" i="6"/>
  <c r="C44" i="6" s="1"/>
  <c r="C280" i="66" l="1"/>
  <c r="AM92" i="86"/>
  <c r="B95" i="86"/>
  <c r="I94" i="86"/>
  <c r="Q94" i="86" s="1"/>
  <c r="AF116" i="79"/>
  <c r="AE116" i="79"/>
  <c r="AI116" i="79"/>
  <c r="AH116" i="79"/>
  <c r="C281" i="66" l="1"/>
  <c r="AM93" i="86"/>
  <c r="B96" i="86"/>
  <c r="I95" i="86"/>
  <c r="Q95" i="86" s="1"/>
  <c r="F32" i="78"/>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C282" i="66" l="1"/>
  <c r="P65" i="78"/>
  <c r="K64" i="78"/>
  <c r="N65" i="78"/>
  <c r="N64" i="78"/>
  <c r="V17" i="84"/>
  <c r="Q64" i="78"/>
  <c r="Y17" i="84"/>
  <c r="K65" i="78"/>
  <c r="Q65" i="78"/>
  <c r="W64" i="78"/>
  <c r="Q68" i="79"/>
  <c r="W65" i="78"/>
  <c r="X65" i="78" s="1"/>
  <c r="Y65" i="78" s="1"/>
  <c r="T64" i="78"/>
  <c r="P17" i="84"/>
  <c r="P21" i="84"/>
  <c r="AI21" i="84"/>
  <c r="M17" i="84"/>
  <c r="F97" i="65"/>
  <c r="AE17" i="84"/>
  <c r="G94" i="65"/>
  <c r="F91" i="65"/>
  <c r="S21" i="84"/>
  <c r="N34" i="78"/>
  <c r="F62" i="65" s="1"/>
  <c r="S65" i="78"/>
  <c r="N43" i="78"/>
  <c r="F71" i="65" s="1"/>
  <c r="Z21" i="84"/>
  <c r="W21" i="84"/>
  <c r="F89" i="65"/>
  <c r="D31" i="6"/>
  <c r="D30" i="6" s="1"/>
  <c r="AC68" i="79"/>
  <c r="P64" i="78"/>
  <c r="S64" i="78"/>
  <c r="N17" i="84"/>
  <c r="N40" i="78"/>
  <c r="F68" i="65" s="1"/>
  <c r="K68" i="79"/>
  <c r="M65" i="78"/>
  <c r="M64" i="78"/>
  <c r="N46" i="78"/>
  <c r="N61" i="78"/>
  <c r="AT16" i="78" s="1"/>
  <c r="AB21" i="84"/>
  <c r="S17" i="84"/>
  <c r="G71" i="78"/>
  <c r="AB17" i="84"/>
  <c r="S68" i="79"/>
  <c r="AB68" i="79"/>
  <c r="T104" i="78"/>
  <c r="G129" i="65" s="1"/>
  <c r="K21" i="84"/>
  <c r="K17" i="84"/>
  <c r="P68" i="79"/>
  <c r="Z68" i="79"/>
  <c r="N87" i="79"/>
  <c r="Y68" i="79"/>
  <c r="F59" i="65"/>
  <c r="Z17" i="84"/>
  <c r="Y21" i="84"/>
  <c r="Q21" i="84"/>
  <c r="E71" i="78"/>
  <c r="Q17" i="84"/>
  <c r="W68" i="79"/>
  <c r="W17" i="84"/>
  <c r="H104" i="78"/>
  <c r="E129" i="65" s="1"/>
  <c r="Z86" i="79"/>
  <c r="Z87" i="79"/>
  <c r="Z77" i="79"/>
  <c r="Z74" i="79"/>
  <c r="N74" i="79"/>
  <c r="N77" i="79"/>
  <c r="V21" i="84"/>
  <c r="N83" i="79"/>
  <c r="N124" i="78"/>
  <c r="N86" i="79"/>
  <c r="F94" i="65"/>
  <c r="Z83" i="79"/>
  <c r="V68" i="79"/>
  <c r="Z18" i="79"/>
  <c r="AC17" i="84"/>
  <c r="AC21" i="84"/>
  <c r="N68" i="79"/>
  <c r="N71" i="79"/>
  <c r="N58" i="78"/>
  <c r="N21" i="84"/>
  <c r="Z80" i="79"/>
  <c r="M68" i="79"/>
  <c r="N80" i="79"/>
  <c r="AE68" i="79"/>
  <c r="M21" i="84"/>
  <c r="AE21" i="84"/>
  <c r="AI68" i="79"/>
  <c r="AI17" i="84"/>
  <c r="G97" i="65"/>
  <c r="E97" i="65"/>
  <c r="T65" i="78"/>
  <c r="H40" i="78"/>
  <c r="E68" i="65" s="1"/>
  <c r="G89" i="65"/>
  <c r="D17" i="84"/>
  <c r="E89" i="65"/>
  <c r="E94" i="65"/>
  <c r="T34" i="78"/>
  <c r="G62" i="65" s="1"/>
  <c r="D24" i="6"/>
  <c r="D25" i="6" s="1"/>
  <c r="E91" i="65"/>
  <c r="H49" i="78"/>
  <c r="H50" i="78" s="1"/>
  <c r="H37" i="78"/>
  <c r="E65" i="65" s="1"/>
  <c r="T21" i="84"/>
  <c r="H18" i="79"/>
  <c r="T17" i="84"/>
  <c r="D68" i="79"/>
  <c r="D21" i="84"/>
  <c r="H58" i="78"/>
  <c r="T58" i="78"/>
  <c r="T68" i="79"/>
  <c r="AF21" i="84"/>
  <c r="T18" i="79"/>
  <c r="AF18" i="79"/>
  <c r="AF68" i="79"/>
  <c r="H124" i="78"/>
  <c r="T80" i="79"/>
  <c r="AF80" i="79"/>
  <c r="T124" i="78"/>
  <c r="G91" i="65"/>
  <c r="B97" i="86"/>
  <c r="I96" i="86"/>
  <c r="Q96" i="86" s="1"/>
  <c r="AM94" i="86"/>
  <c r="J21" i="84"/>
  <c r="N18" i="79"/>
  <c r="J17" i="84"/>
  <c r="J68" i="79"/>
  <c r="AH17" i="84"/>
  <c r="AH21" i="84"/>
  <c r="AH68" i="79"/>
  <c r="J65" i="78"/>
  <c r="V65" i="78"/>
  <c r="J64" i="78"/>
  <c r="V64" i="78"/>
  <c r="T61" i="78"/>
  <c r="AU16" i="78" s="1"/>
  <c r="T40" i="78"/>
  <c r="G68" i="65" s="1"/>
  <c r="G59" i="65"/>
  <c r="T43" i="78"/>
  <c r="G71" i="65" s="1"/>
  <c r="T46" i="78"/>
  <c r="T47" i="78" s="1"/>
  <c r="N104" i="78"/>
  <c r="F129" i="65" s="1"/>
  <c r="N86" i="78"/>
  <c r="F118" i="65" s="1"/>
  <c r="F71" i="78"/>
  <c r="F107" i="78"/>
  <c r="F77" i="78"/>
  <c r="AF77" i="79"/>
  <c r="H34" i="78"/>
  <c r="H64" i="78"/>
  <c r="AF87" i="79"/>
  <c r="AF86" i="79"/>
  <c r="H43" i="78"/>
  <c r="AF83" i="79"/>
  <c r="H46" i="78"/>
  <c r="H65" i="78"/>
  <c r="E59" i="65"/>
  <c r="E60" i="65" s="1"/>
  <c r="T77" i="79"/>
  <c r="H61" i="78"/>
  <c r="AS16" i="78" s="1"/>
  <c r="T71" i="79"/>
  <c r="T74" i="79"/>
  <c r="T87" i="79"/>
  <c r="T86" i="79"/>
  <c r="T83" i="79"/>
  <c r="AF74" i="79"/>
  <c r="D71" i="78" l="1"/>
  <c r="D32" i="78"/>
  <c r="E74" i="65"/>
  <c r="H47" i="78"/>
  <c r="G86" i="65"/>
  <c r="G87" i="65" s="1"/>
  <c r="F86" i="65"/>
  <c r="F87" i="65" s="1"/>
  <c r="E86" i="65"/>
  <c r="E87" i="65" s="1"/>
  <c r="F74" i="65"/>
  <c r="F75" i="65" s="1"/>
  <c r="N47" i="78"/>
  <c r="C283" i="66"/>
  <c r="F63" i="65"/>
  <c r="D104" i="78"/>
  <c r="D107" i="78"/>
  <c r="G95" i="65"/>
  <c r="N122" i="78"/>
  <c r="N126" i="78" s="1"/>
  <c r="G104" i="78"/>
  <c r="F95" i="65"/>
  <c r="D77" i="78"/>
  <c r="G77" i="78"/>
  <c r="N74" i="78"/>
  <c r="F106" i="65" s="1"/>
  <c r="AJ87" i="79"/>
  <c r="N98" i="78"/>
  <c r="N89" i="78"/>
  <c r="F121" i="65" s="1"/>
  <c r="G107" i="78"/>
  <c r="G32" i="78"/>
  <c r="F104" i="78"/>
  <c r="E32" i="78"/>
  <c r="E107" i="78"/>
  <c r="E104" i="78"/>
  <c r="E77" i="78"/>
  <c r="N107" i="78"/>
  <c r="F132" i="65" s="1"/>
  <c r="N77" i="78"/>
  <c r="F109" i="65" s="1"/>
  <c r="F92" i="65"/>
  <c r="N71" i="78"/>
  <c r="F103" i="65" s="1"/>
  <c r="F72" i="65"/>
  <c r="N62" i="78"/>
  <c r="N44" i="78"/>
  <c r="N59" i="78"/>
  <c r="N41" i="78"/>
  <c r="F98" i="65"/>
  <c r="F69" i="65"/>
  <c r="N35" i="78"/>
  <c r="E24" i="6"/>
  <c r="F24" i="6" s="1"/>
  <c r="E75" i="65"/>
  <c r="T86" i="78"/>
  <c r="G118" i="65" s="1"/>
  <c r="T74" i="78"/>
  <c r="G106" i="65" s="1"/>
  <c r="E77" i="65"/>
  <c r="E78" i="65" s="1"/>
  <c r="E95" i="65"/>
  <c r="AM95" i="86"/>
  <c r="B98" i="86"/>
  <c r="I97" i="86"/>
  <c r="Q97" i="86" s="1"/>
  <c r="G60" i="65"/>
  <c r="H60" i="65"/>
  <c r="H86" i="78"/>
  <c r="E118" i="65" s="1"/>
  <c r="E62" i="65"/>
  <c r="G98" i="65"/>
  <c r="G69" i="65"/>
  <c r="G63" i="65"/>
  <c r="G92" i="65"/>
  <c r="E98" i="65"/>
  <c r="H89" i="78"/>
  <c r="E121" i="65" s="1"/>
  <c r="E71" i="65"/>
  <c r="E72" i="65" s="1"/>
  <c r="G74" i="65"/>
  <c r="G75" i="65" s="1"/>
  <c r="G72" i="65"/>
  <c r="E92" i="65"/>
  <c r="F60" i="65"/>
  <c r="E69" i="65"/>
  <c r="Z65" i="78"/>
  <c r="AL87" i="79" s="1"/>
  <c r="AB65" i="78"/>
  <c r="AK87" i="79"/>
  <c r="T59" i="78"/>
  <c r="Y32" i="78"/>
  <c r="X32" i="78"/>
  <c r="T89" i="78"/>
  <c r="G121" i="65" s="1"/>
  <c r="T44" i="78"/>
  <c r="T98" i="78"/>
  <c r="M32" i="78"/>
  <c r="M71" i="78"/>
  <c r="M107" i="78"/>
  <c r="M104" i="78"/>
  <c r="M77" i="78"/>
  <c r="T107" i="78"/>
  <c r="G132" i="65" s="1"/>
  <c r="T71" i="78"/>
  <c r="G103" i="65" s="1"/>
  <c r="T32" i="78"/>
  <c r="AU18" i="78" s="1"/>
  <c r="T77" i="78"/>
  <c r="G109" i="65" s="1"/>
  <c r="J32" i="78"/>
  <c r="J104" i="78"/>
  <c r="J107" i="78"/>
  <c r="J71" i="78"/>
  <c r="J77" i="78"/>
  <c r="K32" i="78"/>
  <c r="K77" i="78"/>
  <c r="K107" i="78"/>
  <c r="K104" i="78"/>
  <c r="K71" i="78"/>
  <c r="L32" i="78"/>
  <c r="L71" i="78"/>
  <c r="L104" i="78"/>
  <c r="L77" i="78"/>
  <c r="L107" i="78"/>
  <c r="T35" i="78"/>
  <c r="T41" i="78"/>
  <c r="T122" i="78"/>
  <c r="T126" i="78" s="1"/>
  <c r="T62" i="78"/>
  <c r="H107" i="78"/>
  <c r="E132" i="65" s="1"/>
  <c r="N32" i="78"/>
  <c r="AT18" i="78" s="1"/>
  <c r="H74" i="78"/>
  <c r="E106" i="65" s="1"/>
  <c r="H38" i="78"/>
  <c r="H98" i="78"/>
  <c r="H71" i="78"/>
  <c r="E103" i="65" s="1"/>
  <c r="H77" i="78"/>
  <c r="E109" i="65" s="1"/>
  <c r="H44" i="78"/>
  <c r="H59" i="78"/>
  <c r="H122" i="78"/>
  <c r="H126" i="78" s="1"/>
  <c r="H62" i="78"/>
  <c r="H32" i="78"/>
  <c r="AS18" i="78" s="1"/>
  <c r="H41" i="78"/>
  <c r="H35" i="78"/>
  <c r="H136" i="78" l="1"/>
  <c r="AS17" i="78" s="1"/>
  <c r="H113" i="78"/>
  <c r="T136" i="78"/>
  <c r="AU17" i="78" s="1"/>
  <c r="T113" i="78"/>
  <c r="N136" i="78"/>
  <c r="AT17" i="78" s="1"/>
  <c r="N113" i="78"/>
  <c r="C284" i="66"/>
  <c r="E35" i="6"/>
  <c r="G24" i="6"/>
  <c r="F35" i="6"/>
  <c r="F14" i="6" s="1"/>
  <c r="AM96" i="86"/>
  <c r="B99" i="86"/>
  <c r="I98" i="86"/>
  <c r="Q98" i="86" s="1"/>
  <c r="E63" i="65"/>
  <c r="E66" i="65"/>
  <c r="AC65" i="78"/>
  <c r="AC32" i="78"/>
  <c r="AB32" i="78"/>
  <c r="R32" i="78"/>
  <c r="R77" i="78"/>
  <c r="R107" i="78"/>
  <c r="R104" i="78"/>
  <c r="R71" i="78"/>
  <c r="S32" i="78"/>
  <c r="S107" i="78"/>
  <c r="S71" i="78"/>
  <c r="S77" i="78"/>
  <c r="S104" i="78"/>
  <c r="P32" i="78"/>
  <c r="P77" i="78"/>
  <c r="P71" i="78"/>
  <c r="P104" i="78"/>
  <c r="P107" i="78"/>
  <c r="Q32" i="78"/>
  <c r="Q104" i="78"/>
  <c r="Q71" i="78"/>
  <c r="Q107" i="78"/>
  <c r="Q77" i="78"/>
  <c r="C285" i="66" l="1"/>
  <c r="H24" i="6"/>
  <c r="H35" i="6" s="1"/>
  <c r="G35" i="6"/>
  <c r="B100" i="86"/>
  <c r="I99" i="86"/>
  <c r="Q99" i="86" s="1"/>
  <c r="AM97" i="86"/>
  <c r="X100" i="78"/>
  <c r="X104" i="78"/>
  <c r="AD65" i="78"/>
  <c r="AO87" i="79"/>
  <c r="AN87" i="79"/>
  <c r="V32" i="78"/>
  <c r="V104" i="78"/>
  <c r="V107" i="78"/>
  <c r="V77" i="78"/>
  <c r="Z31" i="78"/>
  <c r="V71" i="78"/>
  <c r="W32" i="78"/>
  <c r="W104" i="78"/>
  <c r="W71" i="78"/>
  <c r="W107" i="78"/>
  <c r="W77" i="78"/>
  <c r="H21" i="79"/>
  <c r="Z21" i="78" l="1"/>
  <c r="Z16" i="78" s="1"/>
  <c r="C286" i="66"/>
  <c r="B101" i="86"/>
  <c r="I100" i="86"/>
  <c r="Q100" i="86" s="1"/>
  <c r="AM98" i="86"/>
  <c r="AE65" i="78"/>
  <c r="X101" i="78"/>
  <c r="Z110" i="78"/>
  <c r="AF32" i="78"/>
  <c r="AW18" i="78" s="1"/>
  <c r="Z107" i="78"/>
  <c r="Z32" i="78"/>
  <c r="AV18" i="78" s="1"/>
  <c r="Z77" i="78"/>
  <c r="Z71" i="78"/>
  <c r="Z104" i="78"/>
  <c r="AF104" i="78"/>
  <c r="D34" i="78"/>
  <c r="D86" i="78" s="1"/>
  <c r="G34" i="78"/>
  <c r="G86" i="78" s="1"/>
  <c r="F34" i="78"/>
  <c r="F86" i="78" s="1"/>
  <c r="E34" i="78"/>
  <c r="E86" i="78" s="1"/>
  <c r="T21" i="79"/>
  <c r="N21" i="79"/>
  <c r="C287" i="66" l="1"/>
  <c r="AM99" i="86"/>
  <c r="B102" i="86"/>
  <c r="I101" i="86"/>
  <c r="Q101" i="86" s="1"/>
  <c r="AL21" i="84"/>
  <c r="AL68" i="79"/>
  <c r="AL18" i="79"/>
  <c r="F74" i="78"/>
  <c r="AP87" i="79"/>
  <c r="AF65" i="78"/>
  <c r="AQ87" i="79"/>
  <c r="E35" i="78"/>
  <c r="G35" i="78"/>
  <c r="G74" i="78"/>
  <c r="E74" i="78"/>
  <c r="F35" i="78"/>
  <c r="X64" i="78"/>
  <c r="W34" i="78"/>
  <c r="Q34" i="78"/>
  <c r="W37" i="78"/>
  <c r="L34" i="78"/>
  <c r="K37" i="78"/>
  <c r="M34" i="78"/>
  <c r="J34" i="78"/>
  <c r="J37" i="78"/>
  <c r="R34" i="78"/>
  <c r="K34" i="78"/>
  <c r="S34" i="78"/>
  <c r="L37" i="78"/>
  <c r="P34" i="78"/>
  <c r="V34" i="78"/>
  <c r="D74" i="78"/>
  <c r="D35" i="78"/>
  <c r="E37" i="78"/>
  <c r="E38" i="78" s="1"/>
  <c r="G40" i="78"/>
  <c r="G41" i="78" s="1"/>
  <c r="D38" i="78"/>
  <c r="F40" i="78"/>
  <c r="F41" i="78" s="1"/>
  <c r="F37" i="78"/>
  <c r="F38" i="78" s="1"/>
  <c r="D40" i="78"/>
  <c r="D41" i="78" s="1"/>
  <c r="E40" i="78"/>
  <c r="E41" i="78" s="1"/>
  <c r="G37" i="78"/>
  <c r="G38" i="78" s="1"/>
  <c r="T24" i="79"/>
  <c r="T23" i="79"/>
  <c r="N24" i="79"/>
  <c r="N23" i="79"/>
  <c r="H24" i="79"/>
  <c r="H23" i="79"/>
  <c r="Z23" i="79"/>
  <c r="AF23" i="79"/>
  <c r="M71" i="79"/>
  <c r="N22" i="79"/>
  <c r="J71" i="79"/>
  <c r="T22" i="79"/>
  <c r="P71" i="79"/>
  <c r="Z21" i="79"/>
  <c r="R71" i="79"/>
  <c r="L71" i="79"/>
  <c r="F71" i="79"/>
  <c r="K71" i="79"/>
  <c r="S71" i="79"/>
  <c r="AF21" i="79"/>
  <c r="G71" i="79"/>
  <c r="E71" i="79"/>
  <c r="Q71" i="79"/>
  <c r="H22" i="79"/>
  <c r="D71" i="79"/>
  <c r="C288" i="66" l="1"/>
  <c r="N16" i="6"/>
  <c r="N15" i="6"/>
  <c r="N14" i="6"/>
  <c r="N13" i="6"/>
  <c r="N12" i="6"/>
  <c r="B103" i="86"/>
  <c r="I102" i="86"/>
  <c r="Q102" i="86" s="1"/>
  <c r="AM100" i="86"/>
  <c r="AJ86" i="79"/>
  <c r="Y100" i="78"/>
  <c r="Y101" i="78" s="1"/>
  <c r="J38" i="78"/>
  <c r="L38" i="78"/>
  <c r="AH65" i="78"/>
  <c r="AR60" i="79"/>
  <c r="W38" i="78"/>
  <c r="V40" i="78"/>
  <c r="W40" i="78"/>
  <c r="W41" i="78" s="1"/>
  <c r="Q40" i="78"/>
  <c r="Q41" i="78" s="1"/>
  <c r="P40" i="78"/>
  <c r="P41" i="78" s="1"/>
  <c r="K40" i="78"/>
  <c r="K41" i="78" s="1"/>
  <c r="M40" i="78"/>
  <c r="M41" i="78" s="1"/>
  <c r="S40" i="78"/>
  <c r="S41" i="78" s="1"/>
  <c r="J40" i="78"/>
  <c r="J41" i="78" s="1"/>
  <c r="R40" i="78"/>
  <c r="R41" i="78" s="1"/>
  <c r="L40" i="78"/>
  <c r="L41" i="78" s="1"/>
  <c r="V86" i="78"/>
  <c r="V74" i="78"/>
  <c r="V35" i="78"/>
  <c r="Z34" i="78"/>
  <c r="Z35" i="78" s="1"/>
  <c r="P86" i="78"/>
  <c r="P35" i="78"/>
  <c r="P74" i="78"/>
  <c r="R35" i="78"/>
  <c r="R74" i="78"/>
  <c r="R86" i="78"/>
  <c r="J86" i="78"/>
  <c r="J74" i="78"/>
  <c r="J35" i="78"/>
  <c r="M74" i="78"/>
  <c r="M86" i="78"/>
  <c r="M35" i="78"/>
  <c r="K38" i="78"/>
  <c r="L74" i="78"/>
  <c r="L86" i="78"/>
  <c r="L35" i="78"/>
  <c r="K86" i="78"/>
  <c r="K35" i="78"/>
  <c r="K74" i="78"/>
  <c r="Q86" i="78"/>
  <c r="Q35" i="78"/>
  <c r="Q74" i="78"/>
  <c r="S74" i="78"/>
  <c r="S86" i="78"/>
  <c r="S35" i="78"/>
  <c r="W35" i="78"/>
  <c r="W86" i="78"/>
  <c r="W74" i="78"/>
  <c r="D43" i="78"/>
  <c r="D44" i="78" s="1"/>
  <c r="E43" i="78"/>
  <c r="E44" i="78" s="1"/>
  <c r="F43" i="78"/>
  <c r="F44" i="78" s="1"/>
  <c r="G43" i="78"/>
  <c r="G44" i="78" s="1"/>
  <c r="H27" i="79"/>
  <c r="AI71" i="79"/>
  <c r="AF24" i="79"/>
  <c r="X71" i="79"/>
  <c r="W71" i="79"/>
  <c r="Z24" i="79"/>
  <c r="V71" i="79"/>
  <c r="N27" i="79"/>
  <c r="T27" i="79"/>
  <c r="C289" i="66" l="1"/>
  <c r="N18" i="6"/>
  <c r="D18" i="6" s="1"/>
  <c r="AM101" i="86"/>
  <c r="B104" i="86"/>
  <c r="I103" i="86"/>
  <c r="Q103" i="86" s="1"/>
  <c r="AJ65" i="78"/>
  <c r="AL21" i="79"/>
  <c r="AR87" i="79"/>
  <c r="E98" i="78"/>
  <c r="E89" i="78"/>
  <c r="F98" i="78"/>
  <c r="F89" i="78"/>
  <c r="D98" i="78"/>
  <c r="D89" i="78"/>
  <c r="G98" i="78"/>
  <c r="G89" i="78"/>
  <c r="Z100" i="78"/>
  <c r="J49" i="78"/>
  <c r="J50" i="78" s="1"/>
  <c r="Q43" i="78"/>
  <c r="K49" i="78"/>
  <c r="K50" i="78" s="1"/>
  <c r="K43" i="78"/>
  <c r="J43" i="78"/>
  <c r="M43" i="78"/>
  <c r="W49" i="78"/>
  <c r="W50" i="78" s="1"/>
  <c r="L43" i="78"/>
  <c r="W43" i="78"/>
  <c r="V43" i="78"/>
  <c r="S43" i="78"/>
  <c r="R43" i="78"/>
  <c r="L49" i="78"/>
  <c r="L50" i="78" s="1"/>
  <c r="P43" i="78"/>
  <c r="Z86" i="78"/>
  <c r="Z74" i="78"/>
  <c r="V41" i="78"/>
  <c r="Z40" i="78"/>
  <c r="E46" i="78"/>
  <c r="E47" i="78" s="1"/>
  <c r="G49" i="78"/>
  <c r="G50" i="78" s="1"/>
  <c r="F49" i="78"/>
  <c r="F50" i="78" s="1"/>
  <c r="D49" i="78"/>
  <c r="D50" i="78" s="1"/>
  <c r="G46" i="78"/>
  <c r="G47" i="78" s="1"/>
  <c r="E49" i="78"/>
  <c r="E50" i="78" s="1"/>
  <c r="F46" i="78"/>
  <c r="F47" i="78" s="1"/>
  <c r="D46" i="78"/>
  <c r="D47" i="78" s="1"/>
  <c r="T29" i="79"/>
  <c r="N29" i="79"/>
  <c r="H29" i="79"/>
  <c r="T28" i="79"/>
  <c r="N28" i="79"/>
  <c r="AF27" i="79"/>
  <c r="Z27" i="79"/>
  <c r="H28" i="79"/>
  <c r="C290" i="66" l="1"/>
  <c r="B105" i="86"/>
  <c r="I104" i="86"/>
  <c r="Q104" i="86" s="1"/>
  <c r="AM102" i="86"/>
  <c r="Z41" i="78"/>
  <c r="AL23" i="79"/>
  <c r="AT87" i="79"/>
  <c r="AL65" i="78"/>
  <c r="AX87" i="79" s="1"/>
  <c r="AV87" i="79"/>
  <c r="Z101" i="78"/>
  <c r="Y64" i="78"/>
  <c r="W46" i="78"/>
  <c r="W47" i="78" s="1"/>
  <c r="R46" i="78"/>
  <c r="R47" i="78" s="1"/>
  <c r="M46" i="78"/>
  <c r="M47" i="78" s="1"/>
  <c r="Q46" i="78"/>
  <c r="Q47" i="78" s="1"/>
  <c r="L46" i="78"/>
  <c r="L47" i="78" s="1"/>
  <c r="P46" i="78"/>
  <c r="P47" i="78" s="1"/>
  <c r="S46" i="78"/>
  <c r="S47" i="78" s="1"/>
  <c r="V46" i="78"/>
  <c r="V47" i="78" s="1"/>
  <c r="J46" i="78"/>
  <c r="J47" i="78" s="1"/>
  <c r="K46" i="78"/>
  <c r="K47" i="78" s="1"/>
  <c r="S98" i="78"/>
  <c r="S44" i="78"/>
  <c r="S89" i="78"/>
  <c r="V44" i="78"/>
  <c r="V89" i="78"/>
  <c r="V98" i="78"/>
  <c r="Z43" i="78"/>
  <c r="W89" i="78"/>
  <c r="W44" i="78"/>
  <c r="W98" i="78"/>
  <c r="M89" i="78"/>
  <c r="M44" i="78"/>
  <c r="M98" i="78"/>
  <c r="J44" i="78"/>
  <c r="J89" i="78"/>
  <c r="J98" i="78"/>
  <c r="K98" i="78"/>
  <c r="K44" i="78"/>
  <c r="K89" i="78"/>
  <c r="L89" i="78"/>
  <c r="L44" i="78"/>
  <c r="L98" i="78"/>
  <c r="Q44" i="78"/>
  <c r="Q98" i="78"/>
  <c r="Q89" i="78"/>
  <c r="P89" i="78"/>
  <c r="P98" i="78"/>
  <c r="P44" i="78"/>
  <c r="R89" i="78"/>
  <c r="R44" i="78"/>
  <c r="R98" i="78"/>
  <c r="H31" i="79"/>
  <c r="AF29" i="79"/>
  <c r="Z29" i="79"/>
  <c r="C291" i="66" l="1"/>
  <c r="B106" i="86"/>
  <c r="I105" i="86"/>
  <c r="Q105" i="86" s="1"/>
  <c r="AM103" i="86"/>
  <c r="AK86" i="79"/>
  <c r="AB100" i="78"/>
  <c r="Z98" i="78"/>
  <c r="AL27" i="79"/>
  <c r="AL24" i="79"/>
  <c r="AL71" i="79"/>
  <c r="Z64" i="78"/>
  <c r="AL86" i="79" s="1"/>
  <c r="Z46" i="78"/>
  <c r="Z89" i="78"/>
  <c r="H30" i="79"/>
  <c r="N31" i="79"/>
  <c r="N30" i="79"/>
  <c r="C292" i="66" l="1"/>
  <c r="AM104" i="86"/>
  <c r="B107" i="86"/>
  <c r="I106" i="86"/>
  <c r="Q106" i="86" s="1"/>
  <c r="Z47" i="78"/>
  <c r="AL29" i="79"/>
  <c r="AB101" i="78"/>
  <c r="T31" i="79"/>
  <c r="C293" i="66" l="1"/>
  <c r="B108" i="86"/>
  <c r="I107" i="86"/>
  <c r="Q107" i="86" s="1"/>
  <c r="AM105" i="86"/>
  <c r="AB64" i="78"/>
  <c r="T30" i="79"/>
  <c r="Z31" i="79"/>
  <c r="C294" i="66" l="1"/>
  <c r="B109" i="86"/>
  <c r="I108" i="86"/>
  <c r="Q108" i="86" s="1"/>
  <c r="AM106" i="86"/>
  <c r="AN86" i="79"/>
  <c r="AC100" i="78"/>
  <c r="Z30" i="79"/>
  <c r="AF31" i="79"/>
  <c r="C295" i="66" l="1"/>
  <c r="AM107" i="86"/>
  <c r="B110" i="86"/>
  <c r="I109" i="86"/>
  <c r="Q109" i="86" s="1"/>
  <c r="AC101" i="78"/>
  <c r="AF30" i="79"/>
  <c r="C296" i="66" l="1"/>
  <c r="B111" i="86"/>
  <c r="I110" i="86"/>
  <c r="Q110" i="86" s="1"/>
  <c r="AM108" i="86"/>
  <c r="AC64" i="78"/>
  <c r="M61" i="78"/>
  <c r="L61" i="78"/>
  <c r="Q61" i="78"/>
  <c r="P58" i="78"/>
  <c r="P59" i="78" s="1"/>
  <c r="Q58" i="78"/>
  <c r="Q59" i="78" s="1"/>
  <c r="V61" i="78"/>
  <c r="V122" i="78" s="1"/>
  <c r="R61" i="78"/>
  <c r="R58" i="78"/>
  <c r="R59" i="78" s="1"/>
  <c r="S58" i="78"/>
  <c r="S59" i="78" s="1"/>
  <c r="M58" i="78"/>
  <c r="M59" i="78" s="1"/>
  <c r="P61" i="78"/>
  <c r="J61" i="78"/>
  <c r="L58" i="78"/>
  <c r="L59" i="78" s="1"/>
  <c r="W61" i="78"/>
  <c r="W122" i="78" s="1"/>
  <c r="J58" i="78"/>
  <c r="J59" i="78" s="1"/>
  <c r="K61" i="78"/>
  <c r="S61" i="78"/>
  <c r="K58" i="78"/>
  <c r="K59" i="78" s="1"/>
  <c r="W58" i="78"/>
  <c r="W59" i="78" s="1"/>
  <c r="V58" i="78"/>
  <c r="D58" i="78"/>
  <c r="D59" i="78" s="1"/>
  <c r="F61" i="78"/>
  <c r="F122" i="78" s="1"/>
  <c r="G58" i="78"/>
  <c r="G59" i="78" s="1"/>
  <c r="E61" i="78"/>
  <c r="E122" i="78" s="1"/>
  <c r="F58" i="78"/>
  <c r="F59" i="78" s="1"/>
  <c r="E58" i="78"/>
  <c r="E59" i="78" s="1"/>
  <c r="D61" i="78"/>
  <c r="D122" i="78" s="1"/>
  <c r="G61" i="78"/>
  <c r="G62"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C297" i="66" l="1"/>
  <c r="B112" i="86"/>
  <c r="I111" i="86"/>
  <c r="Q111" i="86" s="1"/>
  <c r="AM109" i="86"/>
  <c r="F62" i="78"/>
  <c r="AO86" i="79"/>
  <c r="E62" i="78"/>
  <c r="AD100" i="78"/>
  <c r="W62" i="78"/>
  <c r="P122" i="78"/>
  <c r="P62" i="78"/>
  <c r="R122" i="78"/>
  <c r="R62" i="78"/>
  <c r="V62" i="78"/>
  <c r="K122" i="78"/>
  <c r="K62" i="78"/>
  <c r="J122" i="78"/>
  <c r="J62" i="78"/>
  <c r="Q122" i="78"/>
  <c r="Q62" i="78"/>
  <c r="L122" i="78"/>
  <c r="L62" i="78"/>
  <c r="S122" i="78"/>
  <c r="S62" i="78"/>
  <c r="V59" i="78"/>
  <c r="Z58" i="78"/>
  <c r="M122" i="78"/>
  <c r="M62" i="78"/>
  <c r="G122" i="78"/>
  <c r="D62" i="78"/>
  <c r="H40" i="79"/>
  <c r="N41" i="79"/>
  <c r="N40" i="79"/>
  <c r="C298" i="66" l="1"/>
  <c r="AM110" i="86"/>
  <c r="B113" i="86"/>
  <c r="I112" i="86"/>
  <c r="Q112" i="86" s="1"/>
  <c r="Z59" i="78"/>
  <c r="AL30" i="79"/>
  <c r="AD101" i="78"/>
  <c r="T41" i="79"/>
  <c r="T40" i="79"/>
  <c r="C299" i="66" l="1"/>
  <c r="AM111" i="86"/>
  <c r="B114" i="86"/>
  <c r="I113" i="86"/>
  <c r="Q113" i="86" s="1"/>
  <c r="AD64" i="78"/>
  <c r="Z41" i="79"/>
  <c r="C300" i="66" l="1"/>
  <c r="AM112" i="86"/>
  <c r="B115" i="86"/>
  <c r="I114" i="86"/>
  <c r="Q114" i="86" s="1"/>
  <c r="AP86" i="79"/>
  <c r="AE100" i="78"/>
  <c r="Z40" i="79"/>
  <c r="AF41" i="79"/>
  <c r="C301" i="66" l="1"/>
  <c r="B116" i="86"/>
  <c r="I115" i="86"/>
  <c r="Q115" i="86" s="1"/>
  <c r="AM113" i="86"/>
  <c r="AE101" i="78"/>
  <c r="AF100" i="78"/>
  <c r="AF40" i="79"/>
  <c r="AL41" i="79"/>
  <c r="AL40" i="79"/>
  <c r="C302" i="66" l="1"/>
  <c r="AM114" i="86"/>
  <c r="B117" i="86"/>
  <c r="I116" i="86"/>
  <c r="Q116" i="86" s="1"/>
  <c r="AE64" i="78"/>
  <c r="AF101" i="78"/>
  <c r="J124" i="78"/>
  <c r="J126" i="78" s="1"/>
  <c r="P124" i="78"/>
  <c r="P126" i="78" s="1"/>
  <c r="R124" i="78"/>
  <c r="R126" i="78" s="1"/>
  <c r="L124" i="78"/>
  <c r="L126" i="78" s="1"/>
  <c r="M124" i="78"/>
  <c r="M126" i="78" s="1"/>
  <c r="W124" i="78"/>
  <c r="W126" i="78" s="1"/>
  <c r="Q124" i="78"/>
  <c r="Q126" i="78" s="1"/>
  <c r="V124" i="78"/>
  <c r="S124" i="78"/>
  <c r="S126" i="78" s="1"/>
  <c r="K124" i="78"/>
  <c r="K126" i="78" s="1"/>
  <c r="E124" i="78"/>
  <c r="E126" i="78" s="1"/>
  <c r="F124" i="78"/>
  <c r="F126" i="78" s="1"/>
  <c r="G124" i="78"/>
  <c r="G126" i="78" s="1"/>
  <c r="D124" i="78"/>
  <c r="D126" i="78" s="1"/>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G136" i="78" l="1"/>
  <c r="G113" i="78"/>
  <c r="E136" i="78"/>
  <c r="E113" i="78"/>
  <c r="R136" i="78"/>
  <c r="R113" i="78"/>
  <c r="D136" i="78"/>
  <c r="D113" i="78"/>
  <c r="K136" i="78"/>
  <c r="K113" i="78"/>
  <c r="L136" i="78"/>
  <c r="L113" i="78"/>
  <c r="S136" i="78"/>
  <c r="S113" i="78"/>
  <c r="Q136" i="78"/>
  <c r="Q113" i="78"/>
  <c r="M136" i="78"/>
  <c r="M113" i="78"/>
  <c r="J136" i="78"/>
  <c r="J113" i="78"/>
  <c r="F136" i="78"/>
  <c r="F113" i="78"/>
  <c r="W136" i="78"/>
  <c r="W113" i="78"/>
  <c r="P136" i="78"/>
  <c r="P113" i="78"/>
  <c r="C303" i="66"/>
  <c r="B118" i="86"/>
  <c r="I117" i="86"/>
  <c r="Q117" i="86" s="1"/>
  <c r="AM115" i="86"/>
  <c r="AQ86" i="79"/>
  <c r="V126" i="78"/>
  <c r="Z124" i="78"/>
  <c r="D32" i="6" s="1"/>
  <c r="D33" i="6" s="1"/>
  <c r="AH100" i="78"/>
  <c r="AH101" i="78" s="1"/>
  <c r="AH64" i="78" s="1"/>
  <c r="AF64" i="78"/>
  <c r="H46" i="79"/>
  <c r="N47" i="79"/>
  <c r="D80" i="79"/>
  <c r="M80" i="79"/>
  <c r="L80" i="79"/>
  <c r="K80" i="79"/>
  <c r="V136" i="78" l="1"/>
  <c r="V113" i="78"/>
  <c r="C304" i="66"/>
  <c r="AM116" i="86"/>
  <c r="B119" i="86"/>
  <c r="I118" i="86"/>
  <c r="Q118" i="86" s="1"/>
  <c r="AJ100" i="78"/>
  <c r="AJ101" i="78" s="1"/>
  <c r="AJ64" i="78" s="1"/>
  <c r="AR86" i="79"/>
  <c r="AR59" i="79"/>
  <c r="T47" i="79"/>
  <c r="N46" i="79"/>
  <c r="J80" i="79"/>
  <c r="S80" i="79"/>
  <c r="R80" i="79"/>
  <c r="Q80" i="79"/>
  <c r="C305" i="66" l="1"/>
  <c r="B120" i="86"/>
  <c r="I119" i="86"/>
  <c r="Q119" i="86" s="1"/>
  <c r="AM117" i="86"/>
  <c r="AT86" i="79"/>
  <c r="AL100" i="78"/>
  <c r="AL101" i="78" s="1"/>
  <c r="AL64" i="78" s="1"/>
  <c r="AX86" i="79" s="1"/>
  <c r="Z47" i="79"/>
  <c r="T46" i="79"/>
  <c r="P80" i="79"/>
  <c r="Y80" i="79"/>
  <c r="X80" i="79"/>
  <c r="W80" i="79"/>
  <c r="C306" i="66" l="1"/>
  <c r="AM118" i="86"/>
  <c r="B121" i="86"/>
  <c r="I120" i="86"/>
  <c r="Q120" i="86" s="1"/>
  <c r="AL168" i="78"/>
  <c r="Z168" i="78"/>
  <c r="AF168" i="78"/>
  <c r="AV86" i="79"/>
  <c r="AF47" i="79"/>
  <c r="Z46" i="79"/>
  <c r="V80" i="79"/>
  <c r="AE80" i="79"/>
  <c r="AD80" i="79"/>
  <c r="AC80" i="79"/>
  <c r="C307" i="66" l="1"/>
  <c r="B122" i="86"/>
  <c r="I121" i="86"/>
  <c r="Q121" i="86" s="1"/>
  <c r="AM119" i="86"/>
  <c r="AL47" i="79"/>
  <c r="AF46" i="79"/>
  <c r="AB80" i="79"/>
  <c r="AI80" i="79"/>
  <c r="C308" i="66" l="1"/>
  <c r="B123" i="86"/>
  <c r="I122" i="86"/>
  <c r="Q122" i="86" s="1"/>
  <c r="AM120" i="86"/>
  <c r="Z50" i="79"/>
  <c r="AL50" i="79"/>
  <c r="N50" i="79"/>
  <c r="H50" i="79"/>
  <c r="T50" i="79"/>
  <c r="AF50" i="79"/>
  <c r="AL46" i="79"/>
  <c r="AH80" i="79"/>
  <c r="C309" i="66" l="1"/>
  <c r="AM121" i="86"/>
  <c r="B124" i="86"/>
  <c r="I123" i="86"/>
  <c r="Q123" i="86" s="1"/>
  <c r="G65" i="78"/>
  <c r="E64" i="78"/>
  <c r="D64" i="78"/>
  <c r="F65" i="78"/>
  <c r="G64" i="78"/>
  <c r="D65" i="78"/>
  <c r="E65" i="78"/>
  <c r="F64"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AM122" i="86"/>
  <c r="B125" i="86"/>
  <c r="I124" i="86"/>
  <c r="Q124" i="86" s="1"/>
  <c r="D19" i="6"/>
  <c r="L173" i="65"/>
  <c r="E100" i="65"/>
  <c r="E123" i="65"/>
  <c r="F57" i="65"/>
  <c r="G57" i="65" s="1"/>
  <c r="F38" i="65"/>
  <c r="G38" i="65" s="1"/>
  <c r="H38" i="65" s="1"/>
  <c r="I38" i="65" s="1"/>
  <c r="J38" i="65" s="1"/>
  <c r="K38" i="65" s="1"/>
  <c r="L38" i="65" s="1"/>
  <c r="C311" i="66" l="1"/>
  <c r="B126" i="86"/>
  <c r="I125" i="86"/>
  <c r="Q125" i="86" s="1"/>
  <c r="AM123" i="86"/>
  <c r="G123" i="65"/>
  <c r="H57" i="65"/>
  <c r="G100" i="65"/>
  <c r="F123" i="65"/>
  <c r="F100" i="65"/>
  <c r="C312" i="66" l="1"/>
  <c r="AM124" i="86"/>
  <c r="B127" i="86"/>
  <c r="I126" i="86"/>
  <c r="Q126" i="86" s="1"/>
  <c r="H123" i="65"/>
  <c r="I57" i="65"/>
  <c r="H134" i="65"/>
  <c r="H142" i="65" s="1"/>
  <c r="H100" i="65"/>
  <c r="C313" i="66" l="1"/>
  <c r="AM125" i="86"/>
  <c r="B128" i="86"/>
  <c r="I127" i="86"/>
  <c r="Q127" i="86" s="1"/>
  <c r="I123" i="65"/>
  <c r="J57" i="65"/>
  <c r="I134" i="65"/>
  <c r="I142" i="65" s="1"/>
  <c r="I100" i="65"/>
  <c r="C314" i="66" l="1"/>
  <c r="AM126" i="86"/>
  <c r="B129" i="86"/>
  <c r="I128" i="86"/>
  <c r="Q128" i="86" s="1"/>
  <c r="J100" i="65"/>
  <c r="J123" i="65"/>
  <c r="K57" i="65"/>
  <c r="J134" i="65"/>
  <c r="J142" i="65" s="1"/>
  <c r="C315" i="66" l="1"/>
  <c r="B130" i="86"/>
  <c r="I129" i="86"/>
  <c r="Q129" i="86" s="1"/>
  <c r="AM127" i="86"/>
  <c r="K100" i="65"/>
  <c r="L57" i="65"/>
  <c r="K123" i="65"/>
  <c r="K134" i="65"/>
  <c r="K142" i="65" s="1"/>
  <c r="C316" i="66" l="1"/>
  <c r="B131" i="86"/>
  <c r="I130" i="86"/>
  <c r="Q130" i="86" s="1"/>
  <c r="AM128" i="86"/>
  <c r="L100" i="65"/>
  <c r="L123" i="65"/>
  <c r="L134" i="65"/>
  <c r="L142" i="65" s="1"/>
  <c r="C317" i="66" l="1"/>
  <c r="B132" i="86"/>
  <c r="I131" i="86"/>
  <c r="Q131" i="86" s="1"/>
  <c r="AM129" i="86"/>
  <c r="C318" i="66" l="1"/>
  <c r="B133" i="86"/>
  <c r="I132" i="86"/>
  <c r="Q132" i="86" s="1"/>
  <c r="AM130" i="86"/>
  <c r="C319" i="66" l="1"/>
  <c r="AM131" i="86"/>
  <c r="B134" i="86"/>
  <c r="I133" i="86"/>
  <c r="Q133" i="86" s="1"/>
  <c r="C320" i="66" l="1"/>
  <c r="AM132" i="86"/>
  <c r="B135" i="86"/>
  <c r="I134" i="86"/>
  <c r="Q134" i="86" s="1"/>
  <c r="C321" i="66" l="1"/>
  <c r="B136" i="86"/>
  <c r="I135" i="86"/>
  <c r="Q135" i="86" s="1"/>
  <c r="AM133" i="86"/>
  <c r="C322" i="66" l="1"/>
  <c r="AM134" i="86"/>
  <c r="B137" i="86"/>
  <c r="I136" i="86"/>
  <c r="Q136" i="86" s="1"/>
  <c r="C323" i="66" l="1"/>
  <c r="AM135" i="86"/>
  <c r="B138" i="86"/>
  <c r="I137" i="86"/>
  <c r="Q137" i="86" s="1"/>
  <c r="C324" i="66" l="1"/>
  <c r="AM136" i="86"/>
  <c r="B139" i="86"/>
  <c r="I138" i="86"/>
  <c r="Q138" i="86" s="1"/>
  <c r="C325" i="66" l="1"/>
  <c r="AM137" i="86"/>
  <c r="B140" i="86"/>
  <c r="I139" i="86"/>
  <c r="Q139" i="86" s="1"/>
  <c r="D59" i="65"/>
  <c r="C326" i="66" l="1"/>
  <c r="B141" i="86"/>
  <c r="I140" i="86"/>
  <c r="Q140" i="86" s="1"/>
  <c r="AM138" i="86"/>
  <c r="C327" i="66" l="1"/>
  <c r="AM139" i="86"/>
  <c r="B142" i="86"/>
  <c r="I141" i="86"/>
  <c r="Q141" i="86" s="1"/>
  <c r="J27" i="65"/>
  <c r="C328" i="66" l="1"/>
  <c r="B143" i="86"/>
  <c r="I142" i="86"/>
  <c r="Q142" i="86" s="1"/>
  <c r="AM140" i="86"/>
  <c r="E29" i="6"/>
  <c r="E14" i="6"/>
  <c r="C329" i="66" l="1"/>
  <c r="AM141" i="86"/>
  <c r="B144" i="86"/>
  <c r="I143" i="86"/>
  <c r="Q143" i="86" s="1"/>
  <c r="H62" i="65"/>
  <c r="C330" i="66" l="1"/>
  <c r="AM142" i="86"/>
  <c r="B145" i="86"/>
  <c r="I144" i="86"/>
  <c r="Q144" i="86" s="1"/>
  <c r="H65" i="65"/>
  <c r="H68" i="65" s="1"/>
  <c r="H117" i="65"/>
  <c r="H105" i="65"/>
  <c r="H139" i="65"/>
  <c r="H128" i="65" l="1"/>
  <c r="H138" i="65" s="1"/>
  <c r="C331" i="66"/>
  <c r="AM143" i="86"/>
  <c r="B146" i="86"/>
  <c r="I145" i="86"/>
  <c r="Q145" i="86" s="1"/>
  <c r="H74" i="65"/>
  <c r="H114" i="65" s="1"/>
  <c r="I83" i="65" s="1"/>
  <c r="H69" i="65"/>
  <c r="H111" i="65"/>
  <c r="H125" i="65"/>
  <c r="I62" i="65"/>
  <c r="I139" i="65"/>
  <c r="H129" i="65" l="1"/>
  <c r="C332" i="66"/>
  <c r="H86" i="65"/>
  <c r="B147" i="86"/>
  <c r="I146" i="86"/>
  <c r="Q146" i="86" s="1"/>
  <c r="AM144" i="86"/>
  <c r="H126" i="65"/>
  <c r="I65" i="65"/>
  <c r="I68" i="65" s="1"/>
  <c r="I69" i="65" s="1"/>
  <c r="I80" i="65"/>
  <c r="I77" i="65" s="1"/>
  <c r="I125" i="65" s="1"/>
  <c r="H78" i="65"/>
  <c r="I117" i="65"/>
  <c r="I105" i="65"/>
  <c r="H137" i="65"/>
  <c r="J62" i="65"/>
  <c r="J139" i="65"/>
  <c r="C333" i="66" l="1"/>
  <c r="I74" i="65"/>
  <c r="AM145" i="86"/>
  <c r="B148" i="86"/>
  <c r="I147" i="86"/>
  <c r="Q147" i="86" s="1"/>
  <c r="I111" i="65"/>
  <c r="J80" i="65" s="1"/>
  <c r="J65" i="65"/>
  <c r="J68" i="65" s="1"/>
  <c r="J74" i="65" s="1"/>
  <c r="I128" i="65"/>
  <c r="J117" i="65"/>
  <c r="J105" i="65"/>
  <c r="I86" i="65"/>
  <c r="I114" i="65"/>
  <c r="L139" i="65"/>
  <c r="L62" i="65"/>
  <c r="K62" i="65"/>
  <c r="K139" i="65"/>
  <c r="J128" i="65" l="1"/>
  <c r="J129" i="65" s="1"/>
  <c r="C334" i="66"/>
  <c r="J69" i="65"/>
  <c r="I126" i="65"/>
  <c r="J111" i="65"/>
  <c r="K80" i="65" s="1"/>
  <c r="B149" i="86"/>
  <c r="I148" i="86"/>
  <c r="Q148" i="86" s="1"/>
  <c r="AM146" i="86"/>
  <c r="K65" i="65"/>
  <c r="K68" i="65" s="1"/>
  <c r="K69" i="65" s="1"/>
  <c r="L65" i="65"/>
  <c r="L68" i="65"/>
  <c r="L69" i="65" s="1"/>
  <c r="I129" i="65"/>
  <c r="I138" i="65"/>
  <c r="L117" i="65"/>
  <c r="L105" i="65"/>
  <c r="K117" i="65"/>
  <c r="K105" i="65"/>
  <c r="J83" i="65"/>
  <c r="J77" i="65" s="1"/>
  <c r="J125" i="65" s="1"/>
  <c r="I78" i="65"/>
  <c r="I137" i="65"/>
  <c r="J138" i="65"/>
  <c r="C335" i="66" l="1"/>
  <c r="L74" i="65"/>
  <c r="K74" i="65"/>
  <c r="K111" i="65"/>
  <c r="L80" i="65" s="1"/>
  <c r="L111" i="65" s="1"/>
  <c r="AM147" i="86"/>
  <c r="B150" i="86"/>
  <c r="I149" i="86"/>
  <c r="Q149" i="86" s="1"/>
  <c r="J114" i="65"/>
  <c r="K83" i="65" s="1"/>
  <c r="K77" i="65" s="1"/>
  <c r="K125" i="65" s="1"/>
  <c r="L128" i="65"/>
  <c r="L129" i="65" s="1"/>
  <c r="K128" i="65"/>
  <c r="K129" i="65" s="1"/>
  <c r="J86" i="65"/>
  <c r="J137" i="65"/>
  <c r="K138" i="65" l="1"/>
  <c r="C336" i="66"/>
  <c r="L138" i="65"/>
  <c r="J126" i="65"/>
  <c r="B151" i="86"/>
  <c r="I150" i="86"/>
  <c r="Q150" i="86" s="1"/>
  <c r="AM148" i="86"/>
  <c r="J78" i="65"/>
  <c r="K114" i="65"/>
  <c r="K126" i="65" s="1"/>
  <c r="K86" i="65"/>
  <c r="K137" i="65"/>
  <c r="C337" i="66" l="1"/>
  <c r="AM149" i="86"/>
  <c r="B152" i="86"/>
  <c r="I151" i="86"/>
  <c r="Q151" i="86" s="1"/>
  <c r="L83" i="65"/>
  <c r="L77" i="65" s="1"/>
  <c r="L125" i="65" s="1"/>
  <c r="K78" i="65"/>
  <c r="C338" i="66" l="1"/>
  <c r="L114" i="65"/>
  <c r="L78" i="65" s="1"/>
  <c r="L86" i="65"/>
  <c r="L172" i="65" s="1"/>
  <c r="L174" i="65" s="1"/>
  <c r="B153" i="86"/>
  <c r="I152" i="86"/>
  <c r="Q152" i="86" s="1"/>
  <c r="AM150" i="86"/>
  <c r="L137" i="65"/>
  <c r="C339" i="66" l="1"/>
  <c r="L126" i="65"/>
  <c r="B154" i="86"/>
  <c r="I153" i="86"/>
  <c r="Q153" i="86" s="1"/>
  <c r="AM151" i="86"/>
  <c r="C340" i="66" l="1"/>
  <c r="AM152" i="86"/>
  <c r="B155" i="86"/>
  <c r="I154" i="86"/>
  <c r="Q154" i="86" s="1"/>
  <c r="C341" i="66" l="1"/>
  <c r="AM153" i="86"/>
  <c r="B156" i="86"/>
  <c r="I155" i="86"/>
  <c r="Q155" i="86" s="1"/>
  <c r="C342" i="66" l="1"/>
  <c r="AM154" i="86"/>
  <c r="B157" i="86"/>
  <c r="I156" i="86"/>
  <c r="Q156" i="86" s="1"/>
  <c r="C343" i="66" l="1"/>
  <c r="B158" i="86"/>
  <c r="I157" i="86"/>
  <c r="Q157" i="86" s="1"/>
  <c r="AM155" i="86"/>
  <c r="C344" i="66" l="1"/>
  <c r="B159" i="86"/>
  <c r="I158" i="86"/>
  <c r="Q158" i="86" s="1"/>
  <c r="AM156" i="86"/>
  <c r="N159" i="86"/>
  <c r="N158" i="86" s="1"/>
  <c r="N157" i="86" s="1"/>
  <c r="N156" i="86" s="1"/>
  <c r="N155" i="86" s="1"/>
  <c r="N154" i="86" s="1"/>
  <c r="N153" i="86" s="1"/>
  <c r="N152" i="86" s="1"/>
  <c r="N151" i="86" s="1"/>
  <c r="N150" i="86" s="1"/>
  <c r="N149" i="86" s="1"/>
  <c r="N148" i="86" s="1"/>
  <c r="N147" i="86" s="1"/>
  <c r="N146" i="86" s="1"/>
  <c r="N145" i="86" s="1"/>
  <c r="N144" i="86" s="1"/>
  <c r="N143" i="86" s="1"/>
  <c r="N142" i="86" s="1"/>
  <c r="N141" i="86" s="1"/>
  <c r="N140" i="86" s="1"/>
  <c r="N139" i="86" s="1"/>
  <c r="N138" i="86" s="1"/>
  <c r="N137" i="86" s="1"/>
  <c r="N136" i="86" s="1"/>
  <c r="N135" i="86" s="1"/>
  <c r="N134" i="86" s="1"/>
  <c r="N133" i="86" s="1"/>
  <c r="N132" i="86" s="1"/>
  <c r="N131" i="86" s="1"/>
  <c r="N130" i="86" s="1"/>
  <c r="N129" i="86" s="1"/>
  <c r="N128" i="86" s="1"/>
  <c r="N127" i="86" s="1"/>
  <c r="N126" i="86" s="1"/>
  <c r="N125" i="86" s="1"/>
  <c r="N124" i="86" s="1"/>
  <c r="N123" i="86" s="1"/>
  <c r="N122" i="86" s="1"/>
  <c r="N121" i="86" s="1"/>
  <c r="N120" i="86" s="1"/>
  <c r="N119" i="86" s="1"/>
  <c r="N118" i="86" s="1"/>
  <c r="N117" i="86" s="1"/>
  <c r="N116" i="86" s="1"/>
  <c r="N115" i="86" s="1"/>
  <c r="N114" i="86" s="1"/>
  <c r="N113" i="86" s="1"/>
  <c r="N112" i="86" s="1"/>
  <c r="N111" i="86" s="1"/>
  <c r="N110" i="86" s="1"/>
  <c r="N109" i="86" s="1"/>
  <c r="N108" i="86" s="1"/>
  <c r="N107" i="86" s="1"/>
  <c r="N106" i="86" s="1"/>
  <c r="N105" i="86" s="1"/>
  <c r="N104" i="86" s="1"/>
  <c r="N103" i="86" s="1"/>
  <c r="N102" i="86" s="1"/>
  <c r="N101" i="86" s="1"/>
  <c r="N100" i="86" s="1"/>
  <c r="N99" i="86" s="1"/>
  <c r="N98" i="86" s="1"/>
  <c r="N97" i="86" s="1"/>
  <c r="N96" i="86" s="1"/>
  <c r="N95" i="86" s="1"/>
  <c r="N94" i="86" s="1"/>
  <c r="N93" i="86" s="1"/>
  <c r="N92" i="86" s="1"/>
  <c r="N91" i="86" s="1"/>
  <c r="N90" i="86" s="1"/>
  <c r="N89" i="86" s="1"/>
  <c r="N88" i="86" s="1"/>
  <c r="N87" i="86" s="1"/>
  <c r="N86" i="86" s="1"/>
  <c r="N85" i="86" s="1"/>
  <c r="N84" i="86" s="1"/>
  <c r="N83" i="86" s="1"/>
  <c r="N82" i="86" s="1"/>
  <c r="N81" i="86" s="1"/>
  <c r="N80" i="86" s="1"/>
  <c r="N79" i="86" s="1"/>
  <c r="N78" i="86" s="1"/>
  <c r="N77" i="86" s="1"/>
  <c r="N76" i="86" s="1"/>
  <c r="N75" i="86" s="1"/>
  <c r="N74" i="86" s="1"/>
  <c r="N73" i="86" s="1"/>
  <c r="N72" i="86" s="1"/>
  <c r="N71" i="86" s="1"/>
  <c r="N70" i="86" s="1"/>
  <c r="N69" i="86" s="1"/>
  <c r="N68" i="86" s="1"/>
  <c r="N67" i="86" s="1"/>
  <c r="N66" i="86" s="1"/>
  <c r="N65" i="86" s="1"/>
  <c r="N64" i="86" s="1"/>
  <c r="N63" i="86" s="1"/>
  <c r="N62" i="86" s="1"/>
  <c r="N61" i="86" s="1"/>
  <c r="N60" i="86" s="1"/>
  <c r="N59" i="86" s="1"/>
  <c r="N58" i="86" s="1"/>
  <c r="N57" i="86" s="1"/>
  <c r="N56" i="86" s="1"/>
  <c r="N55" i="86" s="1"/>
  <c r="N54" i="86" s="1"/>
  <c r="N53" i="86" s="1"/>
  <c r="N52" i="86" s="1"/>
  <c r="N51" i="86" s="1"/>
  <c r="N50" i="86" s="1"/>
  <c r="N49" i="86" s="1"/>
  <c r="N48" i="86" s="1"/>
  <c r="N47" i="86" s="1"/>
  <c r="N46" i="86" s="1"/>
  <c r="N45" i="86" s="1"/>
  <c r="N44" i="86" s="1"/>
  <c r="N43" i="86" s="1"/>
  <c r="N42" i="86" s="1"/>
  <c r="N41" i="86" s="1"/>
  <c r="N40" i="86" s="1"/>
  <c r="N39" i="86" s="1"/>
  <c r="N38" i="86" s="1"/>
  <c r="N37" i="86" s="1"/>
  <c r="N36" i="86" s="1"/>
  <c r="N35" i="86" s="1"/>
  <c r="N34" i="86" s="1"/>
  <c r="N33" i="86" s="1"/>
  <c r="N32" i="86" s="1"/>
  <c r="N31" i="86" s="1"/>
  <c r="N30" i="86" s="1"/>
  <c r="N29" i="86" s="1"/>
  <c r="N28" i="86" s="1"/>
  <c r="N27" i="86" s="1"/>
  <c r="N26" i="86" s="1"/>
  <c r="N25" i="86" s="1"/>
  <c r="N24" i="86" s="1"/>
  <c r="N23" i="86" s="1"/>
  <c r="N22" i="86" s="1"/>
  <c r="N21" i="86" s="1"/>
  <c r="N20" i="86" s="1"/>
  <c r="N19" i="86" s="1"/>
  <c r="N18" i="86" s="1"/>
  <c r="N17" i="86" s="1"/>
  <c r="N16" i="86" s="1"/>
  <c r="N15" i="86" s="1"/>
  <c r="N14" i="86" s="1"/>
  <c r="N13" i="86" s="1"/>
  <c r="N12" i="86" s="1"/>
  <c r="N11" i="86" s="1"/>
  <c r="N10" i="86" s="1"/>
  <c r="N9" i="86" s="1"/>
  <c r="N8" i="86" s="1"/>
  <c r="N7" i="86" s="1"/>
  <c r="N6" i="86" s="1"/>
  <c r="N5" i="86" s="1"/>
  <c r="G159" i="86"/>
  <c r="G158" i="86" s="1"/>
  <c r="G157" i="86" s="1"/>
  <c r="G156" i="86" s="1"/>
  <c r="G155" i="86" s="1"/>
  <c r="G154" i="86" s="1"/>
  <c r="G153" i="86" s="1"/>
  <c r="G152" i="86" s="1"/>
  <c r="G151" i="86" s="1"/>
  <c r="G150" i="86" s="1"/>
  <c r="G149" i="86" s="1"/>
  <c r="G148" i="86" s="1"/>
  <c r="G147" i="86" s="1"/>
  <c r="G146" i="86" s="1"/>
  <c r="G145" i="86" s="1"/>
  <c r="G144" i="86" s="1"/>
  <c r="G143" i="86" s="1"/>
  <c r="G142" i="86" s="1"/>
  <c r="G141" i="86" s="1"/>
  <c r="G140" i="86" s="1"/>
  <c r="G139" i="86" s="1"/>
  <c r="G138" i="86" s="1"/>
  <c r="G137" i="86" s="1"/>
  <c r="G136" i="86" s="1"/>
  <c r="G135" i="86" s="1"/>
  <c r="G134" i="86" s="1"/>
  <c r="G133" i="86" s="1"/>
  <c r="G132" i="86" s="1"/>
  <c r="G131" i="86" s="1"/>
  <c r="G130" i="86" s="1"/>
  <c r="G129" i="86" s="1"/>
  <c r="G128" i="86" s="1"/>
  <c r="G127" i="86" s="1"/>
  <c r="G126" i="86" s="1"/>
  <c r="G125" i="86" s="1"/>
  <c r="G124" i="86" s="1"/>
  <c r="G123" i="86" s="1"/>
  <c r="G122" i="86" s="1"/>
  <c r="G121" i="86" s="1"/>
  <c r="G120" i="86" s="1"/>
  <c r="G119" i="86" s="1"/>
  <c r="G118" i="86" s="1"/>
  <c r="G117" i="86" s="1"/>
  <c r="G116" i="86" s="1"/>
  <c r="G115" i="86" s="1"/>
  <c r="G114" i="86" s="1"/>
  <c r="G113" i="86" s="1"/>
  <c r="G112" i="86" s="1"/>
  <c r="G111" i="86" s="1"/>
  <c r="G110" i="86" s="1"/>
  <c r="G109" i="86" s="1"/>
  <c r="G108" i="86" s="1"/>
  <c r="G107" i="86" s="1"/>
  <c r="G106" i="86" s="1"/>
  <c r="G105" i="86" s="1"/>
  <c r="G104" i="86" s="1"/>
  <c r="G103" i="86" s="1"/>
  <c r="G102" i="86" s="1"/>
  <c r="G101" i="86" s="1"/>
  <c r="G100" i="86" s="1"/>
  <c r="G99" i="86" s="1"/>
  <c r="G98" i="86" s="1"/>
  <c r="G97" i="86" s="1"/>
  <c r="G96" i="86" s="1"/>
  <c r="G95" i="86" s="1"/>
  <c r="G94" i="86" s="1"/>
  <c r="G93" i="86" s="1"/>
  <c r="G92" i="86" s="1"/>
  <c r="G91" i="86" s="1"/>
  <c r="G90" i="86" s="1"/>
  <c r="G89" i="86" s="1"/>
  <c r="G88" i="86" s="1"/>
  <c r="G87" i="86" s="1"/>
  <c r="G86" i="86" s="1"/>
  <c r="G85" i="86" s="1"/>
  <c r="G84" i="86" s="1"/>
  <c r="G83" i="86" s="1"/>
  <c r="G82" i="86" s="1"/>
  <c r="G81" i="86" s="1"/>
  <c r="G80" i="86" s="1"/>
  <c r="G79" i="86" s="1"/>
  <c r="G78" i="86" s="1"/>
  <c r="G77" i="86" s="1"/>
  <c r="G76" i="86" s="1"/>
  <c r="G75" i="86" s="1"/>
  <c r="G74" i="86" s="1"/>
  <c r="G73" i="86" s="1"/>
  <c r="G72" i="86" s="1"/>
  <c r="G71" i="86" s="1"/>
  <c r="G70" i="86" s="1"/>
  <c r="G69" i="86" s="1"/>
  <c r="G68" i="86" s="1"/>
  <c r="G67" i="86" s="1"/>
  <c r="G66" i="86" s="1"/>
  <c r="G65" i="86" s="1"/>
  <c r="G64" i="86" s="1"/>
  <c r="G63" i="86" s="1"/>
  <c r="G62" i="86" s="1"/>
  <c r="G61" i="86" s="1"/>
  <c r="G60" i="86" s="1"/>
  <c r="G59" i="86" s="1"/>
  <c r="G58" i="86" s="1"/>
  <c r="G57" i="86" s="1"/>
  <c r="G56" i="86" s="1"/>
  <c r="G55" i="86" s="1"/>
  <c r="G54" i="86" s="1"/>
  <c r="G53" i="86" s="1"/>
  <c r="G52" i="86" s="1"/>
  <c r="G51" i="86" s="1"/>
  <c r="G50" i="86" s="1"/>
  <c r="G49" i="86" s="1"/>
  <c r="G48" i="86" s="1"/>
  <c r="G47" i="86" s="1"/>
  <c r="G46" i="86" s="1"/>
  <c r="G45" i="86" s="1"/>
  <c r="G44" i="86" s="1"/>
  <c r="G43" i="86" s="1"/>
  <c r="G42" i="86" s="1"/>
  <c r="G41" i="86" s="1"/>
  <c r="G40" i="86" s="1"/>
  <c r="G39" i="86" s="1"/>
  <c r="G38" i="86" s="1"/>
  <c r="G37" i="86" s="1"/>
  <c r="G36" i="86" s="1"/>
  <c r="G35" i="86" s="1"/>
  <c r="G34" i="86" s="1"/>
  <c r="G33" i="86" s="1"/>
  <c r="G32" i="86" s="1"/>
  <c r="G31" i="86" s="1"/>
  <c r="G30" i="86" s="1"/>
  <c r="G29" i="86" s="1"/>
  <c r="G28" i="86" s="1"/>
  <c r="G27" i="86" s="1"/>
  <c r="G26" i="86" s="1"/>
  <c r="G25" i="86" s="1"/>
  <c r="G24" i="86" s="1"/>
  <c r="G23" i="86" s="1"/>
  <c r="G22" i="86" s="1"/>
  <c r="G21" i="86" s="1"/>
  <c r="G20" i="86" s="1"/>
  <c r="G19" i="86" s="1"/>
  <c r="G18" i="86" s="1"/>
  <c r="G17" i="86" s="1"/>
  <c r="G16" i="86" s="1"/>
  <c r="G15" i="86" s="1"/>
  <c r="G14" i="86" s="1"/>
  <c r="G13" i="86" s="1"/>
  <c r="G12" i="86" s="1"/>
  <c r="G11" i="86" s="1"/>
  <c r="G10" i="86" s="1"/>
  <c r="G9" i="86" s="1"/>
  <c r="G8" i="86" s="1"/>
  <c r="G7" i="86" s="1"/>
  <c r="G6" i="86" s="1"/>
  <c r="G5" i="86" s="1"/>
  <c r="E159" i="86"/>
  <c r="E158" i="86" s="1"/>
  <c r="E157" i="86" s="1"/>
  <c r="E156" i="86" s="1"/>
  <c r="E155" i="86" s="1"/>
  <c r="E154" i="86" s="1"/>
  <c r="E153" i="86" s="1"/>
  <c r="E152" i="86" s="1"/>
  <c r="E151" i="86" s="1"/>
  <c r="E150" i="86" s="1"/>
  <c r="E149" i="86" s="1"/>
  <c r="E148" i="86" s="1"/>
  <c r="E147" i="86" s="1"/>
  <c r="E146" i="86" s="1"/>
  <c r="E145" i="86" s="1"/>
  <c r="E144" i="86" s="1"/>
  <c r="E143" i="86" s="1"/>
  <c r="E142" i="86" s="1"/>
  <c r="E141" i="86" s="1"/>
  <c r="E140" i="86" s="1"/>
  <c r="E139" i="86" s="1"/>
  <c r="E138" i="86" s="1"/>
  <c r="E137" i="86" s="1"/>
  <c r="E136" i="86" s="1"/>
  <c r="E135" i="86" s="1"/>
  <c r="E134" i="86" s="1"/>
  <c r="E133" i="86" s="1"/>
  <c r="E132" i="86" s="1"/>
  <c r="E131" i="86" s="1"/>
  <c r="E130" i="86" s="1"/>
  <c r="E129" i="86" s="1"/>
  <c r="E128" i="86" s="1"/>
  <c r="E127" i="86" s="1"/>
  <c r="E126" i="86" s="1"/>
  <c r="E125" i="86" s="1"/>
  <c r="E124" i="86" s="1"/>
  <c r="E123" i="86" s="1"/>
  <c r="E122" i="86" s="1"/>
  <c r="E121" i="86" s="1"/>
  <c r="E120" i="86" s="1"/>
  <c r="E119" i="86" s="1"/>
  <c r="E118" i="86" s="1"/>
  <c r="E117" i="86" s="1"/>
  <c r="E116" i="86" s="1"/>
  <c r="E115" i="86" s="1"/>
  <c r="E114" i="86" s="1"/>
  <c r="E113" i="86" s="1"/>
  <c r="E112" i="86" s="1"/>
  <c r="E111" i="86" s="1"/>
  <c r="E110" i="86" s="1"/>
  <c r="E109" i="86" s="1"/>
  <c r="E108" i="86" s="1"/>
  <c r="E107" i="86" s="1"/>
  <c r="E106" i="86" s="1"/>
  <c r="E105" i="86" s="1"/>
  <c r="E104" i="86" s="1"/>
  <c r="E103" i="86" s="1"/>
  <c r="E102" i="86" s="1"/>
  <c r="E101" i="86" s="1"/>
  <c r="E100" i="86" s="1"/>
  <c r="E99" i="86" s="1"/>
  <c r="E98" i="86" s="1"/>
  <c r="E97" i="86" s="1"/>
  <c r="E96" i="86" s="1"/>
  <c r="E95" i="86" s="1"/>
  <c r="E94" i="86" s="1"/>
  <c r="E93" i="86" s="1"/>
  <c r="E92" i="86" s="1"/>
  <c r="E91" i="86" s="1"/>
  <c r="E90" i="86" s="1"/>
  <c r="E89" i="86" s="1"/>
  <c r="E88" i="86" s="1"/>
  <c r="E87" i="86" s="1"/>
  <c r="E86" i="86" s="1"/>
  <c r="E85" i="86" s="1"/>
  <c r="E84" i="86" s="1"/>
  <c r="E83" i="86" s="1"/>
  <c r="E82" i="86" s="1"/>
  <c r="E81" i="86" s="1"/>
  <c r="E80" i="86" s="1"/>
  <c r="E79" i="86" s="1"/>
  <c r="E78" i="86" s="1"/>
  <c r="E77" i="86" s="1"/>
  <c r="E76" i="86" s="1"/>
  <c r="E75" i="86" s="1"/>
  <c r="E74" i="86" s="1"/>
  <c r="E73" i="86" s="1"/>
  <c r="E72" i="86" s="1"/>
  <c r="E71" i="86" s="1"/>
  <c r="E70" i="86" s="1"/>
  <c r="E69" i="86" s="1"/>
  <c r="E68" i="86" s="1"/>
  <c r="E67" i="86" s="1"/>
  <c r="E66" i="86" s="1"/>
  <c r="E65" i="86" s="1"/>
  <c r="E64" i="86" s="1"/>
  <c r="E63" i="86" s="1"/>
  <c r="E62" i="86" s="1"/>
  <c r="E61" i="86" s="1"/>
  <c r="E60" i="86" s="1"/>
  <c r="E59" i="86" s="1"/>
  <c r="E58" i="86" s="1"/>
  <c r="E57" i="86" s="1"/>
  <c r="E56" i="86" s="1"/>
  <c r="E55" i="86" s="1"/>
  <c r="E54" i="86" s="1"/>
  <c r="E53" i="86" s="1"/>
  <c r="E52" i="86" s="1"/>
  <c r="E51" i="86" s="1"/>
  <c r="E50" i="86" s="1"/>
  <c r="E49" i="86" s="1"/>
  <c r="E48" i="86" s="1"/>
  <c r="E47" i="86" s="1"/>
  <c r="E46" i="86" s="1"/>
  <c r="E45" i="86" s="1"/>
  <c r="E44" i="86" s="1"/>
  <c r="E43" i="86" s="1"/>
  <c r="E42" i="86" s="1"/>
  <c r="E41" i="86" s="1"/>
  <c r="E40" i="86" s="1"/>
  <c r="E39" i="86" s="1"/>
  <c r="E38" i="86" s="1"/>
  <c r="E37" i="86" s="1"/>
  <c r="E36" i="86" s="1"/>
  <c r="E35" i="86" s="1"/>
  <c r="E34" i="86" s="1"/>
  <c r="E33" i="86" s="1"/>
  <c r="E32" i="86" s="1"/>
  <c r="E31" i="86" s="1"/>
  <c r="E30" i="86" s="1"/>
  <c r="E29" i="86" s="1"/>
  <c r="E28" i="86" s="1"/>
  <c r="E27" i="86" s="1"/>
  <c r="E26" i="86" s="1"/>
  <c r="E25" i="86" s="1"/>
  <c r="E24" i="86" s="1"/>
  <c r="E23" i="86" s="1"/>
  <c r="E22" i="86" s="1"/>
  <c r="E21" i="86" s="1"/>
  <c r="E20" i="86" s="1"/>
  <c r="E19" i="86" s="1"/>
  <c r="E18" i="86" s="1"/>
  <c r="E17" i="86" s="1"/>
  <c r="E16" i="86" s="1"/>
  <c r="E15" i="86" s="1"/>
  <c r="E14" i="86" s="1"/>
  <c r="E13" i="86" s="1"/>
  <c r="E12" i="86" s="1"/>
  <c r="E11" i="86" s="1"/>
  <c r="E10" i="86" s="1"/>
  <c r="E9" i="86" s="1"/>
  <c r="E8" i="86" s="1"/>
  <c r="E7" i="86" s="1"/>
  <c r="E6" i="86" s="1"/>
  <c r="E5" i="86" s="1"/>
  <c r="L159" i="86"/>
  <c r="L158" i="86" s="1"/>
  <c r="L157" i="86" s="1"/>
  <c r="L156" i="86" s="1"/>
  <c r="L155" i="86" s="1"/>
  <c r="L154" i="86" s="1"/>
  <c r="L153" i="86" s="1"/>
  <c r="L152" i="86" s="1"/>
  <c r="L151" i="86" s="1"/>
  <c r="L150" i="86" s="1"/>
  <c r="L149" i="86" s="1"/>
  <c r="L148" i="86" s="1"/>
  <c r="L147" i="86" s="1"/>
  <c r="L146" i="86" s="1"/>
  <c r="L145" i="86" s="1"/>
  <c r="L144" i="86" s="1"/>
  <c r="L143" i="86" s="1"/>
  <c r="L142" i="86" s="1"/>
  <c r="L141" i="86" s="1"/>
  <c r="L140" i="86" s="1"/>
  <c r="L139" i="86" s="1"/>
  <c r="L138" i="86" s="1"/>
  <c r="L137" i="86" s="1"/>
  <c r="L136" i="86" s="1"/>
  <c r="L135" i="86" s="1"/>
  <c r="L134" i="86" s="1"/>
  <c r="L133" i="86" s="1"/>
  <c r="L132" i="86" s="1"/>
  <c r="L131" i="86" s="1"/>
  <c r="L130" i="86" s="1"/>
  <c r="L129" i="86" s="1"/>
  <c r="L128" i="86" s="1"/>
  <c r="L127" i="86" s="1"/>
  <c r="L126" i="86" s="1"/>
  <c r="L125" i="86" s="1"/>
  <c r="L124" i="86" s="1"/>
  <c r="L123" i="86" s="1"/>
  <c r="L122" i="86" s="1"/>
  <c r="L121" i="86" s="1"/>
  <c r="L120" i="86" s="1"/>
  <c r="L119" i="86" s="1"/>
  <c r="L118" i="86" s="1"/>
  <c r="L117" i="86" s="1"/>
  <c r="L116" i="86" s="1"/>
  <c r="L115" i="86" s="1"/>
  <c r="L114" i="86" s="1"/>
  <c r="L113" i="86" s="1"/>
  <c r="L112" i="86" s="1"/>
  <c r="L111" i="86" s="1"/>
  <c r="L110" i="86" s="1"/>
  <c r="L109" i="86" s="1"/>
  <c r="L108" i="86" s="1"/>
  <c r="L107" i="86" s="1"/>
  <c r="L106" i="86" s="1"/>
  <c r="L105" i="86" s="1"/>
  <c r="L104" i="86" s="1"/>
  <c r="L103" i="86" s="1"/>
  <c r="L102" i="86" s="1"/>
  <c r="L101" i="86" s="1"/>
  <c r="L100" i="86" s="1"/>
  <c r="L99" i="86" s="1"/>
  <c r="L98" i="86" s="1"/>
  <c r="L97" i="86" s="1"/>
  <c r="L96" i="86" s="1"/>
  <c r="L95" i="86" s="1"/>
  <c r="L94" i="86" s="1"/>
  <c r="L93" i="86" s="1"/>
  <c r="L92" i="86" s="1"/>
  <c r="L91" i="86" s="1"/>
  <c r="L90" i="86" s="1"/>
  <c r="L89" i="86" s="1"/>
  <c r="L88" i="86" s="1"/>
  <c r="L87" i="86" s="1"/>
  <c r="L86" i="86" s="1"/>
  <c r="L85" i="86" s="1"/>
  <c r="L84" i="86" s="1"/>
  <c r="L83" i="86" s="1"/>
  <c r="L82" i="86" s="1"/>
  <c r="L81" i="86" s="1"/>
  <c r="L80" i="86" s="1"/>
  <c r="L79" i="86" s="1"/>
  <c r="L78" i="86" s="1"/>
  <c r="L77" i="86" s="1"/>
  <c r="L76" i="86" s="1"/>
  <c r="L75" i="86" s="1"/>
  <c r="L74" i="86" s="1"/>
  <c r="L73" i="86" s="1"/>
  <c r="L72" i="86" s="1"/>
  <c r="L71" i="86" s="1"/>
  <c r="L70" i="86" s="1"/>
  <c r="L69" i="86" s="1"/>
  <c r="L68" i="86" s="1"/>
  <c r="L67" i="86" s="1"/>
  <c r="L66" i="86" s="1"/>
  <c r="L65" i="86" s="1"/>
  <c r="L64" i="86" s="1"/>
  <c r="L63" i="86" s="1"/>
  <c r="L62" i="86" s="1"/>
  <c r="L61" i="86" s="1"/>
  <c r="L60" i="86" s="1"/>
  <c r="L59" i="86" s="1"/>
  <c r="L58" i="86" s="1"/>
  <c r="L57" i="86" s="1"/>
  <c r="L56" i="86" s="1"/>
  <c r="L55" i="86" s="1"/>
  <c r="L54" i="86" s="1"/>
  <c r="L53" i="86" s="1"/>
  <c r="L52" i="86" s="1"/>
  <c r="L51" i="86" s="1"/>
  <c r="L50" i="86" s="1"/>
  <c r="L49" i="86" s="1"/>
  <c r="L48" i="86" s="1"/>
  <c r="L47" i="86" s="1"/>
  <c r="L46" i="86" s="1"/>
  <c r="L45" i="86" s="1"/>
  <c r="L44" i="86" s="1"/>
  <c r="L43" i="86" s="1"/>
  <c r="L42" i="86" s="1"/>
  <c r="L41" i="86" s="1"/>
  <c r="L40" i="86" s="1"/>
  <c r="L39" i="86" s="1"/>
  <c r="L38" i="86" s="1"/>
  <c r="L37" i="86" s="1"/>
  <c r="L36" i="86" s="1"/>
  <c r="L35" i="86" s="1"/>
  <c r="L34" i="86" s="1"/>
  <c r="L33" i="86" s="1"/>
  <c r="L32" i="86" s="1"/>
  <c r="L31" i="86" s="1"/>
  <c r="L30" i="86" s="1"/>
  <c r="L29" i="86" s="1"/>
  <c r="L28" i="86" s="1"/>
  <c r="L27" i="86" s="1"/>
  <c r="L26" i="86" s="1"/>
  <c r="L25" i="86" s="1"/>
  <c r="L24" i="86" s="1"/>
  <c r="L23" i="86" s="1"/>
  <c r="L22" i="86" s="1"/>
  <c r="L21" i="86" s="1"/>
  <c r="L20" i="86" s="1"/>
  <c r="L19" i="86" s="1"/>
  <c r="L18" i="86" s="1"/>
  <c r="L17" i="86" s="1"/>
  <c r="L16" i="86" s="1"/>
  <c r="L15" i="86" s="1"/>
  <c r="L14" i="86" s="1"/>
  <c r="L13" i="86" s="1"/>
  <c r="L12" i="86" s="1"/>
  <c r="L11" i="86" s="1"/>
  <c r="L10" i="86" s="1"/>
  <c r="L9" i="86" s="1"/>
  <c r="L8" i="86" s="1"/>
  <c r="L7" i="86" s="1"/>
  <c r="L6" i="86" s="1"/>
  <c r="L5" i="86" s="1"/>
  <c r="H159" i="86"/>
  <c r="H158" i="86" s="1"/>
  <c r="H157" i="86" s="1"/>
  <c r="H156" i="86" s="1"/>
  <c r="H155" i="86" s="1"/>
  <c r="H154" i="86" s="1"/>
  <c r="H153" i="86" s="1"/>
  <c r="H152" i="86" s="1"/>
  <c r="H151" i="86" s="1"/>
  <c r="H150" i="86" s="1"/>
  <c r="H149" i="86" s="1"/>
  <c r="H148" i="86" s="1"/>
  <c r="H147" i="86" s="1"/>
  <c r="H146" i="86" s="1"/>
  <c r="H145" i="86" s="1"/>
  <c r="H144" i="86" s="1"/>
  <c r="H143" i="86" s="1"/>
  <c r="H142" i="86" s="1"/>
  <c r="H141" i="86" s="1"/>
  <c r="H140" i="86" s="1"/>
  <c r="H139" i="86" s="1"/>
  <c r="H138" i="86" s="1"/>
  <c r="H137" i="86" s="1"/>
  <c r="H136" i="86" s="1"/>
  <c r="H135" i="86" s="1"/>
  <c r="H134" i="86" s="1"/>
  <c r="H133" i="86" s="1"/>
  <c r="H132" i="86" s="1"/>
  <c r="H131" i="86" s="1"/>
  <c r="H130" i="86" s="1"/>
  <c r="H129" i="86" s="1"/>
  <c r="H128" i="86" s="1"/>
  <c r="H127" i="86" s="1"/>
  <c r="H126" i="86" s="1"/>
  <c r="H125" i="86" s="1"/>
  <c r="H124" i="86" s="1"/>
  <c r="H123" i="86" s="1"/>
  <c r="H122" i="86" s="1"/>
  <c r="H121" i="86" s="1"/>
  <c r="H120" i="86" s="1"/>
  <c r="H119" i="86" s="1"/>
  <c r="H118" i="86" s="1"/>
  <c r="H117" i="86" s="1"/>
  <c r="H116" i="86" s="1"/>
  <c r="H115" i="86" s="1"/>
  <c r="H114" i="86" s="1"/>
  <c r="H113" i="86" s="1"/>
  <c r="H112" i="86" s="1"/>
  <c r="H111" i="86" s="1"/>
  <c r="H110" i="86" s="1"/>
  <c r="H109" i="86" s="1"/>
  <c r="H108" i="86" s="1"/>
  <c r="H107" i="86" s="1"/>
  <c r="H106" i="86" s="1"/>
  <c r="H105" i="86" s="1"/>
  <c r="H104" i="86" s="1"/>
  <c r="H103" i="86" s="1"/>
  <c r="H102" i="86" s="1"/>
  <c r="H101" i="86" s="1"/>
  <c r="H100" i="86" s="1"/>
  <c r="H99" i="86" s="1"/>
  <c r="H98" i="86" s="1"/>
  <c r="H97" i="86" s="1"/>
  <c r="H96" i="86" s="1"/>
  <c r="H95" i="86" s="1"/>
  <c r="H94" i="86" s="1"/>
  <c r="H93" i="86" s="1"/>
  <c r="H92" i="86" s="1"/>
  <c r="H91" i="86" s="1"/>
  <c r="H90" i="86" s="1"/>
  <c r="H89" i="86" s="1"/>
  <c r="H88" i="86" s="1"/>
  <c r="H87" i="86" s="1"/>
  <c r="H86" i="86" s="1"/>
  <c r="H85" i="86" s="1"/>
  <c r="H84" i="86" s="1"/>
  <c r="H83" i="86" s="1"/>
  <c r="H82" i="86" s="1"/>
  <c r="H81" i="86" s="1"/>
  <c r="H80" i="86" s="1"/>
  <c r="H79" i="86" s="1"/>
  <c r="H78" i="86" s="1"/>
  <c r="H77" i="86" s="1"/>
  <c r="H76" i="86" s="1"/>
  <c r="H75" i="86" s="1"/>
  <c r="H74" i="86" s="1"/>
  <c r="H73" i="86" s="1"/>
  <c r="H72" i="86" s="1"/>
  <c r="H71" i="86" s="1"/>
  <c r="H70" i="86" s="1"/>
  <c r="H69" i="86" s="1"/>
  <c r="H68" i="86" s="1"/>
  <c r="H67" i="86" s="1"/>
  <c r="H66" i="86" s="1"/>
  <c r="H65" i="86" s="1"/>
  <c r="H64" i="86" s="1"/>
  <c r="H63" i="86" s="1"/>
  <c r="H62" i="86" s="1"/>
  <c r="H61" i="86" s="1"/>
  <c r="H60" i="86" s="1"/>
  <c r="H59" i="86" s="1"/>
  <c r="H58" i="86" s="1"/>
  <c r="H57" i="86" s="1"/>
  <c r="H56" i="86" s="1"/>
  <c r="H55" i="86" s="1"/>
  <c r="H54" i="86" s="1"/>
  <c r="H53" i="86" s="1"/>
  <c r="H52" i="86" s="1"/>
  <c r="H51" i="86" s="1"/>
  <c r="H50" i="86" s="1"/>
  <c r="H49" i="86" s="1"/>
  <c r="H48" i="86" s="1"/>
  <c r="H47" i="86" s="1"/>
  <c r="H46" i="86" s="1"/>
  <c r="H45" i="86" s="1"/>
  <c r="H44" i="86" s="1"/>
  <c r="H43" i="86" s="1"/>
  <c r="H42" i="86" s="1"/>
  <c r="H41" i="86" s="1"/>
  <c r="H40" i="86" s="1"/>
  <c r="H39" i="86" s="1"/>
  <c r="H38" i="86" s="1"/>
  <c r="H37" i="86" s="1"/>
  <c r="H36" i="86" s="1"/>
  <c r="H35" i="86" s="1"/>
  <c r="H34" i="86" s="1"/>
  <c r="H33" i="86" s="1"/>
  <c r="H32" i="86" s="1"/>
  <c r="H31" i="86" s="1"/>
  <c r="H30" i="86" s="1"/>
  <c r="H29" i="86" s="1"/>
  <c r="H28" i="86" s="1"/>
  <c r="H27" i="86" s="1"/>
  <c r="H26" i="86" s="1"/>
  <c r="H25" i="86" s="1"/>
  <c r="H24" i="86" s="1"/>
  <c r="H23" i="86" s="1"/>
  <c r="H22" i="86" s="1"/>
  <c r="H21" i="86" s="1"/>
  <c r="H20" i="86" s="1"/>
  <c r="H19" i="86" s="1"/>
  <c r="H18" i="86" s="1"/>
  <c r="H17" i="86" s="1"/>
  <c r="H16" i="86" s="1"/>
  <c r="H15" i="86" s="1"/>
  <c r="H14" i="86" s="1"/>
  <c r="H13" i="86" s="1"/>
  <c r="H12" i="86" s="1"/>
  <c r="H11" i="86" s="1"/>
  <c r="H10" i="86" s="1"/>
  <c r="H9" i="86" s="1"/>
  <c r="H8" i="86" s="1"/>
  <c r="H7" i="86" s="1"/>
  <c r="H6" i="86" s="1"/>
  <c r="H5" i="86" s="1"/>
  <c r="O159" i="86"/>
  <c r="O158" i="86" s="1"/>
  <c r="O157" i="86" s="1"/>
  <c r="O156" i="86" s="1"/>
  <c r="O155" i="86" s="1"/>
  <c r="O154" i="86" s="1"/>
  <c r="O153" i="86" s="1"/>
  <c r="O152" i="86" s="1"/>
  <c r="O151" i="86" s="1"/>
  <c r="O150" i="86" s="1"/>
  <c r="O149" i="86" s="1"/>
  <c r="O148" i="86" s="1"/>
  <c r="O147" i="86" s="1"/>
  <c r="O146" i="86" s="1"/>
  <c r="O145" i="86" s="1"/>
  <c r="O144" i="86" s="1"/>
  <c r="O143" i="86" s="1"/>
  <c r="O142" i="86" s="1"/>
  <c r="O141" i="86" s="1"/>
  <c r="O140" i="86" s="1"/>
  <c r="O139" i="86" s="1"/>
  <c r="O138" i="86" s="1"/>
  <c r="O137" i="86" s="1"/>
  <c r="O136" i="86" s="1"/>
  <c r="O135" i="86" s="1"/>
  <c r="O134" i="86" s="1"/>
  <c r="O133" i="86" s="1"/>
  <c r="O132" i="86" s="1"/>
  <c r="O131" i="86" s="1"/>
  <c r="O130" i="86" s="1"/>
  <c r="O129" i="86" s="1"/>
  <c r="O128" i="86" s="1"/>
  <c r="O127" i="86" s="1"/>
  <c r="O126" i="86" s="1"/>
  <c r="O125" i="86" s="1"/>
  <c r="O124" i="86" s="1"/>
  <c r="O123" i="86" s="1"/>
  <c r="O122" i="86" s="1"/>
  <c r="O121" i="86" s="1"/>
  <c r="O120" i="86" s="1"/>
  <c r="O119" i="86" s="1"/>
  <c r="O118" i="86" s="1"/>
  <c r="O117" i="86" s="1"/>
  <c r="O116" i="86" s="1"/>
  <c r="O115" i="86" s="1"/>
  <c r="O114" i="86" s="1"/>
  <c r="O113" i="86" s="1"/>
  <c r="O112" i="86" s="1"/>
  <c r="O111" i="86" s="1"/>
  <c r="O110" i="86" s="1"/>
  <c r="O109" i="86" s="1"/>
  <c r="O108" i="86" s="1"/>
  <c r="O107" i="86" s="1"/>
  <c r="O106" i="86" s="1"/>
  <c r="O105" i="86" s="1"/>
  <c r="O104" i="86" s="1"/>
  <c r="O103" i="86" s="1"/>
  <c r="O102" i="86" s="1"/>
  <c r="O101" i="86" s="1"/>
  <c r="O100" i="86" s="1"/>
  <c r="O99" i="86" s="1"/>
  <c r="O98" i="86" s="1"/>
  <c r="O97" i="86" s="1"/>
  <c r="O96" i="86" s="1"/>
  <c r="O95" i="86" s="1"/>
  <c r="O94" i="86" s="1"/>
  <c r="O93" i="86" s="1"/>
  <c r="O92" i="86" s="1"/>
  <c r="O91" i="86" s="1"/>
  <c r="O90" i="86" s="1"/>
  <c r="O89" i="86" s="1"/>
  <c r="O88" i="86" s="1"/>
  <c r="O87" i="86" s="1"/>
  <c r="O86" i="86" s="1"/>
  <c r="O85" i="86" s="1"/>
  <c r="O84" i="86" s="1"/>
  <c r="O83" i="86" s="1"/>
  <c r="O82" i="86" s="1"/>
  <c r="O81" i="86" s="1"/>
  <c r="O80" i="86" s="1"/>
  <c r="O79" i="86" s="1"/>
  <c r="O78" i="86" s="1"/>
  <c r="O77" i="86" s="1"/>
  <c r="O76" i="86" s="1"/>
  <c r="O75" i="86" s="1"/>
  <c r="O74" i="86" s="1"/>
  <c r="O73" i="86" s="1"/>
  <c r="O72" i="86" s="1"/>
  <c r="O71" i="86" s="1"/>
  <c r="O70" i="86" s="1"/>
  <c r="O69" i="86" s="1"/>
  <c r="O68" i="86" s="1"/>
  <c r="O67" i="86" s="1"/>
  <c r="O66" i="86" s="1"/>
  <c r="O65" i="86" s="1"/>
  <c r="O64" i="86" s="1"/>
  <c r="O63" i="86" s="1"/>
  <c r="O62" i="86" s="1"/>
  <c r="O61" i="86" s="1"/>
  <c r="O60" i="86" s="1"/>
  <c r="O59" i="86" s="1"/>
  <c r="O58" i="86" s="1"/>
  <c r="O57" i="86" s="1"/>
  <c r="O56" i="86" s="1"/>
  <c r="O55" i="86" s="1"/>
  <c r="O54" i="86" s="1"/>
  <c r="O53" i="86" s="1"/>
  <c r="O52" i="86" s="1"/>
  <c r="O51" i="86" s="1"/>
  <c r="O50" i="86" s="1"/>
  <c r="O49" i="86" s="1"/>
  <c r="O48" i="86" s="1"/>
  <c r="O47" i="86" s="1"/>
  <c r="O46" i="86" s="1"/>
  <c r="O45" i="86" s="1"/>
  <c r="O44" i="86" s="1"/>
  <c r="O43" i="86" s="1"/>
  <c r="O42" i="86" s="1"/>
  <c r="O41" i="86" s="1"/>
  <c r="O40" i="86" s="1"/>
  <c r="O39" i="86" s="1"/>
  <c r="O38" i="86" s="1"/>
  <c r="O37" i="86" s="1"/>
  <c r="O36" i="86" s="1"/>
  <c r="O35" i="86" s="1"/>
  <c r="O34" i="86" s="1"/>
  <c r="O33" i="86" s="1"/>
  <c r="O32" i="86" s="1"/>
  <c r="O31" i="86" s="1"/>
  <c r="O30" i="86" s="1"/>
  <c r="O29" i="86" s="1"/>
  <c r="O28" i="86" s="1"/>
  <c r="O27" i="86" s="1"/>
  <c r="O26" i="86" s="1"/>
  <c r="O25" i="86" s="1"/>
  <c r="O24" i="86" s="1"/>
  <c r="O23" i="86" s="1"/>
  <c r="O22" i="86" s="1"/>
  <c r="O21" i="86" s="1"/>
  <c r="O20" i="86" s="1"/>
  <c r="O19" i="86" s="1"/>
  <c r="O18" i="86" s="1"/>
  <c r="O17" i="86" s="1"/>
  <c r="O16" i="86" s="1"/>
  <c r="O15" i="86" s="1"/>
  <c r="O14" i="86" s="1"/>
  <c r="O13" i="86" s="1"/>
  <c r="O12" i="86" s="1"/>
  <c r="O11" i="86" s="1"/>
  <c r="O10" i="86" s="1"/>
  <c r="O9" i="86" s="1"/>
  <c r="O8" i="86" s="1"/>
  <c r="O7" i="86" s="1"/>
  <c r="O6" i="86" s="1"/>
  <c r="O5" i="86" s="1"/>
  <c r="M159" i="86"/>
  <c r="M158" i="86" s="1"/>
  <c r="M157" i="86" s="1"/>
  <c r="M156" i="86" s="1"/>
  <c r="M155" i="86" s="1"/>
  <c r="M154" i="86" s="1"/>
  <c r="M153" i="86" s="1"/>
  <c r="M152" i="86" s="1"/>
  <c r="M151" i="86" s="1"/>
  <c r="M150" i="86" s="1"/>
  <c r="M149" i="86" s="1"/>
  <c r="M148" i="86" s="1"/>
  <c r="M147" i="86" s="1"/>
  <c r="M146" i="86" s="1"/>
  <c r="M145" i="86" s="1"/>
  <c r="M144" i="86" s="1"/>
  <c r="M143" i="86" s="1"/>
  <c r="M142" i="86" s="1"/>
  <c r="M141" i="86" s="1"/>
  <c r="M140" i="86" s="1"/>
  <c r="M139" i="86" s="1"/>
  <c r="M138" i="86" s="1"/>
  <c r="M137" i="86" s="1"/>
  <c r="M136" i="86" s="1"/>
  <c r="M135" i="86" s="1"/>
  <c r="M134" i="86" s="1"/>
  <c r="M133" i="86" s="1"/>
  <c r="M132" i="86" s="1"/>
  <c r="M131" i="86" s="1"/>
  <c r="M130" i="86" s="1"/>
  <c r="M129" i="86" s="1"/>
  <c r="M128" i="86" s="1"/>
  <c r="M127" i="86" s="1"/>
  <c r="M126" i="86" s="1"/>
  <c r="M125" i="86" s="1"/>
  <c r="M124" i="86" s="1"/>
  <c r="M123" i="86" s="1"/>
  <c r="M122" i="86" s="1"/>
  <c r="M121" i="86" s="1"/>
  <c r="M120" i="86" s="1"/>
  <c r="M119" i="86" s="1"/>
  <c r="M118" i="86" s="1"/>
  <c r="M117" i="86" s="1"/>
  <c r="M116" i="86" s="1"/>
  <c r="M115" i="86" s="1"/>
  <c r="M114" i="86" s="1"/>
  <c r="M113" i="86" s="1"/>
  <c r="M112" i="86" s="1"/>
  <c r="M111" i="86" s="1"/>
  <c r="M110" i="86" s="1"/>
  <c r="M109" i="86" s="1"/>
  <c r="M108" i="86" s="1"/>
  <c r="M107" i="86" s="1"/>
  <c r="M106" i="86" s="1"/>
  <c r="M105" i="86" s="1"/>
  <c r="M104" i="86" s="1"/>
  <c r="M103" i="86" s="1"/>
  <c r="M102" i="86" s="1"/>
  <c r="M101" i="86" s="1"/>
  <c r="M100" i="86" s="1"/>
  <c r="M99" i="86" s="1"/>
  <c r="M98" i="86" s="1"/>
  <c r="M97" i="86" s="1"/>
  <c r="M96" i="86" s="1"/>
  <c r="M95" i="86" s="1"/>
  <c r="M94" i="86" s="1"/>
  <c r="M93" i="86" s="1"/>
  <c r="M92" i="86" s="1"/>
  <c r="M91" i="86" s="1"/>
  <c r="M90" i="86" s="1"/>
  <c r="M89" i="86" s="1"/>
  <c r="M88" i="86" s="1"/>
  <c r="M87" i="86" s="1"/>
  <c r="M86" i="86" s="1"/>
  <c r="M85" i="86" s="1"/>
  <c r="M84" i="86" s="1"/>
  <c r="M83" i="86" s="1"/>
  <c r="M82" i="86" s="1"/>
  <c r="M81" i="86" s="1"/>
  <c r="M80" i="86" s="1"/>
  <c r="M79" i="86" s="1"/>
  <c r="M78" i="86" s="1"/>
  <c r="M77" i="86" s="1"/>
  <c r="M76" i="86" s="1"/>
  <c r="M75" i="86" s="1"/>
  <c r="M74" i="86" s="1"/>
  <c r="M73" i="86" s="1"/>
  <c r="M72" i="86" s="1"/>
  <c r="M71" i="86" s="1"/>
  <c r="M70" i="86" s="1"/>
  <c r="M69" i="86" s="1"/>
  <c r="M68" i="86" s="1"/>
  <c r="M67" i="86" s="1"/>
  <c r="M66" i="86" s="1"/>
  <c r="M65" i="86" s="1"/>
  <c r="M64" i="86" s="1"/>
  <c r="M63" i="86" s="1"/>
  <c r="M62" i="86" s="1"/>
  <c r="M61" i="86" s="1"/>
  <c r="M60" i="86" s="1"/>
  <c r="M59" i="86" s="1"/>
  <c r="M58" i="86" s="1"/>
  <c r="M57" i="86" s="1"/>
  <c r="M56" i="86" s="1"/>
  <c r="M55" i="86" s="1"/>
  <c r="M54" i="86" s="1"/>
  <c r="M53" i="86" s="1"/>
  <c r="M52" i="86" s="1"/>
  <c r="M51" i="86" s="1"/>
  <c r="M50" i="86" s="1"/>
  <c r="M49" i="86" s="1"/>
  <c r="M48" i="86" s="1"/>
  <c r="M47" i="86" s="1"/>
  <c r="M46" i="86" s="1"/>
  <c r="M45" i="86" s="1"/>
  <c r="M44" i="86" s="1"/>
  <c r="M43" i="86" s="1"/>
  <c r="M42" i="86" s="1"/>
  <c r="M41" i="86" s="1"/>
  <c r="M40" i="86" s="1"/>
  <c r="M39" i="86" s="1"/>
  <c r="M38" i="86" s="1"/>
  <c r="M37" i="86" s="1"/>
  <c r="M36" i="86" s="1"/>
  <c r="M35" i="86" s="1"/>
  <c r="M34" i="86" s="1"/>
  <c r="M33" i="86" s="1"/>
  <c r="M32" i="86" s="1"/>
  <c r="M31" i="86" s="1"/>
  <c r="M30" i="86" s="1"/>
  <c r="M29" i="86" s="1"/>
  <c r="M28" i="86" s="1"/>
  <c r="M27" i="86" s="1"/>
  <c r="M26" i="86" s="1"/>
  <c r="M25" i="86" s="1"/>
  <c r="M24" i="86" s="1"/>
  <c r="M23" i="86" s="1"/>
  <c r="M22" i="86" s="1"/>
  <c r="M21" i="86" s="1"/>
  <c r="M20" i="86" s="1"/>
  <c r="M19" i="86" s="1"/>
  <c r="M18" i="86" s="1"/>
  <c r="M17" i="86" s="1"/>
  <c r="M16" i="86" s="1"/>
  <c r="M15" i="86" s="1"/>
  <c r="M14" i="86" s="1"/>
  <c r="M13" i="86" s="1"/>
  <c r="M12" i="86" s="1"/>
  <c r="M11" i="86" s="1"/>
  <c r="M10" i="86" s="1"/>
  <c r="M9" i="86" s="1"/>
  <c r="M8" i="86" s="1"/>
  <c r="M7" i="86" s="1"/>
  <c r="M6" i="86" s="1"/>
  <c r="M5" i="86" s="1"/>
  <c r="F159" i="86"/>
  <c r="F158" i="86" s="1"/>
  <c r="F157" i="86" s="1"/>
  <c r="F156" i="86" s="1"/>
  <c r="F155" i="86" s="1"/>
  <c r="F154" i="86" s="1"/>
  <c r="F153" i="86" s="1"/>
  <c r="F152" i="86" s="1"/>
  <c r="F151" i="86" s="1"/>
  <c r="F150" i="86" s="1"/>
  <c r="F149" i="86" s="1"/>
  <c r="F148" i="86" s="1"/>
  <c r="F147" i="86" s="1"/>
  <c r="F146" i="86" s="1"/>
  <c r="F145" i="86" s="1"/>
  <c r="F144" i="86" s="1"/>
  <c r="F143" i="86" s="1"/>
  <c r="F142" i="86" s="1"/>
  <c r="F141" i="86" s="1"/>
  <c r="F140" i="86" s="1"/>
  <c r="F139" i="86" s="1"/>
  <c r="F138" i="86" s="1"/>
  <c r="F137" i="86" s="1"/>
  <c r="F136" i="86" s="1"/>
  <c r="F135" i="86" s="1"/>
  <c r="F134" i="86" s="1"/>
  <c r="F133" i="86" s="1"/>
  <c r="F132" i="86" s="1"/>
  <c r="F131" i="86" s="1"/>
  <c r="F130" i="86" s="1"/>
  <c r="F129" i="86" s="1"/>
  <c r="F128" i="86" s="1"/>
  <c r="F127" i="86" s="1"/>
  <c r="F126" i="86" s="1"/>
  <c r="F125" i="86" s="1"/>
  <c r="F124" i="86" s="1"/>
  <c r="F123" i="86" s="1"/>
  <c r="F122" i="86" s="1"/>
  <c r="F121" i="86" s="1"/>
  <c r="F120" i="86" s="1"/>
  <c r="F119" i="86" s="1"/>
  <c r="F118" i="86" s="1"/>
  <c r="F117" i="86" s="1"/>
  <c r="F116" i="86" s="1"/>
  <c r="F115" i="86" s="1"/>
  <c r="F114" i="86" s="1"/>
  <c r="F113" i="86" s="1"/>
  <c r="F112" i="86" s="1"/>
  <c r="F111" i="86" s="1"/>
  <c r="F110" i="86" s="1"/>
  <c r="F109" i="86" s="1"/>
  <c r="F108" i="86" s="1"/>
  <c r="F107" i="86" s="1"/>
  <c r="F106" i="86" s="1"/>
  <c r="F105" i="86" s="1"/>
  <c r="F104" i="86" s="1"/>
  <c r="F103" i="86" s="1"/>
  <c r="F102" i="86" s="1"/>
  <c r="F101" i="86" s="1"/>
  <c r="F100" i="86" s="1"/>
  <c r="F99" i="86" s="1"/>
  <c r="F98" i="86" s="1"/>
  <c r="F97" i="86" s="1"/>
  <c r="F96" i="86" s="1"/>
  <c r="F95" i="86" s="1"/>
  <c r="F94" i="86" s="1"/>
  <c r="F93" i="86" s="1"/>
  <c r="F92" i="86" s="1"/>
  <c r="F91" i="86" s="1"/>
  <c r="F90" i="86" s="1"/>
  <c r="F89" i="86" s="1"/>
  <c r="F88" i="86" s="1"/>
  <c r="F87" i="86" s="1"/>
  <c r="F86" i="86" s="1"/>
  <c r="F85" i="86" s="1"/>
  <c r="F84" i="86" s="1"/>
  <c r="F83" i="86" s="1"/>
  <c r="F82" i="86" s="1"/>
  <c r="F81" i="86" s="1"/>
  <c r="F80" i="86" s="1"/>
  <c r="F79" i="86" s="1"/>
  <c r="F78" i="86" s="1"/>
  <c r="F77" i="86" s="1"/>
  <c r="F76" i="86" s="1"/>
  <c r="F75" i="86" s="1"/>
  <c r="F74" i="86" s="1"/>
  <c r="F73" i="86" s="1"/>
  <c r="F72" i="86" s="1"/>
  <c r="F71" i="86" s="1"/>
  <c r="F70" i="86" s="1"/>
  <c r="F69" i="86" s="1"/>
  <c r="F68" i="86" s="1"/>
  <c r="F67" i="86" s="1"/>
  <c r="F66" i="86" s="1"/>
  <c r="F65" i="86" s="1"/>
  <c r="F64" i="86" s="1"/>
  <c r="F63" i="86" s="1"/>
  <c r="F62" i="86" s="1"/>
  <c r="F61" i="86" s="1"/>
  <c r="F60" i="86" s="1"/>
  <c r="F59" i="86" s="1"/>
  <c r="F58" i="86" s="1"/>
  <c r="F57" i="86" s="1"/>
  <c r="F56" i="86" s="1"/>
  <c r="F55" i="86" s="1"/>
  <c r="F54" i="86" s="1"/>
  <c r="F53" i="86" s="1"/>
  <c r="F52" i="86" s="1"/>
  <c r="F51" i="86" s="1"/>
  <c r="F50" i="86" s="1"/>
  <c r="F49" i="86" s="1"/>
  <c r="F48" i="86" s="1"/>
  <c r="F47" i="86" s="1"/>
  <c r="F46" i="86" s="1"/>
  <c r="F45" i="86" s="1"/>
  <c r="F44" i="86" s="1"/>
  <c r="F43" i="86" s="1"/>
  <c r="F42" i="86" s="1"/>
  <c r="F41" i="86" s="1"/>
  <c r="F40" i="86" s="1"/>
  <c r="F39" i="86" s="1"/>
  <c r="F38" i="86" s="1"/>
  <c r="F37" i="86" s="1"/>
  <c r="F36" i="86" s="1"/>
  <c r="F35" i="86" s="1"/>
  <c r="F34" i="86" s="1"/>
  <c r="F33" i="86" s="1"/>
  <c r="F32" i="86" s="1"/>
  <c r="F31" i="86" s="1"/>
  <c r="F30" i="86" s="1"/>
  <c r="F29" i="86" s="1"/>
  <c r="F28" i="86" s="1"/>
  <c r="F27" i="86" s="1"/>
  <c r="F26" i="86" s="1"/>
  <c r="F25" i="86" s="1"/>
  <c r="F24" i="86" s="1"/>
  <c r="F23" i="86" s="1"/>
  <c r="F22" i="86" s="1"/>
  <c r="F21" i="86" s="1"/>
  <c r="F20" i="86" s="1"/>
  <c r="F19" i="86" s="1"/>
  <c r="F18" i="86" s="1"/>
  <c r="F17" i="86" s="1"/>
  <c r="F16" i="86" s="1"/>
  <c r="F15" i="86" s="1"/>
  <c r="F14" i="86" s="1"/>
  <c r="F13" i="86" s="1"/>
  <c r="F12" i="86" s="1"/>
  <c r="F11" i="86" s="1"/>
  <c r="F10" i="86" s="1"/>
  <c r="F9" i="86" s="1"/>
  <c r="F8" i="86" s="1"/>
  <c r="F7" i="86" s="1"/>
  <c r="F6" i="86" s="1"/>
  <c r="F5" i="86" s="1"/>
  <c r="C159" i="86"/>
  <c r="C158" i="86" s="1"/>
  <c r="C157" i="86" s="1"/>
  <c r="C156" i="86" s="1"/>
  <c r="C155" i="86" s="1"/>
  <c r="C154" i="86" s="1"/>
  <c r="C153" i="86" s="1"/>
  <c r="C152" i="86" s="1"/>
  <c r="C151" i="86" s="1"/>
  <c r="C150" i="86" s="1"/>
  <c r="C149" i="86" s="1"/>
  <c r="C148" i="86" s="1"/>
  <c r="C147" i="86" s="1"/>
  <c r="C146" i="86" s="1"/>
  <c r="C145" i="86" s="1"/>
  <c r="C144" i="86" s="1"/>
  <c r="C143" i="86" s="1"/>
  <c r="C142" i="86" s="1"/>
  <c r="C141" i="86" s="1"/>
  <c r="C140" i="86" s="1"/>
  <c r="C139" i="86" s="1"/>
  <c r="C138" i="86" s="1"/>
  <c r="C137" i="86" s="1"/>
  <c r="C136" i="86" s="1"/>
  <c r="C135" i="86" s="1"/>
  <c r="C134" i="86" s="1"/>
  <c r="C133" i="86" s="1"/>
  <c r="C132" i="86" s="1"/>
  <c r="C131" i="86" s="1"/>
  <c r="C130" i="86" s="1"/>
  <c r="C129" i="86" s="1"/>
  <c r="C128" i="86" s="1"/>
  <c r="C127" i="86" s="1"/>
  <c r="C126" i="86" s="1"/>
  <c r="C125" i="86" s="1"/>
  <c r="C124" i="86" s="1"/>
  <c r="C123" i="86" s="1"/>
  <c r="C122" i="86" s="1"/>
  <c r="C121" i="86" s="1"/>
  <c r="C120" i="86" s="1"/>
  <c r="C119" i="86" s="1"/>
  <c r="C118" i="86" s="1"/>
  <c r="C117" i="86" s="1"/>
  <c r="C116" i="86" s="1"/>
  <c r="C115" i="86" s="1"/>
  <c r="C114" i="86" s="1"/>
  <c r="C113" i="86" s="1"/>
  <c r="C112" i="86" s="1"/>
  <c r="C111" i="86" s="1"/>
  <c r="C110" i="86" s="1"/>
  <c r="C109" i="86" s="1"/>
  <c r="C108" i="86" s="1"/>
  <c r="C107" i="86" s="1"/>
  <c r="C106" i="86" s="1"/>
  <c r="C105" i="86" s="1"/>
  <c r="C104" i="86" s="1"/>
  <c r="C103" i="86" s="1"/>
  <c r="C102" i="86" s="1"/>
  <c r="C101" i="86" s="1"/>
  <c r="C100" i="86" s="1"/>
  <c r="C99" i="86" s="1"/>
  <c r="C98" i="86" s="1"/>
  <c r="C97" i="86" s="1"/>
  <c r="C96" i="86" s="1"/>
  <c r="C95" i="86" s="1"/>
  <c r="C94" i="86" s="1"/>
  <c r="C93" i="86" s="1"/>
  <c r="C92" i="86" s="1"/>
  <c r="C91" i="86" s="1"/>
  <c r="C90" i="86" s="1"/>
  <c r="C89" i="86" s="1"/>
  <c r="C88" i="86" s="1"/>
  <c r="C87" i="86" s="1"/>
  <c r="C86" i="86" s="1"/>
  <c r="C85" i="86" s="1"/>
  <c r="C84" i="86" s="1"/>
  <c r="C83" i="86" s="1"/>
  <c r="C82" i="86" s="1"/>
  <c r="C81" i="86" s="1"/>
  <c r="C80" i="86" s="1"/>
  <c r="C79" i="86" s="1"/>
  <c r="C78" i="86" s="1"/>
  <c r="C77" i="86" s="1"/>
  <c r="C76" i="86" s="1"/>
  <c r="C75" i="86" s="1"/>
  <c r="C74" i="86" s="1"/>
  <c r="C73" i="86" s="1"/>
  <c r="C72" i="86" s="1"/>
  <c r="C71" i="86" s="1"/>
  <c r="C70" i="86" s="1"/>
  <c r="C69" i="86" s="1"/>
  <c r="C68" i="86" s="1"/>
  <c r="C67" i="86" s="1"/>
  <c r="C66" i="86" s="1"/>
  <c r="C65" i="86" s="1"/>
  <c r="C64" i="86" s="1"/>
  <c r="C63" i="86" s="1"/>
  <c r="C62" i="86" s="1"/>
  <c r="C61" i="86" s="1"/>
  <c r="C60" i="86" s="1"/>
  <c r="C59" i="86" s="1"/>
  <c r="C58" i="86" s="1"/>
  <c r="C57" i="86" s="1"/>
  <c r="C56" i="86" s="1"/>
  <c r="C55" i="86" s="1"/>
  <c r="C54" i="86" s="1"/>
  <c r="C53" i="86" s="1"/>
  <c r="C52" i="86" s="1"/>
  <c r="C51" i="86" s="1"/>
  <c r="C50" i="86" s="1"/>
  <c r="C49" i="86" s="1"/>
  <c r="C48" i="86" s="1"/>
  <c r="C47" i="86" s="1"/>
  <c r="C46" i="86" s="1"/>
  <c r="C45" i="86" s="1"/>
  <c r="C44" i="86" s="1"/>
  <c r="C43" i="86" s="1"/>
  <c r="C42" i="86" s="1"/>
  <c r="C41" i="86" s="1"/>
  <c r="C40" i="86" s="1"/>
  <c r="C39" i="86" s="1"/>
  <c r="C38" i="86" s="1"/>
  <c r="C37" i="86" s="1"/>
  <c r="C36" i="86" s="1"/>
  <c r="C35" i="86" s="1"/>
  <c r="C34" i="86" s="1"/>
  <c r="C33" i="86" s="1"/>
  <c r="C32" i="86" s="1"/>
  <c r="C31" i="86" s="1"/>
  <c r="C30" i="86" s="1"/>
  <c r="C29" i="86" s="1"/>
  <c r="C28" i="86" s="1"/>
  <c r="C27" i="86" s="1"/>
  <c r="C26" i="86" s="1"/>
  <c r="C25" i="86" s="1"/>
  <c r="C24" i="86" s="1"/>
  <c r="C23" i="86" s="1"/>
  <c r="C22" i="86" s="1"/>
  <c r="C21" i="86" s="1"/>
  <c r="C20" i="86" s="1"/>
  <c r="C19" i="86" s="1"/>
  <c r="C18" i="86" s="1"/>
  <c r="C17" i="86" s="1"/>
  <c r="C16" i="86" s="1"/>
  <c r="C15" i="86" s="1"/>
  <c r="C14" i="86" s="1"/>
  <c r="C13" i="86" s="1"/>
  <c r="C12" i="86" s="1"/>
  <c r="C11" i="86" s="1"/>
  <c r="C10" i="86" s="1"/>
  <c r="C9" i="86" s="1"/>
  <c r="C8" i="86" s="1"/>
  <c r="C7" i="86" s="1"/>
  <c r="C6" i="86" s="1"/>
  <c r="C5" i="86" s="1"/>
  <c r="J159" i="86"/>
  <c r="J158" i="86" s="1"/>
  <c r="J157" i="86" s="1"/>
  <c r="J156" i="86" s="1"/>
  <c r="J155" i="86" s="1"/>
  <c r="J154" i="86" s="1"/>
  <c r="J153" i="86" s="1"/>
  <c r="J152" i="86" s="1"/>
  <c r="J151" i="86" s="1"/>
  <c r="J150" i="86" s="1"/>
  <c r="J149" i="86" s="1"/>
  <c r="J148" i="86" s="1"/>
  <c r="J147" i="86" s="1"/>
  <c r="J146" i="86" s="1"/>
  <c r="J145" i="86" s="1"/>
  <c r="J144" i="86" s="1"/>
  <c r="J143" i="86" s="1"/>
  <c r="J142" i="86" s="1"/>
  <c r="J141" i="86" s="1"/>
  <c r="J140" i="86" s="1"/>
  <c r="J139" i="86" s="1"/>
  <c r="J138" i="86" s="1"/>
  <c r="J137" i="86" s="1"/>
  <c r="J136" i="86" s="1"/>
  <c r="J135" i="86" s="1"/>
  <c r="J134" i="86" s="1"/>
  <c r="J133" i="86" s="1"/>
  <c r="J132" i="86" s="1"/>
  <c r="J131" i="86" s="1"/>
  <c r="J130" i="86" s="1"/>
  <c r="J129" i="86" s="1"/>
  <c r="J128" i="86" s="1"/>
  <c r="J127" i="86" s="1"/>
  <c r="J126" i="86" s="1"/>
  <c r="J125" i="86" s="1"/>
  <c r="J124" i="86" s="1"/>
  <c r="J123" i="86" s="1"/>
  <c r="J122" i="86" s="1"/>
  <c r="J121" i="86" s="1"/>
  <c r="J120" i="86" s="1"/>
  <c r="J119" i="86" s="1"/>
  <c r="J118" i="86" s="1"/>
  <c r="J117" i="86" s="1"/>
  <c r="J116" i="86" s="1"/>
  <c r="J115" i="86" s="1"/>
  <c r="J114" i="86" s="1"/>
  <c r="J113" i="86" s="1"/>
  <c r="J112" i="86" s="1"/>
  <c r="J111" i="86" s="1"/>
  <c r="J110" i="86" s="1"/>
  <c r="J109" i="86" s="1"/>
  <c r="J108" i="86" s="1"/>
  <c r="J107" i="86" s="1"/>
  <c r="J106" i="86" s="1"/>
  <c r="J105" i="86" s="1"/>
  <c r="J104" i="86" s="1"/>
  <c r="J103" i="86" s="1"/>
  <c r="J102" i="86" s="1"/>
  <c r="J101" i="86" s="1"/>
  <c r="J100" i="86" s="1"/>
  <c r="J99" i="86" s="1"/>
  <c r="J98" i="86" s="1"/>
  <c r="J97" i="86" s="1"/>
  <c r="J96" i="86" s="1"/>
  <c r="J95" i="86" s="1"/>
  <c r="J94" i="86" s="1"/>
  <c r="J93" i="86" s="1"/>
  <c r="J92" i="86" s="1"/>
  <c r="J91" i="86" s="1"/>
  <c r="J90" i="86" s="1"/>
  <c r="J89" i="86" s="1"/>
  <c r="J88" i="86" s="1"/>
  <c r="J87" i="86" s="1"/>
  <c r="J86" i="86" s="1"/>
  <c r="J85" i="86" s="1"/>
  <c r="J84" i="86" s="1"/>
  <c r="J83" i="86" s="1"/>
  <c r="J82" i="86" s="1"/>
  <c r="J81" i="86" s="1"/>
  <c r="J80" i="86" s="1"/>
  <c r="J79" i="86" s="1"/>
  <c r="J78" i="86" s="1"/>
  <c r="J77" i="86" s="1"/>
  <c r="J76" i="86" s="1"/>
  <c r="J75" i="86" s="1"/>
  <c r="J74" i="86" s="1"/>
  <c r="J73" i="86" s="1"/>
  <c r="J72" i="86" s="1"/>
  <c r="J71" i="86" s="1"/>
  <c r="J70" i="86" s="1"/>
  <c r="J69" i="86" s="1"/>
  <c r="J68" i="86" s="1"/>
  <c r="J67" i="86" s="1"/>
  <c r="J66" i="86" s="1"/>
  <c r="J65" i="86" s="1"/>
  <c r="J64" i="86" s="1"/>
  <c r="J63" i="86" s="1"/>
  <c r="J62" i="86" s="1"/>
  <c r="J61" i="86" s="1"/>
  <c r="J60" i="86" s="1"/>
  <c r="J59" i="86" s="1"/>
  <c r="J58" i="86" s="1"/>
  <c r="J57" i="86" s="1"/>
  <c r="J56" i="86" s="1"/>
  <c r="J55" i="86" s="1"/>
  <c r="J54" i="86" s="1"/>
  <c r="J53" i="86" s="1"/>
  <c r="J52" i="86" s="1"/>
  <c r="J51" i="86" s="1"/>
  <c r="J50" i="86" s="1"/>
  <c r="J49" i="86" s="1"/>
  <c r="J48" i="86" s="1"/>
  <c r="J47" i="86" s="1"/>
  <c r="J46" i="86" s="1"/>
  <c r="J45" i="86" s="1"/>
  <c r="J44" i="86" s="1"/>
  <c r="J43" i="86" s="1"/>
  <c r="J42" i="86" s="1"/>
  <c r="J41" i="86" s="1"/>
  <c r="J40" i="86" s="1"/>
  <c r="J39" i="86" s="1"/>
  <c r="J38" i="86" s="1"/>
  <c r="J37" i="86" s="1"/>
  <c r="J36" i="86" s="1"/>
  <c r="J35" i="86" s="1"/>
  <c r="J34" i="86" s="1"/>
  <c r="J33" i="86" s="1"/>
  <c r="J32" i="86" s="1"/>
  <c r="J31" i="86" s="1"/>
  <c r="J30" i="86" s="1"/>
  <c r="J29" i="86" s="1"/>
  <c r="J28" i="86" s="1"/>
  <c r="J27" i="86" s="1"/>
  <c r="J26" i="86" s="1"/>
  <c r="J25" i="86" s="1"/>
  <c r="J24" i="86" s="1"/>
  <c r="J23" i="86" s="1"/>
  <c r="J22" i="86" s="1"/>
  <c r="J21" i="86" s="1"/>
  <c r="J20" i="86" s="1"/>
  <c r="J19" i="86" s="1"/>
  <c r="J18" i="86" s="1"/>
  <c r="J17" i="86" s="1"/>
  <c r="J16" i="86" s="1"/>
  <c r="J15" i="86" s="1"/>
  <c r="J14" i="86" s="1"/>
  <c r="J13" i="86" s="1"/>
  <c r="J12" i="86" s="1"/>
  <c r="J11" i="86" s="1"/>
  <c r="J10" i="86" s="1"/>
  <c r="J9" i="86" s="1"/>
  <c r="J8" i="86" s="1"/>
  <c r="J7" i="86" s="1"/>
  <c r="J6" i="86" s="1"/>
  <c r="J5" i="86" s="1"/>
  <c r="D159" i="86"/>
  <c r="D158" i="86" s="1"/>
  <c r="D157" i="86" s="1"/>
  <c r="D156" i="86" s="1"/>
  <c r="D155" i="86" s="1"/>
  <c r="D154" i="86" s="1"/>
  <c r="K159" i="86"/>
  <c r="K158" i="86" s="1"/>
  <c r="K157" i="86" s="1"/>
  <c r="K156" i="86" s="1"/>
  <c r="K155" i="86" s="1"/>
  <c r="K154" i="86" s="1"/>
  <c r="B160" i="86" l="1"/>
  <c r="B161" i="86" s="1"/>
  <c r="C345" i="66"/>
  <c r="AM157" i="86"/>
  <c r="I159" i="86"/>
  <c r="Q159" i="86" s="1"/>
  <c r="AC159" i="86"/>
  <c r="AC158" i="86" s="1"/>
  <c r="AC157" i="86" s="1"/>
  <c r="AC156" i="86" s="1"/>
  <c r="AC155" i="86" s="1"/>
  <c r="AC154" i="86" s="1"/>
  <c r="AC153" i="86" s="1"/>
  <c r="AC152" i="86" s="1"/>
  <c r="AC151" i="86" s="1"/>
  <c r="AC150" i="86" s="1"/>
  <c r="AC149" i="86" s="1"/>
  <c r="AC148" i="86" s="1"/>
  <c r="AC147" i="86" s="1"/>
  <c r="AC146" i="86" s="1"/>
  <c r="AC145" i="86" s="1"/>
  <c r="AC144" i="86" s="1"/>
  <c r="AC143" i="86" s="1"/>
  <c r="AC142" i="86" s="1"/>
  <c r="AC141" i="86" s="1"/>
  <c r="AC140" i="86" s="1"/>
  <c r="AC139" i="86" s="1"/>
  <c r="AC138" i="86" s="1"/>
  <c r="AC137" i="86" s="1"/>
  <c r="AC136" i="86" s="1"/>
  <c r="AC135" i="86" s="1"/>
  <c r="AC134" i="86" s="1"/>
  <c r="AC133" i="86" s="1"/>
  <c r="AC132" i="86" s="1"/>
  <c r="AC131" i="86" s="1"/>
  <c r="AC130" i="86" s="1"/>
  <c r="AC129" i="86" s="1"/>
  <c r="AC128" i="86" s="1"/>
  <c r="AC127" i="86" s="1"/>
  <c r="AC126" i="86" s="1"/>
  <c r="AC125" i="86" s="1"/>
  <c r="AC124" i="86" s="1"/>
  <c r="AC123" i="86" s="1"/>
  <c r="AC122" i="86" s="1"/>
  <c r="AC121" i="86" s="1"/>
  <c r="AC120" i="86" s="1"/>
  <c r="AC119" i="86" s="1"/>
  <c r="AC118" i="86" s="1"/>
  <c r="AC117" i="86" s="1"/>
  <c r="AC116" i="86" s="1"/>
  <c r="AC115" i="86" s="1"/>
  <c r="AC114" i="86" s="1"/>
  <c r="AC113" i="86" s="1"/>
  <c r="AC112" i="86" s="1"/>
  <c r="AC111" i="86" s="1"/>
  <c r="AC110" i="86" s="1"/>
  <c r="AC109" i="86" s="1"/>
  <c r="AC108" i="86" s="1"/>
  <c r="AC107" i="86" s="1"/>
  <c r="AC106" i="86" s="1"/>
  <c r="AC105" i="86" s="1"/>
  <c r="AC104" i="86" s="1"/>
  <c r="AC103" i="86" s="1"/>
  <c r="AC102" i="86" s="1"/>
  <c r="AC101" i="86" s="1"/>
  <c r="AC100" i="86" s="1"/>
  <c r="AC99" i="86" s="1"/>
  <c r="AC98" i="86" s="1"/>
  <c r="AC97" i="86" s="1"/>
  <c r="AC96" i="86" s="1"/>
  <c r="AC95" i="86" s="1"/>
  <c r="AC94" i="86" s="1"/>
  <c r="AC93" i="86" s="1"/>
  <c r="AC92" i="86" s="1"/>
  <c r="AC91" i="86" s="1"/>
  <c r="AC90" i="86" s="1"/>
  <c r="AC89" i="86" s="1"/>
  <c r="AC88" i="86" s="1"/>
  <c r="AC87" i="86" s="1"/>
  <c r="AC86" i="86" s="1"/>
  <c r="AC85" i="86" s="1"/>
  <c r="AC84" i="86" s="1"/>
  <c r="AC83" i="86" s="1"/>
  <c r="AC82" i="86" s="1"/>
  <c r="AC81" i="86" s="1"/>
  <c r="AC80" i="86" s="1"/>
  <c r="AC79" i="86" s="1"/>
  <c r="AC78" i="86" s="1"/>
  <c r="AC77" i="86" s="1"/>
  <c r="AC76" i="86" s="1"/>
  <c r="AC75" i="86" s="1"/>
  <c r="AC74" i="86" s="1"/>
  <c r="AC73" i="86" s="1"/>
  <c r="AC72" i="86" s="1"/>
  <c r="AC71" i="86" s="1"/>
  <c r="AC70" i="86" s="1"/>
  <c r="AC69" i="86" s="1"/>
  <c r="AC68" i="86" s="1"/>
  <c r="AC67" i="86" s="1"/>
  <c r="AC66" i="86" s="1"/>
  <c r="AC65" i="86" s="1"/>
  <c r="AC64" i="86" s="1"/>
  <c r="AC63" i="86" s="1"/>
  <c r="AC62" i="86" s="1"/>
  <c r="AC61" i="86" s="1"/>
  <c r="AC60" i="86" s="1"/>
  <c r="AC59" i="86" s="1"/>
  <c r="AC58" i="86" s="1"/>
  <c r="AC57" i="86" s="1"/>
  <c r="AC56" i="86" s="1"/>
  <c r="AC55" i="86" s="1"/>
  <c r="AC54" i="86" s="1"/>
  <c r="AC53" i="86" s="1"/>
  <c r="AC52" i="86" s="1"/>
  <c r="AC51" i="86" s="1"/>
  <c r="AC50" i="86" s="1"/>
  <c r="AC49" i="86" s="1"/>
  <c r="AC48" i="86" s="1"/>
  <c r="AC47" i="86" s="1"/>
  <c r="AC46" i="86" s="1"/>
  <c r="AC45" i="86" s="1"/>
  <c r="AC44" i="86" s="1"/>
  <c r="AC43" i="86" s="1"/>
  <c r="AC42" i="86" s="1"/>
  <c r="AC41" i="86" s="1"/>
  <c r="AC40" i="86" s="1"/>
  <c r="AC39" i="86" s="1"/>
  <c r="AC38" i="86" s="1"/>
  <c r="AC37" i="86" s="1"/>
  <c r="AC36" i="86" s="1"/>
  <c r="AC35" i="86" s="1"/>
  <c r="AC34" i="86" s="1"/>
  <c r="AC33" i="86" s="1"/>
  <c r="AC32" i="86" s="1"/>
  <c r="AC31" i="86" s="1"/>
  <c r="AC30" i="86" s="1"/>
  <c r="AC29" i="86" s="1"/>
  <c r="AC28" i="86" s="1"/>
  <c r="AC27" i="86" s="1"/>
  <c r="AC26" i="86" s="1"/>
  <c r="AC25" i="86" s="1"/>
  <c r="AC24" i="86" s="1"/>
  <c r="AC23" i="86" s="1"/>
  <c r="AC22" i="86" s="1"/>
  <c r="AC21" i="86" s="1"/>
  <c r="AC20" i="86" s="1"/>
  <c r="AC19" i="86" s="1"/>
  <c r="AC18" i="86" s="1"/>
  <c r="AC17" i="86" s="1"/>
  <c r="AC16" i="86" s="1"/>
  <c r="AC15" i="86" s="1"/>
  <c r="AC14" i="86" s="1"/>
  <c r="AC13" i="86" s="1"/>
  <c r="AC12" i="86" s="1"/>
  <c r="AC11" i="86" s="1"/>
  <c r="AC10" i="86" s="1"/>
  <c r="AC9" i="86" s="1"/>
  <c r="AC8" i="86" s="1"/>
  <c r="AC7" i="86" s="1"/>
  <c r="AC6" i="86" s="1"/>
  <c r="AC5" i="86" s="1"/>
  <c r="AA159" i="86"/>
  <c r="AA158" i="86" s="1"/>
  <c r="AA157" i="86" s="1"/>
  <c r="AA156" i="86" s="1"/>
  <c r="AA155" i="86" s="1"/>
  <c r="AA154" i="86" s="1"/>
  <c r="AA153" i="86" s="1"/>
  <c r="AA152" i="86" s="1"/>
  <c r="AA151" i="86" s="1"/>
  <c r="AA150" i="86" s="1"/>
  <c r="AA149" i="86" s="1"/>
  <c r="AA148" i="86" s="1"/>
  <c r="AA147" i="86" s="1"/>
  <c r="AA146" i="86" s="1"/>
  <c r="AA145" i="86" s="1"/>
  <c r="AA144" i="86" s="1"/>
  <c r="AA143" i="86" s="1"/>
  <c r="AA142" i="86" s="1"/>
  <c r="AA141" i="86" s="1"/>
  <c r="AA140" i="86" s="1"/>
  <c r="AA139" i="86" s="1"/>
  <c r="AA138" i="86" s="1"/>
  <c r="AA137" i="86" s="1"/>
  <c r="AA136" i="86" s="1"/>
  <c r="AA135" i="86" s="1"/>
  <c r="AA134" i="86" s="1"/>
  <c r="AA133" i="86" s="1"/>
  <c r="AA132" i="86" s="1"/>
  <c r="AA131" i="86" s="1"/>
  <c r="AA130" i="86" s="1"/>
  <c r="AA129" i="86" s="1"/>
  <c r="AA128" i="86" s="1"/>
  <c r="AA127" i="86" s="1"/>
  <c r="AA126" i="86" s="1"/>
  <c r="AA125" i="86" s="1"/>
  <c r="AA124" i="86" s="1"/>
  <c r="AA123" i="86" s="1"/>
  <c r="AA122" i="86" s="1"/>
  <c r="AA121" i="86" s="1"/>
  <c r="AA120" i="86" s="1"/>
  <c r="AA119" i="86" s="1"/>
  <c r="AA118" i="86" s="1"/>
  <c r="AA117" i="86" s="1"/>
  <c r="AA116" i="86" s="1"/>
  <c r="AA115" i="86" s="1"/>
  <c r="AA114" i="86" s="1"/>
  <c r="AA113" i="86" s="1"/>
  <c r="AA112" i="86" s="1"/>
  <c r="AA111" i="86" s="1"/>
  <c r="AA110" i="86" s="1"/>
  <c r="AA109" i="86" s="1"/>
  <c r="AA108" i="86" s="1"/>
  <c r="AA107" i="86" s="1"/>
  <c r="AA106" i="86" s="1"/>
  <c r="AA105" i="86" s="1"/>
  <c r="AA104" i="86" s="1"/>
  <c r="AA103" i="86" s="1"/>
  <c r="AA102" i="86" s="1"/>
  <c r="AA101" i="86" s="1"/>
  <c r="AA100" i="86" s="1"/>
  <c r="AA99" i="86" s="1"/>
  <c r="AA98" i="86" s="1"/>
  <c r="AA97" i="86" s="1"/>
  <c r="AA96" i="86" s="1"/>
  <c r="AA95" i="86" s="1"/>
  <c r="AA94" i="86" s="1"/>
  <c r="AA93" i="86" s="1"/>
  <c r="AA92" i="86" s="1"/>
  <c r="AA91" i="86" s="1"/>
  <c r="AA90" i="86" s="1"/>
  <c r="AA89" i="86" s="1"/>
  <c r="AA88" i="86" s="1"/>
  <c r="AA87" i="86" s="1"/>
  <c r="AA86" i="86" s="1"/>
  <c r="AA85" i="86" s="1"/>
  <c r="AA84" i="86" s="1"/>
  <c r="AA83" i="86" s="1"/>
  <c r="AA82" i="86" s="1"/>
  <c r="AA81" i="86" s="1"/>
  <c r="AA80" i="86" s="1"/>
  <c r="AA79" i="86" s="1"/>
  <c r="AA78" i="86" s="1"/>
  <c r="AA77" i="86" s="1"/>
  <c r="AA76" i="86" s="1"/>
  <c r="AA75" i="86" s="1"/>
  <c r="AA74" i="86" s="1"/>
  <c r="AA73" i="86" s="1"/>
  <c r="AA72" i="86" s="1"/>
  <c r="AA71" i="86" s="1"/>
  <c r="AA70" i="86" s="1"/>
  <c r="AA69" i="86" s="1"/>
  <c r="AA68" i="86" s="1"/>
  <c r="AA67" i="86" s="1"/>
  <c r="AA66" i="86" s="1"/>
  <c r="AA65" i="86" s="1"/>
  <c r="AA64" i="86" s="1"/>
  <c r="AA63" i="86" s="1"/>
  <c r="AA62" i="86" s="1"/>
  <c r="AA61" i="86" s="1"/>
  <c r="AA60" i="86" s="1"/>
  <c r="AA59" i="86" s="1"/>
  <c r="AA58" i="86" s="1"/>
  <c r="AA57" i="86" s="1"/>
  <c r="AA56" i="86" s="1"/>
  <c r="AA55" i="86" s="1"/>
  <c r="AA54" i="86" s="1"/>
  <c r="AA53" i="86" s="1"/>
  <c r="AA52" i="86" s="1"/>
  <c r="AA51" i="86" s="1"/>
  <c r="AA50" i="86" s="1"/>
  <c r="AA49" i="86" s="1"/>
  <c r="AA48" i="86" s="1"/>
  <c r="AA47" i="86" s="1"/>
  <c r="AA46" i="86" s="1"/>
  <c r="AA45" i="86" s="1"/>
  <c r="AA44" i="86" s="1"/>
  <c r="AA43" i="86" s="1"/>
  <c r="AA42" i="86" s="1"/>
  <c r="AA41" i="86" s="1"/>
  <c r="AA40" i="86" s="1"/>
  <c r="AA39" i="86" s="1"/>
  <c r="AA38" i="86" s="1"/>
  <c r="AA37" i="86" s="1"/>
  <c r="AA36" i="86" s="1"/>
  <c r="AA35" i="86" s="1"/>
  <c r="AA34" i="86" s="1"/>
  <c r="AA33" i="86" s="1"/>
  <c r="AA32" i="86" s="1"/>
  <c r="AA31" i="86" s="1"/>
  <c r="AA30" i="86" s="1"/>
  <c r="AA29" i="86" s="1"/>
  <c r="AA28" i="86" s="1"/>
  <c r="AA27" i="86" s="1"/>
  <c r="AA26" i="86" s="1"/>
  <c r="AA25" i="86" s="1"/>
  <c r="AA24" i="86" s="1"/>
  <c r="AA23" i="86" s="1"/>
  <c r="AA22" i="86" s="1"/>
  <c r="AA21" i="86" s="1"/>
  <c r="AA20" i="86" s="1"/>
  <c r="AA19" i="86" s="1"/>
  <c r="AA18" i="86" s="1"/>
  <c r="AA17" i="86" s="1"/>
  <c r="AA16" i="86" s="1"/>
  <c r="AA15" i="86" s="1"/>
  <c r="AA14" i="86" s="1"/>
  <c r="AA13" i="86" s="1"/>
  <c r="AA12" i="86" s="1"/>
  <c r="AA11" i="86" s="1"/>
  <c r="AA10" i="86" s="1"/>
  <c r="AA9" i="86" s="1"/>
  <c r="AA8" i="86" s="1"/>
  <c r="AA7" i="86" s="1"/>
  <c r="AA6" i="86" s="1"/>
  <c r="AA5" i="86" s="1"/>
  <c r="AD159" i="86"/>
  <c r="AD158" i="86" s="1"/>
  <c r="AD157" i="86" s="1"/>
  <c r="AD156" i="86" s="1"/>
  <c r="AD155" i="86" s="1"/>
  <c r="AD154" i="86" s="1"/>
  <c r="AD153" i="86" s="1"/>
  <c r="AD152" i="86" s="1"/>
  <c r="AD151" i="86" s="1"/>
  <c r="AD150" i="86" s="1"/>
  <c r="AD149" i="86" s="1"/>
  <c r="AD148" i="86" s="1"/>
  <c r="AD147" i="86" s="1"/>
  <c r="AD146" i="86" s="1"/>
  <c r="AD145" i="86" s="1"/>
  <c r="AD144" i="86" s="1"/>
  <c r="AD143" i="86" s="1"/>
  <c r="AD142" i="86" s="1"/>
  <c r="AD141" i="86" s="1"/>
  <c r="AD140" i="86" s="1"/>
  <c r="AD139" i="86" s="1"/>
  <c r="AD138" i="86" s="1"/>
  <c r="AD137" i="86" s="1"/>
  <c r="AD136" i="86" s="1"/>
  <c r="AD135" i="86" s="1"/>
  <c r="AD134" i="86" s="1"/>
  <c r="AD133" i="86" s="1"/>
  <c r="AD132" i="86" s="1"/>
  <c r="AD131" i="86" s="1"/>
  <c r="AD130" i="86" s="1"/>
  <c r="AD129" i="86" s="1"/>
  <c r="AD128" i="86" s="1"/>
  <c r="AD127" i="86" s="1"/>
  <c r="AD126" i="86" s="1"/>
  <c r="AD125" i="86" s="1"/>
  <c r="AD124" i="86" s="1"/>
  <c r="AD123" i="86" s="1"/>
  <c r="AD122" i="86" s="1"/>
  <c r="AD121" i="86" s="1"/>
  <c r="AD120" i="86" s="1"/>
  <c r="AD119" i="86" s="1"/>
  <c r="AD118" i="86" s="1"/>
  <c r="AD117" i="86" s="1"/>
  <c r="AD116" i="86" s="1"/>
  <c r="AD115" i="86" s="1"/>
  <c r="AD114" i="86" s="1"/>
  <c r="AD113" i="86" s="1"/>
  <c r="AD112" i="86" s="1"/>
  <c r="AD111" i="86" s="1"/>
  <c r="AD110" i="86" s="1"/>
  <c r="AD109" i="86" s="1"/>
  <c r="AD108" i="86" s="1"/>
  <c r="AD107" i="86" s="1"/>
  <c r="AD106" i="86" s="1"/>
  <c r="AD105" i="86" s="1"/>
  <c r="AD104" i="86" s="1"/>
  <c r="AD103" i="86" s="1"/>
  <c r="AD102" i="86" s="1"/>
  <c r="AD101" i="86" s="1"/>
  <c r="AD100" i="86" s="1"/>
  <c r="AD99" i="86" s="1"/>
  <c r="AD98" i="86" s="1"/>
  <c r="AD97" i="86" s="1"/>
  <c r="AD96" i="86" s="1"/>
  <c r="AD95" i="86" s="1"/>
  <c r="AD94" i="86" s="1"/>
  <c r="AD93" i="86" s="1"/>
  <c r="AD92" i="86" s="1"/>
  <c r="AD91" i="86" s="1"/>
  <c r="AD90" i="86" s="1"/>
  <c r="AD89" i="86" s="1"/>
  <c r="AD88" i="86" s="1"/>
  <c r="AD87" i="86" s="1"/>
  <c r="AD86" i="86" s="1"/>
  <c r="AD85" i="86" s="1"/>
  <c r="AD84" i="86" s="1"/>
  <c r="AD83" i="86" s="1"/>
  <c r="AD82" i="86" s="1"/>
  <c r="AD81" i="86" s="1"/>
  <c r="AD80" i="86" s="1"/>
  <c r="AD79" i="86" s="1"/>
  <c r="AD78" i="86" s="1"/>
  <c r="AD77" i="86" s="1"/>
  <c r="AD76" i="86" s="1"/>
  <c r="AD75" i="86" s="1"/>
  <c r="AD74" i="86" s="1"/>
  <c r="AD73" i="86" s="1"/>
  <c r="AD72" i="86" s="1"/>
  <c r="AD71" i="86" s="1"/>
  <c r="AD70" i="86" s="1"/>
  <c r="AD69" i="86" s="1"/>
  <c r="AD68" i="86" s="1"/>
  <c r="AD67" i="86" s="1"/>
  <c r="AD66" i="86" s="1"/>
  <c r="AD65" i="86" s="1"/>
  <c r="AD64" i="86" s="1"/>
  <c r="AD63" i="86" s="1"/>
  <c r="AD62" i="86" s="1"/>
  <c r="AD61" i="86" s="1"/>
  <c r="AD60" i="86" s="1"/>
  <c r="AD59" i="86" s="1"/>
  <c r="AD58" i="86" s="1"/>
  <c r="AD57" i="86" s="1"/>
  <c r="AD56" i="86" s="1"/>
  <c r="AD55" i="86" s="1"/>
  <c r="AD54" i="86" s="1"/>
  <c r="AD53" i="86" s="1"/>
  <c r="AD52" i="86" s="1"/>
  <c r="AD51" i="86" s="1"/>
  <c r="AD50" i="86" s="1"/>
  <c r="AD49" i="86" s="1"/>
  <c r="AD48" i="86" s="1"/>
  <c r="AD47" i="86" s="1"/>
  <c r="AD46" i="86" s="1"/>
  <c r="AD45" i="86" s="1"/>
  <c r="AD44" i="86" s="1"/>
  <c r="AD43" i="86" s="1"/>
  <c r="AD42" i="86" s="1"/>
  <c r="AD41" i="86" s="1"/>
  <c r="AD40" i="86" s="1"/>
  <c r="AD39" i="86" s="1"/>
  <c r="AD38" i="86" s="1"/>
  <c r="AD37" i="86" s="1"/>
  <c r="AD36" i="86" s="1"/>
  <c r="AD35" i="86" s="1"/>
  <c r="AD34" i="86" s="1"/>
  <c r="AD33" i="86" s="1"/>
  <c r="AD32" i="86" s="1"/>
  <c r="AD31" i="86" s="1"/>
  <c r="AD30" i="86" s="1"/>
  <c r="AD29" i="86" s="1"/>
  <c r="AD28" i="86" s="1"/>
  <c r="AD27" i="86" s="1"/>
  <c r="AD26" i="86" s="1"/>
  <c r="AD25" i="86" s="1"/>
  <c r="AD24" i="86" s="1"/>
  <c r="AD23" i="86" s="1"/>
  <c r="AD22" i="86" s="1"/>
  <c r="AD21" i="86" s="1"/>
  <c r="AD20" i="86" s="1"/>
  <c r="AD19" i="86" s="1"/>
  <c r="AD18" i="86" s="1"/>
  <c r="AD17" i="86" s="1"/>
  <c r="AD16" i="86" s="1"/>
  <c r="AD15" i="86" s="1"/>
  <c r="AD14" i="86" s="1"/>
  <c r="AD13" i="86" s="1"/>
  <c r="AD12" i="86" s="1"/>
  <c r="AD11" i="86" s="1"/>
  <c r="AD10" i="86" s="1"/>
  <c r="AD9" i="86" s="1"/>
  <c r="AD8" i="86" s="1"/>
  <c r="AD7" i="86" s="1"/>
  <c r="AD6" i="86" s="1"/>
  <c r="AD5" i="86" s="1"/>
  <c r="AB159" i="86"/>
  <c r="AB158" i="86" s="1"/>
  <c r="AB157" i="86" s="1"/>
  <c r="AB156" i="86" s="1"/>
  <c r="AB155" i="86" s="1"/>
  <c r="AB154" i="86" s="1"/>
  <c r="AB153" i="86" s="1"/>
  <c r="AB152" i="86" s="1"/>
  <c r="AB151" i="86" s="1"/>
  <c r="AB150" i="86" s="1"/>
  <c r="AB149" i="86" s="1"/>
  <c r="AB148" i="86" s="1"/>
  <c r="AB147" i="86" s="1"/>
  <c r="AB146" i="86" s="1"/>
  <c r="AB145" i="86" s="1"/>
  <c r="AB144" i="86" s="1"/>
  <c r="AB143" i="86" s="1"/>
  <c r="AB142" i="86" s="1"/>
  <c r="AB141" i="86" s="1"/>
  <c r="AB140" i="86" s="1"/>
  <c r="AB139" i="86" s="1"/>
  <c r="AB138" i="86" s="1"/>
  <c r="AB137" i="86" s="1"/>
  <c r="AB136" i="86" s="1"/>
  <c r="AB135" i="86" s="1"/>
  <c r="AB134" i="86" s="1"/>
  <c r="AB133" i="86" s="1"/>
  <c r="AB132" i="86" s="1"/>
  <c r="AB131" i="86" s="1"/>
  <c r="AB130" i="86" s="1"/>
  <c r="AB129" i="86" s="1"/>
  <c r="AB128" i="86" s="1"/>
  <c r="AB127" i="86" s="1"/>
  <c r="AB126" i="86" s="1"/>
  <c r="AB125" i="86" s="1"/>
  <c r="AB124" i="86" s="1"/>
  <c r="AB123" i="86" s="1"/>
  <c r="AB122" i="86" s="1"/>
  <c r="AB121" i="86" s="1"/>
  <c r="AB120" i="86" s="1"/>
  <c r="AB119" i="86" s="1"/>
  <c r="AB118" i="86" s="1"/>
  <c r="AB117" i="86" s="1"/>
  <c r="AB116" i="86" s="1"/>
  <c r="AB115" i="86" s="1"/>
  <c r="AB114" i="86" s="1"/>
  <c r="AB113" i="86" s="1"/>
  <c r="AB112" i="86" s="1"/>
  <c r="AB111" i="86" s="1"/>
  <c r="AB110" i="86" s="1"/>
  <c r="AB109" i="86" s="1"/>
  <c r="AB108" i="86" s="1"/>
  <c r="AB107" i="86" s="1"/>
  <c r="AB106" i="86" s="1"/>
  <c r="AB105" i="86" s="1"/>
  <c r="AB104" i="86" s="1"/>
  <c r="AB103" i="86" s="1"/>
  <c r="AB102" i="86" s="1"/>
  <c r="AB101" i="86" s="1"/>
  <c r="AB100" i="86" s="1"/>
  <c r="AB99" i="86" s="1"/>
  <c r="AB98" i="86" s="1"/>
  <c r="AB97" i="86" s="1"/>
  <c r="AB96" i="86" s="1"/>
  <c r="AB95" i="86" s="1"/>
  <c r="AB94" i="86" s="1"/>
  <c r="AB93" i="86" s="1"/>
  <c r="AB92" i="86" s="1"/>
  <c r="AB91" i="86" s="1"/>
  <c r="AB90" i="86" s="1"/>
  <c r="AB89" i="86" s="1"/>
  <c r="AB88" i="86" s="1"/>
  <c r="AB87" i="86" s="1"/>
  <c r="AB86" i="86" s="1"/>
  <c r="AB85" i="86" s="1"/>
  <c r="AB84" i="86" s="1"/>
  <c r="AB83" i="86" s="1"/>
  <c r="AB82" i="86" s="1"/>
  <c r="AB81" i="86" s="1"/>
  <c r="AB80" i="86" s="1"/>
  <c r="AB79" i="86" s="1"/>
  <c r="AB78" i="86" s="1"/>
  <c r="AB77" i="86" s="1"/>
  <c r="AB76" i="86" s="1"/>
  <c r="AB75" i="86" s="1"/>
  <c r="AB74" i="86" s="1"/>
  <c r="AB73" i="86" s="1"/>
  <c r="AB72" i="86" s="1"/>
  <c r="AB71" i="86" s="1"/>
  <c r="AB70" i="86" s="1"/>
  <c r="AB69" i="86" s="1"/>
  <c r="AB68" i="86" s="1"/>
  <c r="AB67" i="86" s="1"/>
  <c r="AB66" i="86" s="1"/>
  <c r="AB65" i="86" s="1"/>
  <c r="AB64" i="86" s="1"/>
  <c r="AB63" i="86" s="1"/>
  <c r="AB62" i="86" s="1"/>
  <c r="AB61" i="86" s="1"/>
  <c r="AB60" i="86" s="1"/>
  <c r="AB59" i="86" s="1"/>
  <c r="AB58" i="86" s="1"/>
  <c r="AB57" i="86" s="1"/>
  <c r="AB56" i="86" s="1"/>
  <c r="AB55" i="86" s="1"/>
  <c r="AB54" i="86" s="1"/>
  <c r="AB53" i="86" s="1"/>
  <c r="AB52" i="86" s="1"/>
  <c r="AB51" i="86" s="1"/>
  <c r="AB50" i="86" s="1"/>
  <c r="AB49" i="86" s="1"/>
  <c r="AB48" i="86" s="1"/>
  <c r="AB47" i="86" s="1"/>
  <c r="AB46" i="86" s="1"/>
  <c r="AB45" i="86" s="1"/>
  <c r="AB44" i="86" s="1"/>
  <c r="AB43" i="86" s="1"/>
  <c r="AB42" i="86" s="1"/>
  <c r="AB41" i="86" s="1"/>
  <c r="AB40" i="86" s="1"/>
  <c r="AB39" i="86" s="1"/>
  <c r="AB38" i="86" s="1"/>
  <c r="AB37" i="86" s="1"/>
  <c r="AB36" i="86" s="1"/>
  <c r="AB35" i="86" s="1"/>
  <c r="AB34" i="86" s="1"/>
  <c r="AB33" i="86" s="1"/>
  <c r="AB32" i="86" s="1"/>
  <c r="AB31" i="86" s="1"/>
  <c r="AB30" i="86" s="1"/>
  <c r="AB29" i="86" s="1"/>
  <c r="AB28" i="86" s="1"/>
  <c r="AB27" i="86" s="1"/>
  <c r="AB26" i="86" s="1"/>
  <c r="AB25" i="86" s="1"/>
  <c r="AB24" i="86" s="1"/>
  <c r="AB23" i="86" s="1"/>
  <c r="AB22" i="86" s="1"/>
  <c r="AB21" i="86" s="1"/>
  <c r="AB20" i="86" s="1"/>
  <c r="AB19" i="86" s="1"/>
  <c r="AB18" i="86" s="1"/>
  <c r="AB17" i="86" s="1"/>
  <c r="AB16" i="86" s="1"/>
  <c r="AB15" i="86" s="1"/>
  <c r="AB14" i="86" s="1"/>
  <c r="AB13" i="86" s="1"/>
  <c r="AB12" i="86" s="1"/>
  <c r="AB11" i="86" s="1"/>
  <c r="AB10" i="86" s="1"/>
  <c r="AB9" i="86" s="1"/>
  <c r="AB8" i="86" s="1"/>
  <c r="AB7" i="86" s="1"/>
  <c r="AB6" i="86" s="1"/>
  <c r="AB5" i="86" s="1"/>
  <c r="Z159" i="86"/>
  <c r="Z158" i="86" s="1"/>
  <c r="Z157" i="86" s="1"/>
  <c r="Z156" i="86" s="1"/>
  <c r="Z155" i="86" s="1"/>
  <c r="Z154" i="86" s="1"/>
  <c r="Z153" i="86" s="1"/>
  <c r="Z152" i="86" s="1"/>
  <c r="Z151" i="86" s="1"/>
  <c r="Z150" i="86" s="1"/>
  <c r="Z149" i="86" s="1"/>
  <c r="Z148" i="86" s="1"/>
  <c r="Z147" i="86" s="1"/>
  <c r="Z146" i="86" s="1"/>
  <c r="Z145" i="86" s="1"/>
  <c r="Z144" i="86" s="1"/>
  <c r="Z143" i="86" s="1"/>
  <c r="Z142" i="86" s="1"/>
  <c r="Z141" i="86" s="1"/>
  <c r="Z140" i="86" s="1"/>
  <c r="Z139" i="86" s="1"/>
  <c r="Z138" i="86" s="1"/>
  <c r="Z137" i="86" s="1"/>
  <c r="Z136" i="86" s="1"/>
  <c r="Z135" i="86" s="1"/>
  <c r="Z134" i="86" s="1"/>
  <c r="Z133" i="86" s="1"/>
  <c r="Z132" i="86" s="1"/>
  <c r="Z131" i="86" s="1"/>
  <c r="Z130" i="86" s="1"/>
  <c r="Z129" i="86" s="1"/>
  <c r="Z128" i="86" s="1"/>
  <c r="Z127" i="86" s="1"/>
  <c r="Z126" i="86" s="1"/>
  <c r="Z125" i="86" s="1"/>
  <c r="Z124" i="86" s="1"/>
  <c r="Z123" i="86" s="1"/>
  <c r="Z122" i="86" s="1"/>
  <c r="Z121" i="86" s="1"/>
  <c r="Z120" i="86" s="1"/>
  <c r="Z119" i="86" s="1"/>
  <c r="Z118" i="86" s="1"/>
  <c r="Z117" i="86" s="1"/>
  <c r="Z116" i="86" s="1"/>
  <c r="Z115" i="86" s="1"/>
  <c r="Z114" i="86" s="1"/>
  <c r="Z113" i="86" s="1"/>
  <c r="Z112" i="86" s="1"/>
  <c r="Z111" i="86" s="1"/>
  <c r="Z110" i="86" s="1"/>
  <c r="Z109" i="86" s="1"/>
  <c r="Z108" i="86" s="1"/>
  <c r="Z107" i="86" s="1"/>
  <c r="Z106" i="86" s="1"/>
  <c r="Z105" i="86" s="1"/>
  <c r="Z104" i="86" s="1"/>
  <c r="Z103" i="86" s="1"/>
  <c r="Z102" i="86" s="1"/>
  <c r="Z101" i="86" s="1"/>
  <c r="Z100" i="86" s="1"/>
  <c r="Z99" i="86" s="1"/>
  <c r="Z98" i="86" s="1"/>
  <c r="Z97" i="86" s="1"/>
  <c r="Z96" i="86" s="1"/>
  <c r="Z95" i="86" s="1"/>
  <c r="Z94" i="86" s="1"/>
  <c r="Z93" i="86" s="1"/>
  <c r="Z92" i="86" s="1"/>
  <c r="Z91" i="86" s="1"/>
  <c r="Z90" i="86" s="1"/>
  <c r="Z89" i="86" s="1"/>
  <c r="Z88" i="86" s="1"/>
  <c r="Z87" i="86" s="1"/>
  <c r="Z86" i="86" s="1"/>
  <c r="Z85" i="86" s="1"/>
  <c r="Z84" i="86" s="1"/>
  <c r="Z83" i="86" s="1"/>
  <c r="Z82" i="86" s="1"/>
  <c r="Z81" i="86" s="1"/>
  <c r="Z80" i="86" s="1"/>
  <c r="Z79" i="86" s="1"/>
  <c r="Z78" i="86" s="1"/>
  <c r="Z77" i="86" s="1"/>
  <c r="Z76" i="86" s="1"/>
  <c r="Z75" i="86" s="1"/>
  <c r="Z74" i="86" s="1"/>
  <c r="Z73" i="86" s="1"/>
  <c r="Z72" i="86" s="1"/>
  <c r="Z71" i="86" s="1"/>
  <c r="Z70" i="86" s="1"/>
  <c r="Z69" i="86" s="1"/>
  <c r="Z68" i="86" s="1"/>
  <c r="Z67" i="86" s="1"/>
  <c r="Z66" i="86" s="1"/>
  <c r="Z65" i="86" s="1"/>
  <c r="Z64" i="86" s="1"/>
  <c r="Z63" i="86" s="1"/>
  <c r="Z62" i="86" s="1"/>
  <c r="Z61" i="86" s="1"/>
  <c r="Z60" i="86" s="1"/>
  <c r="Z59" i="86" s="1"/>
  <c r="Z58" i="86" s="1"/>
  <c r="Z57" i="86" s="1"/>
  <c r="Z56" i="86" s="1"/>
  <c r="Z55" i="86" s="1"/>
  <c r="Z54" i="86" s="1"/>
  <c r="Z53" i="86" s="1"/>
  <c r="Z52" i="86" s="1"/>
  <c r="Z51" i="86" s="1"/>
  <c r="Z50" i="86" s="1"/>
  <c r="Z49" i="86" s="1"/>
  <c r="Z48" i="86" s="1"/>
  <c r="Z47" i="86" s="1"/>
  <c r="Z46" i="86" s="1"/>
  <c r="Z45" i="86" s="1"/>
  <c r="Z44" i="86" s="1"/>
  <c r="Z43" i="86" s="1"/>
  <c r="Z42" i="86" s="1"/>
  <c r="Z41" i="86" s="1"/>
  <c r="Z40" i="86" s="1"/>
  <c r="Z39" i="86" s="1"/>
  <c r="Z38" i="86" s="1"/>
  <c r="Z37" i="86" s="1"/>
  <c r="Z36" i="86" s="1"/>
  <c r="Z35" i="86" s="1"/>
  <c r="Z34" i="86" s="1"/>
  <c r="Z33" i="86" s="1"/>
  <c r="Z32" i="86" s="1"/>
  <c r="Z31" i="86" s="1"/>
  <c r="Z30" i="86" s="1"/>
  <c r="Z29" i="86" s="1"/>
  <c r="Z28" i="86" s="1"/>
  <c r="Z27" i="86" s="1"/>
  <c r="Z26" i="86" s="1"/>
  <c r="Z25" i="86" s="1"/>
  <c r="Z24" i="86" s="1"/>
  <c r="Z23" i="86" s="1"/>
  <c r="Z22" i="86" s="1"/>
  <c r="Z21" i="86" s="1"/>
  <c r="Z20" i="86" s="1"/>
  <c r="Z19" i="86" s="1"/>
  <c r="Z18" i="86" s="1"/>
  <c r="Z17" i="86" s="1"/>
  <c r="Z16" i="86" s="1"/>
  <c r="Z15" i="86" s="1"/>
  <c r="Z14" i="86" s="1"/>
  <c r="Z13" i="86" s="1"/>
  <c r="Z12" i="86" s="1"/>
  <c r="Z11" i="86" s="1"/>
  <c r="Z10" i="86" s="1"/>
  <c r="Z9" i="86" s="1"/>
  <c r="Z8" i="86" s="1"/>
  <c r="Z7" i="86" s="1"/>
  <c r="Z6" i="86" s="1"/>
  <c r="Z5" i="86" s="1"/>
  <c r="I160" i="86" l="1"/>
  <c r="Q160" i="86" s="1"/>
  <c r="B162" i="86"/>
  <c r="I162" i="86" s="1"/>
  <c r="Q162" i="86" s="1"/>
  <c r="I161" i="86"/>
  <c r="Q161" i="86" s="1"/>
  <c r="C346" i="66"/>
  <c r="AG159" i="86"/>
  <c r="AH159" i="86"/>
  <c r="AK159" i="86"/>
  <c r="AI159" i="86"/>
  <c r="AJ159" i="86"/>
  <c r="AM158" i="86"/>
  <c r="D153" i="86"/>
  <c r="D152" i="86" s="1"/>
  <c r="D151" i="86" s="1"/>
  <c r="D150" i="86" s="1"/>
  <c r="D149" i="86" s="1"/>
  <c r="D148" i="86" s="1"/>
  <c r="D147" i="86" s="1"/>
  <c r="D146" i="86" s="1"/>
  <c r="D145" i="86" s="1"/>
  <c r="D144" i="86" s="1"/>
  <c r="D143" i="86" s="1"/>
  <c r="D142" i="86" s="1"/>
  <c r="D141" i="86" s="1"/>
  <c r="D140" i="86" s="1"/>
  <c r="D139" i="86" s="1"/>
  <c r="D138" i="86" s="1"/>
  <c r="D137" i="86" s="1"/>
  <c r="D136" i="86" s="1"/>
  <c r="D135" i="86" s="1"/>
  <c r="D134" i="86" s="1"/>
  <c r="D133" i="86" s="1"/>
  <c r="D132" i="86" s="1"/>
  <c r="D131" i="86" s="1"/>
  <c r="D130" i="86" s="1"/>
  <c r="D129" i="86" s="1"/>
  <c r="D128" i="86" s="1"/>
  <c r="D127" i="86" s="1"/>
  <c r="D126" i="86" s="1"/>
  <c r="D125" i="86" s="1"/>
  <c r="D124" i="86" s="1"/>
  <c r="D123" i="86" s="1"/>
  <c r="D122" i="86" s="1"/>
  <c r="D121" i="86" s="1"/>
  <c r="D120" i="86" s="1"/>
  <c r="D119" i="86" s="1"/>
  <c r="D118" i="86" s="1"/>
  <c r="D117" i="86" s="1"/>
  <c r="D116" i="86" s="1"/>
  <c r="D115" i="86" s="1"/>
  <c r="D114" i="86" s="1"/>
  <c r="D113" i="86" s="1"/>
  <c r="D112" i="86" s="1"/>
  <c r="D111" i="86" s="1"/>
  <c r="D110" i="86" s="1"/>
  <c r="D109" i="86" s="1"/>
  <c r="D108" i="86" s="1"/>
  <c r="D107" i="86" s="1"/>
  <c r="D106" i="86" s="1"/>
  <c r="D105" i="86" s="1"/>
  <c r="D104" i="86" s="1"/>
  <c r="D103" i="86" s="1"/>
  <c r="D102" i="86" s="1"/>
  <c r="D101" i="86" s="1"/>
  <c r="D100" i="86" s="1"/>
  <c r="D99" i="86" s="1"/>
  <c r="D98" i="86" s="1"/>
  <c r="D97" i="86" s="1"/>
  <c r="D96" i="86" s="1"/>
  <c r="D95" i="86" s="1"/>
  <c r="D94" i="86" s="1"/>
  <c r="D93" i="86" s="1"/>
  <c r="D92" i="86" s="1"/>
  <c r="D91" i="86" s="1"/>
  <c r="D90" i="86" s="1"/>
  <c r="D89" i="86" s="1"/>
  <c r="D88" i="86" s="1"/>
  <c r="D87" i="86" s="1"/>
  <c r="D86" i="86" s="1"/>
  <c r="D85" i="86" s="1"/>
  <c r="D84" i="86" s="1"/>
  <c r="D83" i="86" s="1"/>
  <c r="D82" i="86" s="1"/>
  <c r="D81" i="86" s="1"/>
  <c r="D80" i="86" s="1"/>
  <c r="D79" i="86" s="1"/>
  <c r="D78" i="86" s="1"/>
  <c r="D77" i="86" s="1"/>
  <c r="D76" i="86" s="1"/>
  <c r="D75" i="86" s="1"/>
  <c r="D74" i="86" s="1"/>
  <c r="D73" i="86" s="1"/>
  <c r="D72" i="86" s="1"/>
  <c r="D71" i="86" s="1"/>
  <c r="D70" i="86" s="1"/>
  <c r="D69" i="86" s="1"/>
  <c r="D68" i="86" s="1"/>
  <c r="D67" i="86" s="1"/>
  <c r="D66" i="86" s="1"/>
  <c r="D65" i="86" s="1"/>
  <c r="D64" i="86" s="1"/>
  <c r="D63" i="86" s="1"/>
  <c r="D62" i="86" s="1"/>
  <c r="D61" i="86" s="1"/>
  <c r="D60" i="86" s="1"/>
  <c r="D59" i="86" s="1"/>
  <c r="D58" i="86" s="1"/>
  <c r="D57" i="86" s="1"/>
  <c r="D56" i="86" s="1"/>
  <c r="D55" i="86" s="1"/>
  <c r="D54" i="86" s="1"/>
  <c r="D53" i="86" s="1"/>
  <c r="D52" i="86" s="1"/>
  <c r="D51" i="86" s="1"/>
  <c r="D50" i="86" s="1"/>
  <c r="D49" i="86" s="1"/>
  <c r="D48" i="86" s="1"/>
  <c r="D47" i="86" s="1"/>
  <c r="D46" i="86" s="1"/>
  <c r="D45" i="86" s="1"/>
  <c r="D44" i="86" s="1"/>
  <c r="D43" i="86" s="1"/>
  <c r="D42" i="86" s="1"/>
  <c r="D41" i="86" s="1"/>
  <c r="D40" i="86" s="1"/>
  <c r="D39" i="86" s="1"/>
  <c r="D38" i="86" s="1"/>
  <c r="D37" i="86" s="1"/>
  <c r="D36" i="86" s="1"/>
  <c r="D35" i="86" s="1"/>
  <c r="D34" i="86" s="1"/>
  <c r="D33" i="86" s="1"/>
  <c r="D32" i="86" s="1"/>
  <c r="D31" i="86" s="1"/>
  <c r="D30" i="86" s="1"/>
  <c r="D29" i="86" s="1"/>
  <c r="D28" i="86" s="1"/>
  <c r="D27" i="86" s="1"/>
  <c r="D26" i="86" s="1"/>
  <c r="D25" i="86" s="1"/>
  <c r="D24" i="86" s="1"/>
  <c r="D23" i="86" s="1"/>
  <c r="D22" i="86" s="1"/>
  <c r="D21" i="86" s="1"/>
  <c r="D20" i="86" s="1"/>
  <c r="D19" i="86" s="1"/>
  <c r="D18" i="86" s="1"/>
  <c r="D17" i="86" s="1"/>
  <c r="D16" i="86" s="1"/>
  <c r="D15" i="86" s="1"/>
  <c r="D14" i="86" s="1"/>
  <c r="D13" i="86" s="1"/>
  <c r="D12" i="86" s="1"/>
  <c r="D11" i="86" s="1"/>
  <c r="D10" i="86" s="1"/>
  <c r="D9" i="86" s="1"/>
  <c r="D8" i="86" s="1"/>
  <c r="D7" i="86" s="1"/>
  <c r="D6" i="86" s="1"/>
  <c r="D5" i="86" s="1"/>
  <c r="C347" i="66" l="1"/>
  <c r="AK158" i="86"/>
  <c r="AH158" i="86"/>
  <c r="AG158" i="86"/>
  <c r="AI158" i="86"/>
  <c r="AJ158" i="86"/>
  <c r="AM159" i="86"/>
  <c r="K153" i="86"/>
  <c r="K152" i="86" s="1"/>
  <c r="K151" i="86" s="1"/>
  <c r="K150" i="86" s="1"/>
  <c r="K149" i="86" s="1"/>
  <c r="K148" i="86" s="1"/>
  <c r="K147" i="86" s="1"/>
  <c r="K146" i="86" s="1"/>
  <c r="K145" i="86" s="1"/>
  <c r="K144" i="86" s="1"/>
  <c r="K143" i="86" s="1"/>
  <c r="K142" i="86" s="1"/>
  <c r="K141" i="86" s="1"/>
  <c r="K140" i="86" s="1"/>
  <c r="K139" i="86" s="1"/>
  <c r="K138" i="86" s="1"/>
  <c r="K137" i="86" s="1"/>
  <c r="K136" i="86" s="1"/>
  <c r="K135" i="86" s="1"/>
  <c r="K134" i="86" s="1"/>
  <c r="K133" i="86" s="1"/>
  <c r="K132" i="86" s="1"/>
  <c r="K131" i="86" s="1"/>
  <c r="K130" i="86" s="1"/>
  <c r="K129" i="86" s="1"/>
  <c r="K128" i="86" s="1"/>
  <c r="K127" i="86" s="1"/>
  <c r="K126" i="86" s="1"/>
  <c r="K125" i="86" s="1"/>
  <c r="K124" i="86" s="1"/>
  <c r="K123" i="86" s="1"/>
  <c r="K122" i="86" s="1"/>
  <c r="K121" i="86" s="1"/>
  <c r="K120" i="86" s="1"/>
  <c r="K119" i="86" s="1"/>
  <c r="K118" i="86" s="1"/>
  <c r="K117" i="86" s="1"/>
  <c r="K116" i="86" s="1"/>
  <c r="K115" i="86" s="1"/>
  <c r="K114" i="86" s="1"/>
  <c r="K113" i="86" s="1"/>
  <c r="K112" i="86" s="1"/>
  <c r="K111" i="86" s="1"/>
  <c r="K110" i="86" s="1"/>
  <c r="K109" i="86" s="1"/>
  <c r="K108" i="86" s="1"/>
  <c r="K107" i="86" s="1"/>
  <c r="K106" i="86" s="1"/>
  <c r="K105" i="86" s="1"/>
  <c r="K104" i="86" s="1"/>
  <c r="K103" i="86" s="1"/>
  <c r="K102" i="86" s="1"/>
  <c r="K101" i="86" s="1"/>
  <c r="K100" i="86" s="1"/>
  <c r="K99" i="86" s="1"/>
  <c r="K98" i="86" s="1"/>
  <c r="K97" i="86" s="1"/>
  <c r="K96" i="86" s="1"/>
  <c r="K95" i="86" s="1"/>
  <c r="K94" i="86" s="1"/>
  <c r="K93" i="86" s="1"/>
  <c r="K92" i="86" s="1"/>
  <c r="K91" i="86" s="1"/>
  <c r="K90" i="86" s="1"/>
  <c r="K89" i="86" s="1"/>
  <c r="K88" i="86" s="1"/>
  <c r="K87" i="86" s="1"/>
  <c r="K86" i="86" s="1"/>
  <c r="K85" i="86" s="1"/>
  <c r="K84" i="86" s="1"/>
  <c r="K83" i="86" s="1"/>
  <c r="K82" i="86" s="1"/>
  <c r="K81" i="86" s="1"/>
  <c r="K80" i="86" s="1"/>
  <c r="K79" i="86" s="1"/>
  <c r="K78" i="86" s="1"/>
  <c r="K77" i="86" s="1"/>
  <c r="K76" i="86" s="1"/>
  <c r="K75" i="86" s="1"/>
  <c r="K74" i="86" s="1"/>
  <c r="K73" i="86" s="1"/>
  <c r="K72" i="86" s="1"/>
  <c r="K71" i="86" s="1"/>
  <c r="K70" i="86" s="1"/>
  <c r="K69" i="86" s="1"/>
  <c r="K68" i="86" s="1"/>
  <c r="K67" i="86" s="1"/>
  <c r="K66" i="86" s="1"/>
  <c r="K65" i="86" s="1"/>
  <c r="K64" i="86" s="1"/>
  <c r="K63" i="86" s="1"/>
  <c r="K62" i="86" s="1"/>
  <c r="K61" i="86" s="1"/>
  <c r="K60" i="86" s="1"/>
  <c r="K59" i="86" s="1"/>
  <c r="K58" i="86" s="1"/>
  <c r="K57" i="86" s="1"/>
  <c r="K56" i="86" s="1"/>
  <c r="K55" i="86" s="1"/>
  <c r="K54" i="86" s="1"/>
  <c r="K53" i="86" s="1"/>
  <c r="K52" i="86" s="1"/>
  <c r="K51" i="86" s="1"/>
  <c r="K50" i="86" s="1"/>
  <c r="K49" i="86" s="1"/>
  <c r="K48" i="86" s="1"/>
  <c r="K47" i="86" s="1"/>
  <c r="K46" i="86" s="1"/>
  <c r="K45" i="86" s="1"/>
  <c r="K44" i="86" s="1"/>
  <c r="K43" i="86" s="1"/>
  <c r="K42" i="86" s="1"/>
  <c r="K41" i="86" s="1"/>
  <c r="K40" i="86" s="1"/>
  <c r="K39" i="86" s="1"/>
  <c r="K38" i="86" s="1"/>
  <c r="K37" i="86" s="1"/>
  <c r="K36" i="86" s="1"/>
  <c r="K35" i="86" s="1"/>
  <c r="K34" i="86" s="1"/>
  <c r="K33" i="86" s="1"/>
  <c r="K32" i="86" s="1"/>
  <c r="K31" i="86" s="1"/>
  <c r="K30" i="86" s="1"/>
  <c r="K29" i="86" s="1"/>
  <c r="K28" i="86" s="1"/>
  <c r="K27" i="86" s="1"/>
  <c r="K26" i="86" s="1"/>
  <c r="K25" i="86" s="1"/>
  <c r="K24" i="86" s="1"/>
  <c r="K23" i="86" s="1"/>
  <c r="K22" i="86" s="1"/>
  <c r="K21" i="86" s="1"/>
  <c r="K20" i="86" s="1"/>
  <c r="K19" i="86" s="1"/>
  <c r="K18" i="86" s="1"/>
  <c r="K17" i="86" s="1"/>
  <c r="K16" i="86" s="1"/>
  <c r="K15" i="86" s="1"/>
  <c r="K14" i="86" s="1"/>
  <c r="K13" i="86" s="1"/>
  <c r="K12" i="86" s="1"/>
  <c r="K11" i="86" s="1"/>
  <c r="K10" i="86" s="1"/>
  <c r="K9" i="86" s="1"/>
  <c r="K8" i="86" s="1"/>
  <c r="K7" i="86" s="1"/>
  <c r="K6" i="86" s="1"/>
  <c r="K5" i="86" s="1"/>
  <c r="C348" i="66" l="1"/>
  <c r="AG157" i="86"/>
  <c r="AJ157" i="86"/>
  <c r="AH157" i="86"/>
  <c r="AK157" i="86"/>
  <c r="AI157" i="86"/>
  <c r="AM160" i="86"/>
  <c r="Y159" i="86" l="1"/>
  <c r="AF159" i="86" s="1"/>
  <c r="C349" i="66"/>
  <c r="AH156" i="86"/>
  <c r="AJ156" i="86"/>
  <c r="AK156" i="86"/>
  <c r="AG156" i="86"/>
  <c r="AI156" i="86"/>
  <c r="AM161" i="86"/>
  <c r="Y158" i="86" l="1"/>
  <c r="AF158" i="86" s="1"/>
  <c r="C350" i="66"/>
  <c r="AI155" i="86"/>
  <c r="AG155" i="86"/>
  <c r="AK155" i="86"/>
  <c r="AJ155" i="86"/>
  <c r="AH155" i="86"/>
  <c r="AM162" i="86"/>
  <c r="Y157" i="86" l="1"/>
  <c r="AF157" i="86" s="1"/>
  <c r="C351" i="66"/>
  <c r="AH154" i="86"/>
  <c r="AK154" i="86"/>
  <c r="AG154" i="86"/>
  <c r="AI154" i="86"/>
  <c r="AJ154" i="86"/>
  <c r="AM163" i="86"/>
  <c r="Y156" i="86" l="1"/>
  <c r="AF156" i="86" s="1"/>
  <c r="C352" i="66"/>
  <c r="AK153" i="86"/>
  <c r="AH153" i="86"/>
  <c r="AI153" i="86"/>
  <c r="AG153" i="86"/>
  <c r="AJ153" i="86"/>
  <c r="AM164" i="86"/>
  <c r="Y155" i="86" l="1"/>
  <c r="AF155" i="86" s="1"/>
  <c r="C353" i="66"/>
  <c r="AI152" i="86"/>
  <c r="AH152" i="86"/>
  <c r="AG152" i="86"/>
  <c r="AK152" i="86"/>
  <c r="AJ152" i="86"/>
  <c r="AM165" i="86"/>
  <c r="Y154" i="86" l="1"/>
  <c r="AF154" i="86" s="1"/>
  <c r="C354" i="66"/>
  <c r="AH151" i="86"/>
  <c r="AK151" i="86"/>
  <c r="AG151" i="86"/>
  <c r="AI151" i="86"/>
  <c r="AJ151" i="86"/>
  <c r="AM166" i="86"/>
  <c r="Y153" i="86" l="1"/>
  <c r="AF153" i="86" s="1"/>
  <c r="C355" i="66"/>
  <c r="AJ150" i="86"/>
  <c r="AI150" i="86"/>
  <c r="AG150" i="86"/>
  <c r="AK150" i="86"/>
  <c r="AH150" i="86"/>
  <c r="AM167" i="86"/>
  <c r="Y152" i="86" l="1"/>
  <c r="AF152" i="86" s="1"/>
  <c r="C356" i="66"/>
  <c r="AK149" i="86"/>
  <c r="AG149" i="86"/>
  <c r="AI149" i="86"/>
  <c r="AJ149" i="86"/>
  <c r="AH149" i="86"/>
  <c r="AM168" i="86"/>
  <c r="Y151" i="86" l="1"/>
  <c r="AF151" i="86" s="1"/>
  <c r="C357" i="66"/>
  <c r="AJ148" i="86"/>
  <c r="AI148" i="86"/>
  <c r="AG148" i="86"/>
  <c r="AK148" i="86"/>
  <c r="AH148" i="86"/>
  <c r="AM169" i="86"/>
  <c r="Y150" i="86" l="1"/>
  <c r="AF150" i="86" s="1"/>
  <c r="C358" i="66"/>
  <c r="AM170" i="86"/>
  <c r="AI147" i="86"/>
  <c r="AK147" i="86"/>
  <c r="AG147" i="86"/>
  <c r="AJ147" i="86"/>
  <c r="AH147" i="86"/>
  <c r="Y149" i="86" l="1"/>
  <c r="AF149" i="86" s="1"/>
  <c r="C359" i="66"/>
  <c r="AJ146" i="86"/>
  <c r="AG146" i="86"/>
  <c r="AI146" i="86"/>
  <c r="AK146" i="86"/>
  <c r="AH146" i="86"/>
  <c r="AM171" i="86"/>
  <c r="Y148" i="86" l="1"/>
  <c r="AF148" i="86" s="1"/>
  <c r="C360" i="66"/>
  <c r="AG145" i="86"/>
  <c r="AK145" i="86"/>
  <c r="AI145" i="86"/>
  <c r="AJ145" i="86"/>
  <c r="AH145" i="86"/>
  <c r="AM172" i="86"/>
  <c r="Y147" i="86" l="1"/>
  <c r="AF147" i="86" s="1"/>
  <c r="C361" i="66"/>
  <c r="AH144" i="86"/>
  <c r="AG144" i="86"/>
  <c r="AJ144" i="86"/>
  <c r="AI144" i="86"/>
  <c r="AK144" i="86"/>
  <c r="AM173" i="86"/>
  <c r="Y146" i="86" l="1"/>
  <c r="AF146" i="86" s="1"/>
  <c r="C362" i="66"/>
  <c r="AH143" i="86"/>
  <c r="AJ143" i="86"/>
  <c r="AI143" i="86"/>
  <c r="AG143" i="86"/>
  <c r="AK143" i="86"/>
  <c r="AM174" i="86"/>
  <c r="Y145" i="86" l="1"/>
  <c r="AF145" i="86" s="1"/>
  <c r="C363" i="66"/>
  <c r="AJ142" i="86"/>
  <c r="AI142" i="86"/>
  <c r="AG142" i="86"/>
  <c r="AK142" i="86"/>
  <c r="AH142" i="86"/>
  <c r="AM175" i="86"/>
  <c r="Y144" i="86" l="1"/>
  <c r="AF144" i="86" s="1"/>
  <c r="C364" i="66"/>
  <c r="AI141" i="86"/>
  <c r="AJ141" i="86"/>
  <c r="AH141" i="86"/>
  <c r="AG141" i="86"/>
  <c r="AK141" i="86"/>
  <c r="AM176" i="86"/>
  <c r="Y143" i="86" l="1"/>
  <c r="AF143" i="86" s="1"/>
  <c r="C365" i="66"/>
  <c r="AH140" i="86"/>
  <c r="AG140" i="86"/>
  <c r="AI140" i="86"/>
  <c r="AJ140" i="86"/>
  <c r="AK140" i="86"/>
  <c r="AM177" i="86"/>
  <c r="Y142" i="86" l="1"/>
  <c r="AF142" i="86" s="1"/>
  <c r="C366" i="66"/>
  <c r="AH139" i="86"/>
  <c r="AI139" i="86"/>
  <c r="AG139" i="86"/>
  <c r="AK139" i="86"/>
  <c r="AJ139" i="86"/>
  <c r="AM178" i="86"/>
  <c r="Y141" i="86" l="1"/>
  <c r="AF141" i="86" s="1"/>
  <c r="C367" i="66"/>
  <c r="AG138" i="86"/>
  <c r="AK138" i="86"/>
  <c r="AI138" i="86"/>
  <c r="AJ138" i="86"/>
  <c r="AH138" i="86"/>
  <c r="AM179" i="86"/>
  <c r="F29" i="6"/>
  <c r="G14" i="6"/>
  <c r="Y140" i="86" l="1"/>
  <c r="AF140" i="86" s="1"/>
  <c r="C368" i="66"/>
  <c r="AJ137" i="86"/>
  <c r="AI137" i="86"/>
  <c r="AK137" i="86"/>
  <c r="AG137" i="86"/>
  <c r="AH137" i="86"/>
  <c r="AM180" i="86"/>
  <c r="G29" i="6"/>
  <c r="H29" i="6"/>
  <c r="H14" i="6"/>
  <c r="Y139" i="86" l="1"/>
  <c r="AF139" i="86" s="1"/>
  <c r="C369" i="66"/>
  <c r="AG136" i="86"/>
  <c r="AK136" i="86"/>
  <c r="AI136" i="86"/>
  <c r="AJ136" i="86"/>
  <c r="AH136" i="86"/>
  <c r="AM181" i="86"/>
  <c r="Y138" i="86" l="1"/>
  <c r="AF138" i="86" s="1"/>
  <c r="C370" i="66"/>
  <c r="AI135" i="86"/>
  <c r="AG135" i="86"/>
  <c r="AH135" i="86"/>
  <c r="AK135" i="86"/>
  <c r="AJ135" i="86"/>
  <c r="AM182" i="86"/>
  <c r="Y137" i="86" l="1"/>
  <c r="AF137" i="86" s="1"/>
  <c r="C371" i="66"/>
  <c r="AI134" i="86"/>
  <c r="AK134" i="86"/>
  <c r="AH134" i="86"/>
  <c r="AG134" i="86"/>
  <c r="AJ134" i="86"/>
  <c r="AM183" i="86"/>
  <c r="Y136" i="86" l="1"/>
  <c r="AF136" i="86" s="1"/>
  <c r="C372" i="66"/>
  <c r="AG133" i="86"/>
  <c r="AH133" i="86"/>
  <c r="AJ133" i="86"/>
  <c r="AK133" i="86"/>
  <c r="AI133" i="86"/>
  <c r="AM184" i="86"/>
  <c r="Y135" i="86" l="1"/>
  <c r="AF135" i="86" s="1"/>
  <c r="C373" i="66"/>
  <c r="AK132" i="86"/>
  <c r="AG132" i="86"/>
  <c r="AH132" i="86"/>
  <c r="AI132" i="86"/>
  <c r="AJ132" i="86"/>
  <c r="AM185" i="86"/>
  <c r="Y134" i="86" l="1"/>
  <c r="AF134" i="86" s="1"/>
  <c r="C374" i="66"/>
  <c r="AG131" i="86"/>
  <c r="AJ131" i="86"/>
  <c r="AI131" i="86"/>
  <c r="AH131" i="86"/>
  <c r="AK131" i="86"/>
  <c r="AM186" i="86"/>
  <c r="Y133" i="86" l="1"/>
  <c r="AF133" i="86" s="1"/>
  <c r="C375" i="66"/>
  <c r="AK130" i="86"/>
  <c r="AH130" i="86"/>
  <c r="AI130" i="86"/>
  <c r="AJ130" i="86"/>
  <c r="AG130" i="86"/>
  <c r="AM187" i="86"/>
  <c r="X79" i="78"/>
  <c r="Y132" i="86" l="1"/>
  <c r="AF132" i="86" s="1"/>
  <c r="C376" i="66"/>
  <c r="AK129" i="86"/>
  <c r="AG129" i="86"/>
  <c r="AI129" i="86"/>
  <c r="AH129" i="86"/>
  <c r="AJ129" i="86"/>
  <c r="AM188" i="86"/>
  <c r="AJ101" i="79"/>
  <c r="AJ103" i="79"/>
  <c r="Y52" i="78"/>
  <c r="X50" i="78"/>
  <c r="X95" i="78"/>
  <c r="Y131" i="86" l="1"/>
  <c r="AF131" i="86" s="1"/>
  <c r="C377" i="66"/>
  <c r="AI128" i="86"/>
  <c r="AH128" i="86"/>
  <c r="AG128" i="86"/>
  <c r="AK128" i="86"/>
  <c r="AJ128" i="86"/>
  <c r="AM189" i="86"/>
  <c r="Y49" i="78"/>
  <c r="Y79" i="78"/>
  <c r="Y130" i="86" l="1"/>
  <c r="AF130" i="86" s="1"/>
  <c r="C378" i="66"/>
  <c r="AK127" i="86"/>
  <c r="AG127" i="86"/>
  <c r="AH127" i="86"/>
  <c r="AI127" i="86"/>
  <c r="AJ127" i="86"/>
  <c r="AM190" i="86"/>
  <c r="AK101" i="79"/>
  <c r="AK103" i="79"/>
  <c r="Z79" i="78"/>
  <c r="AB52" i="78"/>
  <c r="Y50" i="78"/>
  <c r="Y94" i="78"/>
  <c r="Y61" i="78"/>
  <c r="Y128" i="78" l="1"/>
  <c r="Y22" i="74"/>
  <c r="Y28" i="74"/>
  <c r="Y129" i="86"/>
  <c r="AF129" i="86" s="1"/>
  <c r="C379" i="66"/>
  <c r="AI126" i="86"/>
  <c r="AH126" i="86"/>
  <c r="AJ126" i="86"/>
  <c r="AK126" i="86"/>
  <c r="AG126" i="86"/>
  <c r="AM191" i="86"/>
  <c r="AK168" i="79"/>
  <c r="Y122" i="78"/>
  <c r="Y126" i="78" s="1"/>
  <c r="AK74" i="79"/>
  <c r="Y95" i="78"/>
  <c r="Z94" i="78"/>
  <c r="AB79" i="78"/>
  <c r="AB49" i="78"/>
  <c r="Y62" i="78"/>
  <c r="Z61" i="78"/>
  <c r="Z22" i="74" l="1"/>
  <c r="Z28" i="74"/>
  <c r="Y65" i="74"/>
  <c r="M55" i="78" s="1"/>
  <c r="M56" i="78" s="1"/>
  <c r="Y64" i="74"/>
  <c r="M52" i="78" s="1"/>
  <c r="M53" i="78" s="1"/>
  <c r="M49" i="78"/>
  <c r="M50" i="78" s="1"/>
  <c r="Z28" i="79"/>
  <c r="M37" i="78"/>
  <c r="M38" i="78" s="1"/>
  <c r="Z22" i="79"/>
  <c r="Y71" i="79"/>
  <c r="Y128" i="86"/>
  <c r="AF128" i="86" s="1"/>
  <c r="Y136" i="78"/>
  <c r="Y112" i="78"/>
  <c r="Z112" i="78" s="1"/>
  <c r="AL77" i="79"/>
  <c r="C380" i="66"/>
  <c r="AG125" i="86"/>
  <c r="AI125" i="86"/>
  <c r="AK125" i="86"/>
  <c r="AJ125" i="86"/>
  <c r="AH125" i="86"/>
  <c r="AM192" i="86"/>
  <c r="Z126" i="78"/>
  <c r="D41" i="6" s="1"/>
  <c r="AL168" i="79"/>
  <c r="AL127" i="79"/>
  <c r="AN103" i="79"/>
  <c r="AN101" i="79"/>
  <c r="AL101" i="79"/>
  <c r="AL103" i="79"/>
  <c r="AK77" i="79"/>
  <c r="Z62" i="78"/>
  <c r="Z122" i="78"/>
  <c r="Z95" i="78"/>
  <c r="Z128" i="78"/>
  <c r="AV16" i="78" s="1"/>
  <c r="AC52" i="78"/>
  <c r="AC49" i="78" s="1"/>
  <c r="AB50" i="78"/>
  <c r="AB94" i="78"/>
  <c r="AB61" i="78"/>
  <c r="Z65" i="74" l="1"/>
  <c r="N55" i="78" s="1"/>
  <c r="Z64" i="74"/>
  <c r="N52" i="78" s="1"/>
  <c r="N49" i="78"/>
  <c r="N37" i="78"/>
  <c r="Z71" i="79"/>
  <c r="AB128" i="78"/>
  <c r="AB22" i="74"/>
  <c r="AB28" i="74"/>
  <c r="Y127" i="86"/>
  <c r="AF127" i="86" s="1"/>
  <c r="AL33" i="79"/>
  <c r="D42" i="6"/>
  <c r="D43" i="6" s="1"/>
  <c r="Z113" i="78"/>
  <c r="C381" i="66"/>
  <c r="AJ124" i="86"/>
  <c r="AK124" i="86"/>
  <c r="AI124" i="86"/>
  <c r="AG124" i="86"/>
  <c r="AH124" i="86"/>
  <c r="AM193" i="86"/>
  <c r="Z136" i="78"/>
  <c r="AV17" i="78" s="1"/>
  <c r="AN168" i="79"/>
  <c r="AB122" i="78"/>
  <c r="AB126" i="78" s="1"/>
  <c r="AN74" i="79"/>
  <c r="AL74" i="79"/>
  <c r="AL31" i="79"/>
  <c r="AC79" i="78"/>
  <c r="AD52" i="78" s="1"/>
  <c r="AD49" i="78" s="1"/>
  <c r="AB62" i="78"/>
  <c r="AB95" i="78"/>
  <c r="AC94" i="78"/>
  <c r="AC61" i="78"/>
  <c r="AO77" i="79" s="1"/>
  <c r="F65" i="65" l="1"/>
  <c r="F66" i="65" s="1"/>
  <c r="N38" i="78"/>
  <c r="N50" i="78"/>
  <c r="F77" i="65"/>
  <c r="F78" i="65" s="1"/>
  <c r="F80" i="65"/>
  <c r="N53" i="78"/>
  <c r="F81" i="65" s="1"/>
  <c r="F83" i="65"/>
  <c r="F84" i="65" s="1"/>
  <c r="N56" i="78"/>
  <c r="AC22" i="74"/>
  <c r="AC28" i="74"/>
  <c r="AB65" i="74"/>
  <c r="P55" i="78" s="1"/>
  <c r="P56" i="78" s="1"/>
  <c r="AB64" i="74"/>
  <c r="P52" i="78" s="1"/>
  <c r="P53" i="78" s="1"/>
  <c r="P49" i="78"/>
  <c r="P50" i="78" s="1"/>
  <c r="P37" i="78"/>
  <c r="P38" i="78" s="1"/>
  <c r="AB71" i="79"/>
  <c r="Y126" i="86"/>
  <c r="AF126" i="86" s="1"/>
  <c r="D44" i="6"/>
  <c r="D45" i="6" s="1"/>
  <c r="AB136" i="78"/>
  <c r="AB112" i="78"/>
  <c r="C382" i="66"/>
  <c r="AH123" i="86"/>
  <c r="AK123" i="86"/>
  <c r="AI123" i="86"/>
  <c r="AG123" i="86"/>
  <c r="AJ123" i="86"/>
  <c r="AM194" i="86"/>
  <c r="AC50" i="78"/>
  <c r="AO74" i="79"/>
  <c r="AN77" i="79"/>
  <c r="AD79" i="78"/>
  <c r="AC95" i="78"/>
  <c r="AC128" i="78"/>
  <c r="AC62" i="78"/>
  <c r="AC122" i="78"/>
  <c r="AC126" i="78" s="1"/>
  <c r="AC112" i="78" s="1"/>
  <c r="AD94" i="78"/>
  <c r="AD61" i="78"/>
  <c r="AC65" i="74" l="1"/>
  <c r="Q55" i="78" s="1"/>
  <c r="Q56" i="78" s="1"/>
  <c r="AC64" i="74"/>
  <c r="Q52" i="78" s="1"/>
  <c r="Q53" i="78" s="1"/>
  <c r="Q49" i="78"/>
  <c r="Q50" i="78" s="1"/>
  <c r="Q37" i="78"/>
  <c r="Q38" i="78" s="1"/>
  <c r="AC71" i="79"/>
  <c r="AD22" i="74"/>
  <c r="AD28" i="74"/>
  <c r="Y125" i="86"/>
  <c r="AF125" i="86" s="1"/>
  <c r="C383" i="66"/>
  <c r="AI122" i="86"/>
  <c r="AK122" i="86"/>
  <c r="AH122" i="86"/>
  <c r="AJ122" i="86"/>
  <c r="AG122" i="86"/>
  <c r="AM195" i="86"/>
  <c r="AO168" i="79"/>
  <c r="AD50" i="78"/>
  <c r="AE52" i="78"/>
  <c r="AE79" i="78" s="1"/>
  <c r="AF79" i="78" s="1"/>
  <c r="AP101" i="79"/>
  <c r="AP103" i="79"/>
  <c r="AO101" i="79"/>
  <c r="AO103" i="79"/>
  <c r="AP77" i="79"/>
  <c r="AP74" i="79"/>
  <c r="AD95" i="78"/>
  <c r="AD128" i="78"/>
  <c r="AD62" i="78"/>
  <c r="AD122" i="78"/>
  <c r="AD126" i="78" s="1"/>
  <c r="AD112" i="78" s="1"/>
  <c r="AC136" i="78"/>
  <c r="AD65" i="74" l="1"/>
  <c r="R55" i="78" s="1"/>
  <c r="R56" i="78" s="1"/>
  <c r="AD64" i="74"/>
  <c r="R52" i="78" s="1"/>
  <c r="R53" i="78" s="1"/>
  <c r="R49" i="78"/>
  <c r="R50" i="78" s="1"/>
  <c r="R37" i="78"/>
  <c r="R38" i="78" s="1"/>
  <c r="AD71" i="79"/>
  <c r="Y124" i="86"/>
  <c r="AF124" i="86" s="1"/>
  <c r="C384" i="66"/>
  <c r="AH121" i="86"/>
  <c r="AK121" i="86"/>
  <c r="AG121" i="86"/>
  <c r="AJ121" i="86"/>
  <c r="AI121" i="86"/>
  <c r="AM196" i="86"/>
  <c r="AF52" i="78"/>
  <c r="AF53" i="78" s="1"/>
  <c r="AE49" i="78"/>
  <c r="AD136" i="78"/>
  <c r="AQ101" i="79"/>
  <c r="AR101" i="79"/>
  <c r="AH52" i="78"/>
  <c r="AH49" i="78" s="1"/>
  <c r="AP168" i="79"/>
  <c r="Y122" i="86" l="1"/>
  <c r="AF122" i="86" s="1"/>
  <c r="Y123" i="86"/>
  <c r="AF123" i="86" s="1"/>
  <c r="C385" i="66"/>
  <c r="AG120" i="86"/>
  <c r="AK120" i="86"/>
  <c r="AJ120" i="86"/>
  <c r="AH120" i="86"/>
  <c r="AI120" i="86"/>
  <c r="AM197" i="86"/>
  <c r="AF49" i="78"/>
  <c r="AF50" i="78" s="1"/>
  <c r="AR103" i="79"/>
  <c r="AE94" i="78"/>
  <c r="AE61" i="78"/>
  <c r="AE122" i="78" s="1"/>
  <c r="AE126" i="78" s="1"/>
  <c r="AE50" i="78"/>
  <c r="AH61" i="78"/>
  <c r="AH94" i="78"/>
  <c r="AH79" i="78"/>
  <c r="AH50" i="78" s="1"/>
  <c r="AQ103" i="79"/>
  <c r="AE128" i="78" l="1"/>
  <c r="AQ168" i="79" s="1"/>
  <c r="AE22" i="74"/>
  <c r="AE28" i="74"/>
  <c r="AH128" i="78"/>
  <c r="AH22" i="74"/>
  <c r="AH28" i="74"/>
  <c r="AX16" i="78"/>
  <c r="Y121" i="86"/>
  <c r="AF121" i="86" s="1"/>
  <c r="AF126" i="78"/>
  <c r="E41" i="6" s="1"/>
  <c r="AE112" i="78"/>
  <c r="AF112" i="78" s="1"/>
  <c r="AT77" i="79"/>
  <c r="C386" i="66"/>
  <c r="AF94" i="78"/>
  <c r="AE95" i="78"/>
  <c r="AV127" i="79"/>
  <c r="AF61" i="78"/>
  <c r="AJ119" i="86"/>
  <c r="AK119" i="86"/>
  <c r="AI119" i="86"/>
  <c r="AH119" i="86"/>
  <c r="AG119" i="86"/>
  <c r="AM198" i="86"/>
  <c r="AR28" i="79"/>
  <c r="AE62" i="78"/>
  <c r="AQ74" i="79"/>
  <c r="AE136" i="78"/>
  <c r="AH122" i="78"/>
  <c r="AH126" i="78" s="1"/>
  <c r="AH95" i="78"/>
  <c r="AH62" i="78"/>
  <c r="AT103" i="79"/>
  <c r="AJ52" i="78"/>
  <c r="AJ49" i="78" s="1"/>
  <c r="AF95" i="78" l="1"/>
  <c r="AF22" i="74"/>
  <c r="AF28" i="74"/>
  <c r="AE65" i="74"/>
  <c r="S55" i="78" s="1"/>
  <c r="S56" i="78" s="1"/>
  <c r="AE64" i="74"/>
  <c r="S52" i="78" s="1"/>
  <c r="S53" i="78" s="1"/>
  <c r="S49" i="78"/>
  <c r="S50" i="78" s="1"/>
  <c r="AF28" i="79"/>
  <c r="S37" i="78"/>
  <c r="S38" i="78" s="1"/>
  <c r="AE71" i="79"/>
  <c r="AF22" i="79"/>
  <c r="AH65" i="74"/>
  <c r="V55" i="78" s="1"/>
  <c r="AH64" i="74"/>
  <c r="V52" i="78" s="1"/>
  <c r="V49" i="78"/>
  <c r="AL28" i="79"/>
  <c r="V37" i="78"/>
  <c r="AL22" i="79"/>
  <c r="AH71" i="79"/>
  <c r="Y120" i="86"/>
  <c r="AF120" i="86" s="1"/>
  <c r="F41" i="6"/>
  <c r="AH112" i="78"/>
  <c r="AF128" i="78"/>
  <c r="AT74" i="79"/>
  <c r="E42" i="6"/>
  <c r="E43" i="6" s="1"/>
  <c r="AF113" i="78"/>
  <c r="AH136" i="78"/>
  <c r="AX17" i="78" s="1"/>
  <c r="F42" i="6"/>
  <c r="AR77" i="79"/>
  <c r="C387" i="66"/>
  <c r="AR127" i="79"/>
  <c r="AT127" i="79"/>
  <c r="AR168" i="79"/>
  <c r="AF122" i="78"/>
  <c r="AF62" i="78"/>
  <c r="AQ77" i="79"/>
  <c r="AI118" i="86"/>
  <c r="AH118" i="86"/>
  <c r="AK118" i="86"/>
  <c r="AG118" i="86"/>
  <c r="AJ118" i="86"/>
  <c r="AM199" i="86"/>
  <c r="AJ79" i="78"/>
  <c r="AJ50" i="78" s="1"/>
  <c r="AT101" i="79"/>
  <c r="AJ61" i="78"/>
  <c r="AJ94" i="78"/>
  <c r="AJ128" i="78" s="1"/>
  <c r="AF65" i="74" l="1"/>
  <c r="T55" i="78" s="1"/>
  <c r="AF64" i="74"/>
  <c r="T52" i="78" s="1"/>
  <c r="T49" i="78"/>
  <c r="T37" i="78"/>
  <c r="AF71" i="79"/>
  <c r="V38" i="78"/>
  <c r="Z37" i="78"/>
  <c r="V50" i="78"/>
  <c r="Z49" i="78"/>
  <c r="Z50" i="78" s="1"/>
  <c r="V53" i="78"/>
  <c r="Z52" i="78"/>
  <c r="Z53" i="78" s="1"/>
  <c r="V56" i="78"/>
  <c r="Z55" i="78"/>
  <c r="Z56" i="78" s="1"/>
  <c r="AY16" i="78"/>
  <c r="AF136" i="78"/>
  <c r="AW17" i="78" s="1"/>
  <c r="AW16" i="78"/>
  <c r="Y119" i="86"/>
  <c r="AF119" i="86" s="1"/>
  <c r="AR33" i="79"/>
  <c r="AR74" i="79"/>
  <c r="F43" i="6"/>
  <c r="E44" i="6"/>
  <c r="E45" i="6" s="1"/>
  <c r="C388" i="66"/>
  <c r="AK117" i="86"/>
  <c r="AH117" i="86"/>
  <c r="AJ117" i="86"/>
  <c r="AG117" i="86"/>
  <c r="AI117" i="86"/>
  <c r="AR31" i="79"/>
  <c r="AM200" i="86"/>
  <c r="AV101" i="79"/>
  <c r="AL52" i="78"/>
  <c r="AL49" i="78" s="1"/>
  <c r="AJ95" i="78"/>
  <c r="AJ62" i="78"/>
  <c r="AJ122" i="78"/>
  <c r="AJ126" i="78" s="1"/>
  <c r="G41" i="6" s="1"/>
  <c r="G65" i="65" l="1"/>
  <c r="G66" i="65" s="1"/>
  <c r="T38" i="78"/>
  <c r="T50" i="78"/>
  <c r="G77" i="65"/>
  <c r="G80" i="65"/>
  <c r="T53" i="78"/>
  <c r="G81" i="65" s="1"/>
  <c r="G83" i="65"/>
  <c r="G84" i="65" s="1"/>
  <c r="T56" i="78"/>
  <c r="Y118" i="86"/>
  <c r="AF118" i="86" s="1"/>
  <c r="F44" i="6"/>
  <c r="F45" i="6" s="1"/>
  <c r="AJ136" i="78"/>
  <c r="AY17" i="78" s="1"/>
  <c r="AJ112" i="78"/>
  <c r="G42" i="6" s="1"/>
  <c r="G43" i="6" s="1"/>
  <c r="C389" i="66"/>
  <c r="AJ116" i="86"/>
  <c r="AH116" i="86"/>
  <c r="AI116" i="86"/>
  <c r="AG116" i="86"/>
  <c r="AK116" i="86"/>
  <c r="AM201" i="86"/>
  <c r="AV103" i="79"/>
  <c r="AL61" i="78"/>
  <c r="AL94" i="78"/>
  <c r="AL128" i="78" s="1"/>
  <c r="AL79" i="78"/>
  <c r="AL50" i="78" s="1"/>
  <c r="AV77" i="79"/>
  <c r="AV74" i="79"/>
  <c r="G78" i="65" l="1"/>
  <c r="E11" i="65"/>
  <c r="AZ16" i="78"/>
  <c r="Y117" i="86"/>
  <c r="AF117" i="86" s="1"/>
  <c r="G44" i="6"/>
  <c r="G45" i="6" s="1"/>
  <c r="C390" i="66"/>
  <c r="AK115" i="86"/>
  <c r="AH115" i="86"/>
  <c r="AG115" i="86"/>
  <c r="AI115" i="86"/>
  <c r="AJ115" i="86"/>
  <c r="AM202" i="86"/>
  <c r="AL122" i="78"/>
  <c r="Z161" i="78" s="1"/>
  <c r="AX77" i="79"/>
  <c r="AX74" i="79"/>
  <c r="AL62" i="78"/>
  <c r="AL95" i="78"/>
  <c r="E13" i="65" l="1"/>
  <c r="K27" i="65"/>
  <c r="Y116" i="86"/>
  <c r="AF116" i="86" s="1"/>
  <c r="C391" i="66"/>
  <c r="AH114" i="86"/>
  <c r="AI114" i="86"/>
  <c r="AJ114" i="86"/>
  <c r="AK114" i="86"/>
  <c r="AG114" i="86"/>
  <c r="AM203" i="86"/>
  <c r="AL126" i="78"/>
  <c r="H41" i="6" s="1"/>
  <c r="E70" i="83"/>
  <c r="E71" i="83"/>
  <c r="L11" i="65" l="1"/>
  <c r="E15" i="65"/>
  <c r="J28" i="65" s="1"/>
  <c r="L13" i="65"/>
  <c r="L12" i="65"/>
  <c r="E17" i="65"/>
  <c r="J30" i="65" s="1"/>
  <c r="Y115" i="86"/>
  <c r="AF115" i="86" s="1"/>
  <c r="AL136" i="78"/>
  <c r="AZ17" i="78" s="1"/>
  <c r="AL112" i="78"/>
  <c r="H42" i="6" s="1"/>
  <c r="H43" i="6" s="1"/>
  <c r="H44" i="6" s="1"/>
  <c r="H45" i="6" s="1"/>
  <c r="C392" i="66"/>
  <c r="AK113" i="86"/>
  <c r="AI113" i="86"/>
  <c r="AH113" i="86"/>
  <c r="AG113" i="86"/>
  <c r="AJ113" i="86"/>
  <c r="AM204" i="86"/>
  <c r="K30" i="65" l="1"/>
  <c r="C28" i="65"/>
  <c r="G154" i="65"/>
  <c r="H151" i="65" s="1"/>
  <c r="C29" i="65"/>
  <c r="G160" i="65"/>
  <c r="H157" i="65" s="1"/>
  <c r="K28" i="65"/>
  <c r="J34" i="65"/>
  <c r="L28" i="65"/>
  <c r="C27" i="65"/>
  <c r="G148" i="65"/>
  <c r="Y114" i="86"/>
  <c r="AF114" i="86" s="1"/>
  <c r="AL159" i="78"/>
  <c r="C393" i="66"/>
  <c r="AJ112" i="86"/>
  <c r="AG112" i="86"/>
  <c r="AI112" i="86"/>
  <c r="AH112" i="86"/>
  <c r="AK112" i="86"/>
  <c r="AM205" i="86"/>
  <c r="H145" i="65" l="1"/>
  <c r="G166" i="65"/>
  <c r="D27" i="65"/>
  <c r="C30" i="65"/>
  <c r="L34" i="65"/>
  <c r="K34" i="65"/>
  <c r="C34" i="65"/>
  <c r="L27" i="65"/>
  <c r="L30" i="65"/>
  <c r="H158" i="65"/>
  <c r="D29" i="65"/>
  <c r="E29" i="65"/>
  <c r="H152" i="65"/>
  <c r="D28" i="65"/>
  <c r="E28" i="65"/>
  <c r="Y113" i="86"/>
  <c r="AF113" i="86" s="1"/>
  <c r="C394" i="66"/>
  <c r="AJ111" i="86"/>
  <c r="AH111" i="86"/>
  <c r="AI111" i="86"/>
  <c r="AK111" i="86"/>
  <c r="AG111" i="86"/>
  <c r="AM206" i="86"/>
  <c r="H87" i="65"/>
  <c r="I87" i="65"/>
  <c r="J87" i="65"/>
  <c r="K87" i="65"/>
  <c r="L87" i="65"/>
  <c r="E27" i="65" l="1"/>
  <c r="C32" i="65"/>
  <c r="E34" i="65"/>
  <c r="D34" i="65"/>
  <c r="D30" i="65"/>
  <c r="E30" i="65"/>
  <c r="H163" i="65"/>
  <c r="H146" i="65"/>
  <c r="H164" i="65" s="1"/>
  <c r="H89" i="65" s="1"/>
  <c r="H91" i="65" s="1"/>
  <c r="Y112" i="86"/>
  <c r="AF112" i="86" s="1"/>
  <c r="C395" i="66"/>
  <c r="AG110" i="86"/>
  <c r="AK110" i="86"/>
  <c r="AI110" i="86"/>
  <c r="AH110" i="86"/>
  <c r="AJ110" i="86"/>
  <c r="AM207" i="86"/>
  <c r="H94" i="65" l="1"/>
  <c r="H97" i="65" s="1"/>
  <c r="H92" i="65"/>
  <c r="L178" i="65"/>
  <c r="D32" i="65"/>
  <c r="E32" i="65"/>
  <c r="Y111" i="86"/>
  <c r="AF111" i="86" s="1"/>
  <c r="C396" i="66"/>
  <c r="AH109" i="86"/>
  <c r="AI109" i="86"/>
  <c r="AK109" i="86"/>
  <c r="AJ109" i="86"/>
  <c r="AG109" i="86"/>
  <c r="AM208" i="86"/>
  <c r="H98" i="65" l="1"/>
  <c r="H136" i="65"/>
  <c r="H140" i="65" s="1"/>
  <c r="Y110" i="86"/>
  <c r="AF110" i="86" s="1"/>
  <c r="C397" i="66"/>
  <c r="AH108" i="86"/>
  <c r="AK108" i="86"/>
  <c r="AJ108" i="86"/>
  <c r="AI108" i="86"/>
  <c r="AG108" i="86"/>
  <c r="AM209" i="86"/>
  <c r="H147" i="65" l="1"/>
  <c r="H153" i="65"/>
  <c r="H154" i="65" s="1"/>
  <c r="I151" i="65" s="1"/>
  <c r="I152" i="65" s="1"/>
  <c r="H159" i="65"/>
  <c r="H160" i="65" s="1"/>
  <c r="I157" i="65" s="1"/>
  <c r="I158" i="65" s="1"/>
  <c r="Y109" i="86"/>
  <c r="AF109" i="86" s="1"/>
  <c r="C398" i="66"/>
  <c r="AJ107" i="86"/>
  <c r="AK107" i="86"/>
  <c r="AH107" i="86"/>
  <c r="AI107" i="86"/>
  <c r="AG107" i="86"/>
  <c r="AM210" i="86"/>
  <c r="H165" i="65" l="1"/>
  <c r="H148" i="65"/>
  <c r="Y108" i="86"/>
  <c r="AF108" i="86" s="1"/>
  <c r="C399" i="66"/>
  <c r="AI106" i="86"/>
  <c r="AK106" i="86"/>
  <c r="AJ106" i="86"/>
  <c r="AH106" i="86"/>
  <c r="AG106" i="86"/>
  <c r="AM211" i="86"/>
  <c r="I145" i="65" l="1"/>
  <c r="H166" i="65"/>
  <c r="Y107" i="86"/>
  <c r="AF107" i="86" s="1"/>
  <c r="C400" i="66"/>
  <c r="AJ105" i="86"/>
  <c r="AK105" i="86"/>
  <c r="AI105" i="86"/>
  <c r="AH105" i="86"/>
  <c r="AG105" i="86"/>
  <c r="AM212" i="86"/>
  <c r="I146" i="65" l="1"/>
  <c r="I164" i="65" s="1"/>
  <c r="I89" i="65" s="1"/>
  <c r="I91" i="65" s="1"/>
  <c r="I163" i="65"/>
  <c r="Y106" i="86"/>
  <c r="AF106" i="86" s="1"/>
  <c r="C401" i="66"/>
  <c r="AI104" i="86"/>
  <c r="AJ104" i="86"/>
  <c r="AH104" i="86"/>
  <c r="AK104" i="86"/>
  <c r="AG104" i="86"/>
  <c r="AM213" i="86"/>
  <c r="I94" i="65" l="1"/>
  <c r="I97" i="65" s="1"/>
  <c r="I92" i="65"/>
  <c r="Y105" i="86"/>
  <c r="AF105" i="86" s="1"/>
  <c r="C402" i="66"/>
  <c r="AH103" i="86"/>
  <c r="AJ103" i="86"/>
  <c r="AK103" i="86"/>
  <c r="AI103" i="86"/>
  <c r="AG103" i="86"/>
  <c r="AM214" i="86"/>
  <c r="I98" i="65" l="1"/>
  <c r="I136" i="65"/>
  <c r="I140" i="65" s="1"/>
  <c r="Y104" i="86"/>
  <c r="AF104" i="86" s="1"/>
  <c r="C403" i="66"/>
  <c r="AI102" i="86"/>
  <c r="AK102" i="86"/>
  <c r="AH102" i="86"/>
  <c r="AJ102" i="86"/>
  <c r="AG102" i="86"/>
  <c r="AM215" i="86"/>
  <c r="I147" i="65" l="1"/>
  <c r="Y103" i="86"/>
  <c r="AF103" i="86" s="1"/>
  <c r="C404" i="66"/>
  <c r="AJ101" i="86"/>
  <c r="AH101" i="86"/>
  <c r="AK101" i="86"/>
  <c r="AG101" i="86"/>
  <c r="AI101" i="86"/>
  <c r="AM216" i="86"/>
  <c r="I153" i="65" l="1"/>
  <c r="I148" i="65"/>
  <c r="Y102" i="86"/>
  <c r="AF102" i="86" s="1"/>
  <c r="C405" i="66"/>
  <c r="AK100" i="86"/>
  <c r="AH100" i="86"/>
  <c r="AJ100" i="86"/>
  <c r="AG100" i="86"/>
  <c r="AI100" i="86"/>
  <c r="AM217" i="86"/>
  <c r="J145" i="65" l="1"/>
  <c r="I154" i="65"/>
  <c r="I159" i="65"/>
  <c r="Y101" i="86"/>
  <c r="AF101" i="86" s="1"/>
  <c r="C406" i="66"/>
  <c r="AI99" i="86"/>
  <c r="AG99" i="86"/>
  <c r="AK99" i="86"/>
  <c r="AH99" i="86"/>
  <c r="AJ99" i="86"/>
  <c r="AM218" i="86"/>
  <c r="I160" i="65" l="1"/>
  <c r="J157" i="65" s="1"/>
  <c r="I165" i="65"/>
  <c r="J151" i="65"/>
  <c r="I166" i="65"/>
  <c r="J163" i="65"/>
  <c r="J146" i="65"/>
  <c r="Y100" i="86"/>
  <c r="AF100" i="86" s="1"/>
  <c r="C407" i="66"/>
  <c r="AJ98" i="86"/>
  <c r="AH98" i="86"/>
  <c r="AG98" i="86"/>
  <c r="AK98" i="86"/>
  <c r="AI98" i="86"/>
  <c r="AM219" i="86"/>
  <c r="J152" i="65" l="1"/>
  <c r="J158" i="65"/>
  <c r="Y99" i="86"/>
  <c r="AF99" i="86" s="1"/>
  <c r="C408" i="66"/>
  <c r="AI97" i="86"/>
  <c r="AG97" i="86"/>
  <c r="AK97" i="86"/>
  <c r="AH97" i="86"/>
  <c r="AJ97" i="86"/>
  <c r="AM220" i="86"/>
  <c r="J164" i="65" l="1"/>
  <c r="J89" i="65" s="1"/>
  <c r="J91" i="65" s="1"/>
  <c r="Y98" i="86"/>
  <c r="AF98" i="86" s="1"/>
  <c r="C409" i="66"/>
  <c r="AG96" i="86"/>
  <c r="AH96" i="86"/>
  <c r="AK96" i="86"/>
  <c r="AJ96" i="86"/>
  <c r="AI96" i="86"/>
  <c r="AM221" i="86"/>
  <c r="J94" i="65" l="1"/>
  <c r="J97" i="65" s="1"/>
  <c r="J92" i="65"/>
  <c r="Y97" i="86"/>
  <c r="AF97" i="86" s="1"/>
  <c r="C410" i="66"/>
  <c r="AK95" i="86"/>
  <c r="AH95" i="86"/>
  <c r="AJ95" i="86"/>
  <c r="AG95" i="86"/>
  <c r="AI95" i="86"/>
  <c r="AM222" i="86"/>
  <c r="J98" i="65" l="1"/>
  <c r="J136" i="65"/>
  <c r="J140" i="65" s="1"/>
  <c r="Y96" i="86"/>
  <c r="AF96" i="86" s="1"/>
  <c r="C411" i="66"/>
  <c r="AG94" i="86"/>
  <c r="AJ94" i="86"/>
  <c r="AH94" i="86"/>
  <c r="AK94" i="86"/>
  <c r="AI94" i="86"/>
  <c r="AM223" i="86"/>
  <c r="J147" i="65" l="1"/>
  <c r="J153" i="65"/>
  <c r="J154" i="65" s="1"/>
  <c r="K151" i="65" s="1"/>
  <c r="K152" i="65" s="1"/>
  <c r="J159" i="65"/>
  <c r="J160" i="65" s="1"/>
  <c r="K157" i="65" s="1"/>
  <c r="Y95" i="86"/>
  <c r="AF95" i="86" s="1"/>
  <c r="C412" i="66"/>
  <c r="AI93" i="86"/>
  <c r="AH93" i="86"/>
  <c r="AJ93" i="86"/>
  <c r="AK93" i="86"/>
  <c r="AG93" i="86"/>
  <c r="AM224" i="86"/>
  <c r="K158" i="65" l="1"/>
  <c r="J165" i="65"/>
  <c r="J148" i="65"/>
  <c r="Y94" i="86"/>
  <c r="AF94" i="86" s="1"/>
  <c r="C413" i="66"/>
  <c r="AG92" i="86"/>
  <c r="AJ92" i="86"/>
  <c r="AK92" i="86"/>
  <c r="AH92" i="86"/>
  <c r="AI92" i="86"/>
  <c r="AM225" i="86"/>
  <c r="K145" i="65" l="1"/>
  <c r="J166" i="65"/>
  <c r="Y93" i="86"/>
  <c r="AF93" i="86" s="1"/>
  <c r="C414" i="66"/>
  <c r="AH91" i="86"/>
  <c r="AJ91" i="86"/>
  <c r="AK91" i="86"/>
  <c r="AI91" i="86"/>
  <c r="AG91" i="86"/>
  <c r="AM226" i="86"/>
  <c r="K146" i="65" l="1"/>
  <c r="K164" i="65" s="1"/>
  <c r="K89" i="65" s="1"/>
  <c r="K91" i="65" s="1"/>
  <c r="K163" i="65"/>
  <c r="Y92" i="86"/>
  <c r="AF92" i="86" s="1"/>
  <c r="C415" i="66"/>
  <c r="AG90" i="86"/>
  <c r="AK90" i="86"/>
  <c r="AJ90" i="86"/>
  <c r="AI90" i="86"/>
  <c r="AH90" i="86"/>
  <c r="AM227" i="86"/>
  <c r="K94" i="65" l="1"/>
  <c r="K97" i="65" s="1"/>
  <c r="K92" i="65"/>
  <c r="Y91" i="86"/>
  <c r="AF91" i="86" s="1"/>
  <c r="C416" i="66"/>
  <c r="AI89" i="86"/>
  <c r="AG89" i="86"/>
  <c r="AJ89" i="86"/>
  <c r="AH89" i="86"/>
  <c r="AK89" i="86"/>
  <c r="AM228" i="86"/>
  <c r="K98" i="65" l="1"/>
  <c r="K136" i="65"/>
  <c r="K140" i="65" s="1"/>
  <c r="Y90" i="86"/>
  <c r="AF90" i="86" s="1"/>
  <c r="C417" i="66"/>
  <c r="AH88" i="86"/>
  <c r="AJ88" i="86"/>
  <c r="AG88" i="86"/>
  <c r="AK88" i="86"/>
  <c r="AI88" i="86"/>
  <c r="AM229" i="86"/>
  <c r="K147" i="65" l="1"/>
  <c r="Y89" i="86"/>
  <c r="AF89" i="86" s="1"/>
  <c r="C418" i="66"/>
  <c r="AK87" i="86"/>
  <c r="AG87" i="86"/>
  <c r="AH87" i="86"/>
  <c r="AJ87" i="86"/>
  <c r="AI87" i="86"/>
  <c r="AM230" i="86"/>
  <c r="K153" i="65" l="1"/>
  <c r="K148" i="65"/>
  <c r="Y88" i="86"/>
  <c r="AF88" i="86" s="1"/>
  <c r="C419" i="66"/>
  <c r="AI86" i="86"/>
  <c r="AH86" i="86"/>
  <c r="AG86" i="86"/>
  <c r="AK86" i="86"/>
  <c r="AJ86" i="86"/>
  <c r="AM231" i="86"/>
  <c r="L145" i="65" l="1"/>
  <c r="K154" i="65"/>
  <c r="K159" i="65"/>
  <c r="Y87" i="86"/>
  <c r="AF87" i="86" s="1"/>
  <c r="C420" i="66"/>
  <c r="AH85" i="86"/>
  <c r="AJ85" i="86"/>
  <c r="AG85" i="86"/>
  <c r="AK85" i="86"/>
  <c r="AI85" i="86"/>
  <c r="AM232" i="86"/>
  <c r="K160" i="65" l="1"/>
  <c r="L157" i="65" s="1"/>
  <c r="K165" i="65"/>
  <c r="L151" i="65"/>
  <c r="K166" i="65"/>
  <c r="L146" i="65"/>
  <c r="L163" i="65"/>
  <c r="Y86" i="86"/>
  <c r="AF86" i="86" s="1"/>
  <c r="C421" i="66"/>
  <c r="AJ84" i="86"/>
  <c r="AH84" i="86"/>
  <c r="AI84" i="86"/>
  <c r="AG84" i="86"/>
  <c r="AK84" i="86"/>
  <c r="AM233" i="86"/>
  <c r="L152" i="65" l="1"/>
  <c r="L158" i="65"/>
  <c r="L164" i="65" s="1"/>
  <c r="L89" i="65" s="1"/>
  <c r="L91" i="65" s="1"/>
  <c r="Y85" i="86"/>
  <c r="AF85" i="86" s="1"/>
  <c r="C422" i="66"/>
  <c r="AK83" i="86"/>
  <c r="AG83" i="86"/>
  <c r="AI83" i="86"/>
  <c r="AH83" i="86"/>
  <c r="AJ83" i="86"/>
  <c r="AM234" i="86"/>
  <c r="L94" i="65" l="1"/>
  <c r="L97" i="65" s="1"/>
  <c r="L92" i="65"/>
  <c r="Y84" i="86"/>
  <c r="AF84" i="86" s="1"/>
  <c r="C423" i="66"/>
  <c r="AH82" i="86"/>
  <c r="AG82" i="86"/>
  <c r="AJ82" i="86"/>
  <c r="AI82" i="86"/>
  <c r="AK82" i="86"/>
  <c r="AM235" i="86"/>
  <c r="L98" i="65" l="1"/>
  <c r="L136" i="65"/>
  <c r="L140" i="65" s="1"/>
  <c r="Y83" i="86"/>
  <c r="AF83" i="86" s="1"/>
  <c r="C424" i="66"/>
  <c r="AI81" i="86"/>
  <c r="AJ81" i="86"/>
  <c r="AK81" i="86"/>
  <c r="AH81" i="86"/>
  <c r="AG81" i="86"/>
  <c r="AM236" i="86"/>
  <c r="L147" i="65" l="1"/>
  <c r="L153" i="65"/>
  <c r="L154" i="65" s="1"/>
  <c r="L159" i="65"/>
  <c r="L160" i="65" s="1"/>
  <c r="Y82" i="86"/>
  <c r="AF82" i="86" s="1"/>
  <c r="C425" i="66"/>
  <c r="AH80" i="86"/>
  <c r="AI80" i="86"/>
  <c r="AJ80" i="86"/>
  <c r="AK80" i="86"/>
  <c r="AG80" i="86"/>
  <c r="AM237" i="86"/>
  <c r="L165" i="65" l="1"/>
  <c r="L148" i="65"/>
  <c r="L166" i="65" s="1"/>
  <c r="L175" i="65" s="1"/>
  <c r="L176" i="65" s="1"/>
  <c r="L180" i="65" s="1"/>
  <c r="Y81" i="86"/>
  <c r="AF81" i="86" s="1"/>
  <c r="C426" i="66"/>
  <c r="AK79" i="86"/>
  <c r="AG79" i="86"/>
  <c r="AI79" i="86"/>
  <c r="AH79" i="86"/>
  <c r="AJ79" i="86"/>
  <c r="AM238" i="86"/>
  <c r="L16" i="65" l="1"/>
  <c r="L181" i="65"/>
  <c r="L17" i="65" s="1"/>
  <c r="Y80" i="86"/>
  <c r="AF80" i="86" s="1"/>
  <c r="C427" i="66"/>
  <c r="AH78" i="86"/>
  <c r="AI78" i="86"/>
  <c r="AG78" i="86"/>
  <c r="AK78" i="86"/>
  <c r="AJ78" i="86"/>
  <c r="AM239" i="86"/>
  <c r="Y79" i="86" l="1"/>
  <c r="AF79" i="86" s="1"/>
  <c r="C428" i="66"/>
  <c r="AK77" i="86"/>
  <c r="AG77" i="86"/>
  <c r="AI77" i="86"/>
  <c r="AJ77" i="86"/>
  <c r="AH77" i="86"/>
  <c r="AM240" i="86"/>
  <c r="Y78" i="86" l="1"/>
  <c r="AF78" i="86" s="1"/>
  <c r="C429" i="66"/>
  <c r="AI76" i="86"/>
  <c r="AG76" i="86"/>
  <c r="AH76" i="86"/>
  <c r="AJ76" i="86"/>
  <c r="AK76" i="86"/>
  <c r="AM241" i="86"/>
  <c r="Y77" i="86" l="1"/>
  <c r="AF77" i="86" s="1"/>
  <c r="C430" i="66"/>
  <c r="AI75" i="86"/>
  <c r="AK75" i="86"/>
  <c r="AH75" i="86"/>
  <c r="AG75" i="86"/>
  <c r="AJ75" i="86"/>
  <c r="AM242" i="86"/>
  <c r="Y76" i="86" l="1"/>
  <c r="AF76" i="86" s="1"/>
  <c r="C431" i="66"/>
  <c r="AG74" i="86"/>
  <c r="AK74" i="86"/>
  <c r="AH74" i="86"/>
  <c r="AI74" i="86"/>
  <c r="AJ74" i="86"/>
  <c r="AM243" i="86"/>
  <c r="Y75" i="86" l="1"/>
  <c r="AF75" i="86" s="1"/>
  <c r="C432" i="66"/>
  <c r="AJ73" i="86"/>
  <c r="AH73" i="86"/>
  <c r="AI73" i="86"/>
  <c r="AK73" i="86"/>
  <c r="AG73" i="86"/>
  <c r="AM244" i="86"/>
  <c r="Y74" i="86" l="1"/>
  <c r="AF74" i="86" s="1"/>
  <c r="C433" i="66"/>
  <c r="AI72" i="86"/>
  <c r="AH72" i="86"/>
  <c r="AG72" i="86"/>
  <c r="AK72" i="86"/>
  <c r="AJ72" i="86"/>
  <c r="AM245" i="86"/>
  <c r="Y73" i="86" l="1"/>
  <c r="AF73" i="86" s="1"/>
  <c r="C434" i="66"/>
  <c r="AK71" i="86"/>
  <c r="AG71" i="86"/>
  <c r="AJ71" i="86"/>
  <c r="AI71" i="86"/>
  <c r="AH71" i="86"/>
  <c r="AM246" i="86"/>
  <c r="Y72" i="86" l="1"/>
  <c r="AF72" i="86" s="1"/>
  <c r="C435" i="66"/>
  <c r="AI70" i="86"/>
  <c r="AH70" i="86"/>
  <c r="AK70" i="86"/>
  <c r="AJ70" i="86"/>
  <c r="AG70" i="86"/>
  <c r="AM247" i="86"/>
  <c r="Y71" i="86" l="1"/>
  <c r="AF71" i="86" s="1"/>
  <c r="C436" i="66"/>
  <c r="AI69" i="86"/>
  <c r="AG69" i="86"/>
  <c r="AJ69" i="86"/>
  <c r="AK69" i="86"/>
  <c r="AH69" i="86"/>
  <c r="AM248" i="86"/>
  <c r="Y70" i="86" l="1"/>
  <c r="AF70" i="86" s="1"/>
  <c r="C437" i="66"/>
  <c r="AH68" i="86"/>
  <c r="AK68" i="86"/>
  <c r="AG68" i="86"/>
  <c r="AJ68" i="86"/>
  <c r="AI68" i="86"/>
  <c r="AM249" i="86"/>
  <c r="Y69" i="86" l="1"/>
  <c r="AF69" i="86" s="1"/>
  <c r="C438" i="66"/>
  <c r="AJ67" i="86"/>
  <c r="AG67" i="86"/>
  <c r="AK67" i="86"/>
  <c r="AI67" i="86"/>
  <c r="AH67" i="86"/>
  <c r="AM250" i="86"/>
  <c r="Y68" i="86" l="1"/>
  <c r="AF68" i="86" s="1"/>
  <c r="C439" i="66"/>
  <c r="AG66" i="86"/>
  <c r="AH66" i="86"/>
  <c r="AI66" i="86"/>
  <c r="AK66" i="86"/>
  <c r="AJ66" i="86"/>
  <c r="AM251" i="86"/>
  <c r="Y67" i="86" l="1"/>
  <c r="AF67" i="86" s="1"/>
  <c r="C440" i="66"/>
  <c r="AG65" i="86"/>
  <c r="AH65" i="86"/>
  <c r="AJ65" i="86"/>
  <c r="AK65" i="86"/>
  <c r="AI65" i="86"/>
  <c r="AM252" i="86"/>
  <c r="Y66" i="86" l="1"/>
  <c r="AF66" i="86" s="1"/>
  <c r="C441" i="66"/>
  <c r="AH64" i="86"/>
  <c r="AG64" i="86"/>
  <c r="AJ64" i="86"/>
  <c r="AI64" i="86"/>
  <c r="AK64" i="86"/>
  <c r="AM253" i="86"/>
  <c r="Y65" i="86" l="1"/>
  <c r="AF65" i="86" s="1"/>
  <c r="C442" i="66"/>
  <c r="AJ63" i="86"/>
  <c r="AH63" i="86"/>
  <c r="AG63" i="86"/>
  <c r="AK63" i="86"/>
  <c r="AI63" i="86"/>
  <c r="AM254" i="86"/>
  <c r="Y64" i="86" l="1"/>
  <c r="AF64" i="86" s="1"/>
  <c r="C443" i="66"/>
  <c r="AK62" i="86"/>
  <c r="AJ62" i="86"/>
  <c r="AH62" i="86"/>
  <c r="AG62" i="86"/>
  <c r="AI62" i="86"/>
  <c r="AM255" i="86"/>
  <c r="Y63" i="86" l="1"/>
  <c r="AF63" i="86" s="1"/>
  <c r="C444" i="66"/>
  <c r="AJ61" i="86"/>
  <c r="AG61" i="86"/>
  <c r="AH61" i="86"/>
  <c r="AI61" i="86"/>
  <c r="AK61" i="86"/>
  <c r="AM256" i="86"/>
  <c r="Y62" i="86" l="1"/>
  <c r="AF62" i="86" s="1"/>
  <c r="C445" i="66"/>
  <c r="AH60" i="86"/>
  <c r="AG60" i="86"/>
  <c r="AJ60" i="86"/>
  <c r="AK60" i="86"/>
  <c r="AI60" i="86"/>
  <c r="AM257" i="86"/>
  <c r="Y61" i="86" l="1"/>
  <c r="AF61" i="86" s="1"/>
  <c r="C446" i="66"/>
  <c r="AJ59" i="86"/>
  <c r="AG59" i="86"/>
  <c r="AK59" i="86"/>
  <c r="AI59" i="86"/>
  <c r="AH59" i="86"/>
  <c r="AM258" i="86"/>
  <c r="Y60" i="86" l="1"/>
  <c r="AF60" i="86" s="1"/>
  <c r="C447" i="66"/>
  <c r="AG58" i="86"/>
  <c r="AK58" i="86"/>
  <c r="AH58" i="86"/>
  <c r="AJ58" i="86"/>
  <c r="AI58" i="86"/>
  <c r="AM259" i="86"/>
  <c r="Y59" i="86" l="1"/>
  <c r="AF59" i="86" s="1"/>
  <c r="C448" i="66"/>
  <c r="AJ57" i="86"/>
  <c r="AH57" i="86"/>
  <c r="AK57" i="86"/>
  <c r="AI57" i="86"/>
  <c r="AG57" i="86"/>
  <c r="AM260" i="86"/>
  <c r="Y58" i="86" l="1"/>
  <c r="AF58" i="86" s="1"/>
  <c r="C449" i="66"/>
  <c r="AK56" i="86"/>
  <c r="AH56" i="86"/>
  <c r="AG56" i="86"/>
  <c r="AI56" i="86"/>
  <c r="AJ56" i="86"/>
  <c r="AM261" i="86"/>
  <c r="Y57" i="86" l="1"/>
  <c r="AF57" i="86" s="1"/>
  <c r="C450" i="66"/>
  <c r="AJ55" i="86"/>
  <c r="AH55" i="86"/>
  <c r="AK55" i="86"/>
  <c r="AI55" i="86"/>
  <c r="AG55" i="86"/>
  <c r="AM262" i="86"/>
  <c r="Y56" i="86" l="1"/>
  <c r="AF56" i="86" s="1"/>
  <c r="C451" i="66"/>
  <c r="AG54" i="86"/>
  <c r="AI54" i="86"/>
  <c r="AK54" i="86"/>
  <c r="AJ54" i="86"/>
  <c r="AH54" i="86"/>
  <c r="AM263" i="86"/>
  <c r="Y55" i="86" l="1"/>
  <c r="AF55" i="86" s="1"/>
  <c r="C452" i="66"/>
  <c r="AI53" i="86"/>
  <c r="AK53" i="86"/>
  <c r="AJ53" i="86"/>
  <c r="AH53" i="86"/>
  <c r="AG53" i="86"/>
  <c r="AM264" i="86"/>
  <c r="Y54" i="86" l="1"/>
  <c r="AF54" i="86" s="1"/>
  <c r="C453" i="66"/>
  <c r="AI52" i="86"/>
  <c r="AJ52" i="86"/>
  <c r="AG52" i="86"/>
  <c r="AK52" i="86"/>
  <c r="AH52" i="86"/>
  <c r="AM265" i="86"/>
  <c r="Y53" i="86" l="1"/>
  <c r="AF53" i="86" s="1"/>
  <c r="C454" i="66"/>
  <c r="AK51" i="86"/>
  <c r="AG51" i="86"/>
  <c r="AI51" i="86"/>
  <c r="AJ51" i="86"/>
  <c r="AH51" i="86"/>
  <c r="AM266" i="86"/>
  <c r="Y52" i="86" l="1"/>
  <c r="AF52" i="86" s="1"/>
  <c r="C455" i="66"/>
  <c r="AJ50" i="86"/>
  <c r="AK50" i="86"/>
  <c r="AG50" i="86"/>
  <c r="AH50" i="86"/>
  <c r="AI50" i="86"/>
  <c r="AM267" i="86"/>
  <c r="Y51" i="86" l="1"/>
  <c r="AF51" i="86" s="1"/>
  <c r="C456" i="66"/>
  <c r="AI49" i="86"/>
  <c r="AH49" i="86"/>
  <c r="AG49" i="86"/>
  <c r="AK49" i="86"/>
  <c r="AJ49" i="86"/>
  <c r="AM268" i="86"/>
  <c r="Y50" i="86" l="1"/>
  <c r="AF50" i="86" s="1"/>
  <c r="C457" i="66"/>
  <c r="AG48" i="86"/>
  <c r="AK48" i="86"/>
  <c r="AJ48" i="86"/>
  <c r="AH48" i="86"/>
  <c r="AI48" i="86"/>
  <c r="AM269" i="86"/>
  <c r="Y49" i="86" l="1"/>
  <c r="AF49" i="86" s="1"/>
  <c r="C458" i="66"/>
  <c r="AK47" i="86"/>
  <c r="AH47" i="86"/>
  <c r="AJ47" i="86"/>
  <c r="AI47" i="86"/>
  <c r="AG47" i="86"/>
  <c r="AM270" i="86"/>
  <c r="Y48" i="86" l="1"/>
  <c r="AF48" i="86" s="1"/>
  <c r="C459" i="66"/>
  <c r="AH46" i="86"/>
  <c r="AG46" i="86"/>
  <c r="AI46" i="86"/>
  <c r="AJ46" i="86"/>
  <c r="AK46" i="86"/>
  <c r="AM271" i="86"/>
  <c r="Y47" i="86" l="1"/>
  <c r="AF47" i="86" s="1"/>
  <c r="C460" i="66"/>
  <c r="AK45" i="86"/>
  <c r="AJ45" i="86"/>
  <c r="AI45" i="86"/>
  <c r="AG45" i="86"/>
  <c r="AH45" i="86"/>
  <c r="AM272" i="86"/>
  <c r="Y46" i="86" l="1"/>
  <c r="AF46" i="86" s="1"/>
  <c r="C461" i="66"/>
  <c r="AI44" i="86"/>
  <c r="AK44" i="86"/>
  <c r="AG44" i="86"/>
  <c r="AH44" i="86"/>
  <c r="AJ44" i="86"/>
  <c r="AM273" i="86"/>
  <c r="Y45" i="86" l="1"/>
  <c r="AF45" i="86" s="1"/>
  <c r="C462" i="66"/>
  <c r="AH43" i="86"/>
  <c r="AG43" i="86"/>
  <c r="AK43" i="86"/>
  <c r="AJ43" i="86"/>
  <c r="AI43" i="86"/>
  <c r="AM274" i="86"/>
  <c r="Y44" i="86" l="1"/>
  <c r="AF44" i="86" s="1"/>
  <c r="C463" i="66"/>
  <c r="AK42" i="86"/>
  <c r="AG42" i="86"/>
  <c r="AI42" i="86"/>
  <c r="AH42" i="86"/>
  <c r="AJ42" i="86"/>
  <c r="AM275" i="86"/>
  <c r="Y43" i="86" l="1"/>
  <c r="AF43" i="86" s="1"/>
  <c r="C464" i="66"/>
  <c r="AJ41" i="86"/>
  <c r="AH41" i="86"/>
  <c r="AI41" i="86"/>
  <c r="AG41" i="86"/>
  <c r="AK41" i="86"/>
  <c r="AM276" i="86"/>
  <c r="Y42" i="86" l="1"/>
  <c r="AF42" i="86" s="1"/>
  <c r="C465" i="66"/>
  <c r="AG40" i="86"/>
  <c r="AI40" i="86"/>
  <c r="AH40" i="86"/>
  <c r="AJ40" i="86"/>
  <c r="AK40" i="86"/>
  <c r="AM277" i="86"/>
  <c r="Y41" i="86" l="1"/>
  <c r="AF41" i="86" s="1"/>
  <c r="C466" i="66"/>
  <c r="AJ39" i="86"/>
  <c r="AH39" i="86"/>
  <c r="AI39" i="86"/>
  <c r="AG39" i="86"/>
  <c r="AK39" i="86"/>
  <c r="AM278" i="86"/>
  <c r="Y40" i="86" l="1"/>
  <c r="AF40" i="86" s="1"/>
  <c r="C467" i="66"/>
  <c r="AG38" i="86"/>
  <c r="AI38" i="86"/>
  <c r="AH38" i="86"/>
  <c r="AK38" i="86"/>
  <c r="AJ38" i="86"/>
  <c r="AM279" i="86"/>
  <c r="Y39" i="86" l="1"/>
  <c r="AF39" i="86" s="1"/>
  <c r="C468" i="66"/>
  <c r="AK37" i="86"/>
  <c r="AH37" i="86"/>
  <c r="AI37" i="86"/>
  <c r="AG37" i="86"/>
  <c r="AJ37" i="86"/>
  <c r="AM280" i="86"/>
  <c r="Y38" i="86" l="1"/>
  <c r="AF38" i="86" s="1"/>
  <c r="C469" i="66"/>
  <c r="AG36" i="86"/>
  <c r="AI36" i="86"/>
  <c r="AH36" i="86"/>
  <c r="AJ36" i="86"/>
  <c r="AK36" i="86"/>
  <c r="AM281" i="86"/>
  <c r="Y37" i="86" l="1"/>
  <c r="AF37" i="86" s="1"/>
  <c r="C470" i="66"/>
  <c r="AJ35" i="86"/>
  <c r="AH35" i="86"/>
  <c r="AI35" i="86"/>
  <c r="AG35" i="86"/>
  <c r="AK35" i="86"/>
  <c r="AM282" i="86"/>
  <c r="Y36" i="86" l="1"/>
  <c r="AF36" i="86" s="1"/>
  <c r="C471" i="66"/>
  <c r="AK34" i="86"/>
  <c r="AG34" i="86"/>
  <c r="AI34" i="86"/>
  <c r="AH34" i="86"/>
  <c r="AJ34" i="86"/>
  <c r="AM283" i="86"/>
  <c r="Y35" i="86" l="1"/>
  <c r="AF35" i="86" s="1"/>
  <c r="C472" i="66"/>
  <c r="AG33" i="86"/>
  <c r="AH33" i="86"/>
  <c r="AI33" i="86"/>
  <c r="AJ33" i="86"/>
  <c r="AK33" i="86"/>
  <c r="AM284" i="86"/>
  <c r="Y34" i="86" l="1"/>
  <c r="AF34" i="86" s="1"/>
  <c r="C473" i="66"/>
  <c r="AI32" i="86"/>
  <c r="AH32" i="86"/>
  <c r="AG32" i="86"/>
  <c r="AK32" i="86"/>
  <c r="AJ32" i="86"/>
  <c r="AM285" i="86"/>
  <c r="Y33" i="86" l="1"/>
  <c r="AF33" i="86" s="1"/>
  <c r="C474" i="66"/>
  <c r="AG31" i="86"/>
  <c r="AH31" i="86"/>
  <c r="AK31" i="86"/>
  <c r="AJ31" i="86"/>
  <c r="AI31" i="86"/>
  <c r="AM286" i="86"/>
  <c r="Y32" i="86" l="1"/>
  <c r="AF32" i="86" s="1"/>
  <c r="C475" i="66"/>
  <c r="AK30" i="86"/>
  <c r="AJ30" i="86"/>
  <c r="AH30" i="86"/>
  <c r="AI30" i="86"/>
  <c r="AG30" i="86"/>
  <c r="AM287" i="86"/>
  <c r="Y31" i="86" l="1"/>
  <c r="AF31" i="86" s="1"/>
  <c r="C476" i="66"/>
  <c r="AH29" i="86"/>
  <c r="AK29" i="86"/>
  <c r="AJ29" i="86"/>
  <c r="AG29" i="86"/>
  <c r="AI29" i="86"/>
  <c r="AM288" i="86"/>
  <c r="Y30" i="86" l="1"/>
  <c r="AF30" i="86" s="1"/>
  <c r="C477" i="66"/>
  <c r="AG28" i="86"/>
  <c r="AJ28" i="86"/>
  <c r="AK28" i="86"/>
  <c r="AH28" i="86"/>
  <c r="AI28" i="86"/>
  <c r="AM289" i="86"/>
  <c r="Y29" i="86" l="1"/>
  <c r="AF29" i="86" s="1"/>
  <c r="C478" i="66"/>
  <c r="AH27" i="86"/>
  <c r="AK27" i="86"/>
  <c r="AJ27" i="86"/>
  <c r="AI27" i="86"/>
  <c r="AG27" i="86"/>
  <c r="AM290" i="86"/>
  <c r="Y28" i="86" l="1"/>
  <c r="AF28" i="86" s="1"/>
  <c r="C479" i="66"/>
  <c r="AH26" i="86"/>
  <c r="AG26" i="86"/>
  <c r="AI26" i="86"/>
  <c r="AJ26" i="86"/>
  <c r="AK26" i="86"/>
  <c r="AM291" i="86"/>
  <c r="Y27" i="86" l="1"/>
  <c r="AF27" i="86" s="1"/>
  <c r="C480" i="66"/>
  <c r="AJ25" i="86"/>
  <c r="AI25" i="86"/>
  <c r="AG25" i="86"/>
  <c r="AH25" i="86"/>
  <c r="AK25" i="86"/>
  <c r="AM292" i="86"/>
  <c r="Y26" i="86" l="1"/>
  <c r="AF26" i="86" s="1"/>
  <c r="C481" i="66"/>
  <c r="AJ24" i="86"/>
  <c r="AH24" i="86"/>
  <c r="AG24" i="86"/>
  <c r="AI24" i="86"/>
  <c r="AK24" i="86"/>
  <c r="AM293" i="86"/>
  <c r="Y25" i="86" l="1"/>
  <c r="AF25" i="86" s="1"/>
  <c r="C482" i="66"/>
  <c r="AK23" i="86"/>
  <c r="AI23" i="86"/>
  <c r="AG23" i="86"/>
  <c r="AH23" i="86"/>
  <c r="AJ23" i="86"/>
  <c r="AM294" i="86"/>
  <c r="Y24" i="86" l="1"/>
  <c r="AF24" i="86" s="1"/>
  <c r="C483" i="66"/>
  <c r="AJ22" i="86"/>
  <c r="AH22" i="86"/>
  <c r="AI22" i="86"/>
  <c r="AG22" i="86"/>
  <c r="AK22" i="86"/>
  <c r="AM295" i="86"/>
  <c r="Y23" i="86" l="1"/>
  <c r="AF23" i="86" s="1"/>
  <c r="C484" i="66"/>
  <c r="AJ21" i="86"/>
  <c r="AH21" i="86"/>
  <c r="AG21" i="86"/>
  <c r="AI21" i="86"/>
  <c r="AK21" i="86"/>
  <c r="AM296" i="86"/>
  <c r="Y22" i="86" l="1"/>
  <c r="AF22" i="86" s="1"/>
  <c r="C485" i="66"/>
  <c r="AK20" i="86"/>
  <c r="AI20" i="86"/>
  <c r="AG20" i="86"/>
  <c r="AJ20" i="86"/>
  <c r="AH20" i="86"/>
  <c r="AM297" i="86"/>
  <c r="Y21" i="86" l="1"/>
  <c r="AF21" i="86" s="1"/>
  <c r="C486" i="66"/>
  <c r="AJ19" i="86"/>
  <c r="AG19" i="86"/>
  <c r="AI19" i="86"/>
  <c r="AH19" i="86"/>
  <c r="AK19" i="86"/>
  <c r="AM298" i="86"/>
  <c r="Y20" i="86" l="1"/>
  <c r="AF20" i="86" s="1"/>
  <c r="C487" i="66"/>
  <c r="AI18" i="86"/>
  <c r="AH18" i="86"/>
  <c r="AG18" i="86"/>
  <c r="AJ18" i="86"/>
  <c r="AK18" i="86"/>
  <c r="AM299" i="86"/>
  <c r="Y19" i="86" l="1"/>
  <c r="AF19" i="86" s="1"/>
  <c r="C488" i="66"/>
  <c r="AJ17" i="86"/>
  <c r="AG17" i="86"/>
  <c r="AH17" i="86"/>
  <c r="AK17" i="86"/>
  <c r="AI17" i="86"/>
  <c r="AM300" i="86"/>
  <c r="Y18" i="86" l="1"/>
  <c r="AF18" i="86" s="1"/>
  <c r="C489" i="66"/>
  <c r="AH16" i="86"/>
  <c r="AJ16" i="86"/>
  <c r="AI16" i="86"/>
  <c r="AK16" i="86"/>
  <c r="AG16" i="86"/>
  <c r="AM301" i="86"/>
  <c r="Y17" i="86" l="1"/>
  <c r="AF17" i="86" s="1"/>
  <c r="C490" i="66"/>
  <c r="AH15" i="86"/>
  <c r="AK15" i="86"/>
  <c r="AI15" i="86"/>
  <c r="AJ15" i="86"/>
  <c r="AG15" i="86"/>
  <c r="AM302" i="86"/>
  <c r="Y16" i="86" l="1"/>
  <c r="AF16" i="86" s="1"/>
  <c r="C491" i="66"/>
  <c r="AI14" i="86"/>
  <c r="AG14" i="86"/>
  <c r="AJ14" i="86"/>
  <c r="AK14" i="86"/>
  <c r="AH14" i="86"/>
  <c r="AM303" i="86"/>
  <c r="Y15" i="86" l="1"/>
  <c r="AF15" i="86" s="1"/>
  <c r="C492" i="66"/>
  <c r="AK13" i="86"/>
  <c r="AJ13" i="86"/>
  <c r="AG13" i="86"/>
  <c r="AH13" i="86"/>
  <c r="AI13" i="86"/>
  <c r="AM304" i="86"/>
  <c r="Y14" i="86" l="1"/>
  <c r="AF14" i="86" s="1"/>
  <c r="C493" i="66"/>
  <c r="AH12" i="86"/>
  <c r="AG12" i="86"/>
  <c r="AJ12" i="86"/>
  <c r="AI12" i="86"/>
  <c r="AK12" i="86"/>
  <c r="AM305" i="86"/>
  <c r="Y13" i="86" l="1"/>
  <c r="AF13" i="86" s="1"/>
  <c r="C494" i="66"/>
  <c r="AG11" i="86"/>
  <c r="AJ11" i="86"/>
  <c r="AK11" i="86"/>
  <c r="AH11" i="86"/>
  <c r="AI11" i="86"/>
  <c r="AM306" i="86"/>
  <c r="Y12" i="86" l="1"/>
  <c r="AF12" i="86" s="1"/>
  <c r="C495" i="66"/>
  <c r="AJ10" i="86"/>
  <c r="AH10" i="86"/>
  <c r="AK10" i="86"/>
  <c r="AG10" i="86"/>
  <c r="AI10" i="86"/>
  <c r="AM307" i="86"/>
  <c r="Y11" i="86" l="1"/>
  <c r="AF11" i="86" s="1"/>
  <c r="C496" i="66"/>
  <c r="AG9" i="86"/>
  <c r="AH9" i="86"/>
  <c r="AK9" i="86"/>
  <c r="AI9" i="86"/>
  <c r="AJ9" i="86"/>
  <c r="AM308" i="86"/>
  <c r="Y10" i="86" l="1"/>
  <c r="AF10" i="86" s="1"/>
  <c r="C497" i="66"/>
  <c r="AK8" i="86"/>
  <c r="AH8" i="86"/>
  <c r="AG8" i="86"/>
  <c r="AJ8" i="86"/>
  <c r="AI8" i="86"/>
  <c r="AM309" i="86"/>
  <c r="Y9" i="86" l="1"/>
  <c r="AF9" i="86" s="1"/>
  <c r="C498" i="66"/>
  <c r="AG7" i="86"/>
  <c r="AJ7" i="86"/>
  <c r="AH7" i="86"/>
  <c r="AK7" i="86"/>
  <c r="AI7" i="86"/>
  <c r="AM310" i="86"/>
  <c r="Y8" i="86" l="1"/>
  <c r="AF8" i="86" s="1"/>
  <c r="C499" i="66"/>
  <c r="AK6" i="86"/>
  <c r="AJ6" i="86"/>
  <c r="AH6" i="86"/>
  <c r="AI6" i="86"/>
  <c r="AG6" i="86"/>
  <c r="AM311" i="86"/>
  <c r="Y7" i="86" l="1"/>
  <c r="AF7" i="86" s="1"/>
  <c r="C500" i="66"/>
  <c r="AJ5" i="86"/>
  <c r="AG5" i="86"/>
  <c r="AH5" i="86"/>
  <c r="AI5" i="86"/>
  <c r="AK5" i="86"/>
  <c r="AM312" i="86"/>
  <c r="Y6" i="86" l="1"/>
  <c r="AF6" i="86" s="1"/>
  <c r="C501" i="66"/>
  <c r="AM313" i="86"/>
  <c r="Y5" i="86" l="1"/>
  <c r="AF5" i="86" s="1"/>
  <c r="C502" i="66"/>
  <c r="AM314" i="86"/>
  <c r="C503" i="66" l="1"/>
  <c r="AM315" i="86"/>
  <c r="C504" i="66" l="1"/>
  <c r="AM316" i="86"/>
  <c r="C505" i="66" l="1"/>
  <c r="AM317" i="86"/>
  <c r="C506" i="66" l="1"/>
  <c r="AM318" i="86"/>
  <c r="C507" i="66" l="1"/>
  <c r="AM319" i="86"/>
  <c r="C508" i="66" l="1"/>
  <c r="AM320" i="86"/>
  <c r="C509" i="66" l="1"/>
  <c r="AM321" i="86"/>
  <c r="C510" i="66" l="1"/>
  <c r="AM322" i="86"/>
  <c r="C511" i="66" l="1"/>
  <c r="AM323" i="86"/>
  <c r="C512" i="66" l="1"/>
  <c r="AM324" i="86"/>
  <c r="C513" i="66" l="1"/>
  <c r="AM325" i="86"/>
  <c r="C514" i="66" l="1"/>
  <c r="AM326" i="86"/>
  <c r="C515" i="66" l="1"/>
  <c r="AM327" i="86"/>
  <c r="C516" i="66" l="1"/>
  <c r="AM328" i="86"/>
  <c r="C517" i="66" l="1"/>
  <c r="AM329" i="86"/>
  <c r="C518" i="66" l="1"/>
  <c r="AM330" i="86"/>
  <c r="C519" i="66" l="1"/>
  <c r="AM331" i="86"/>
  <c r="C520" i="66" l="1"/>
  <c r="AM332" i="86"/>
  <c r="C521" i="66" l="1"/>
  <c r="AM333" i="86"/>
  <c r="C522" i="66" l="1"/>
  <c r="AM334" i="86"/>
  <c r="C523" i="66" l="1"/>
  <c r="AM335" i="86"/>
  <c r="C524" i="66" l="1"/>
  <c r="AM336" i="86"/>
  <c r="C525" i="66" l="1"/>
  <c r="AM337" i="86"/>
  <c r="C526" i="66" l="1"/>
  <c r="AM338" i="86"/>
  <c r="C527" i="66" l="1"/>
  <c r="AM339" i="86"/>
  <c r="C528" i="66" l="1"/>
  <c r="AM340" i="86"/>
  <c r="C529" i="66" l="1"/>
  <c r="AM341" i="86"/>
  <c r="C530" i="66" l="1"/>
  <c r="AM342" i="86"/>
  <c r="C531" i="66" l="1"/>
  <c r="AM343" i="86"/>
  <c r="C532" i="66" l="1"/>
  <c r="AM344" i="86"/>
  <c r="C533" i="66" l="1"/>
  <c r="AM345" i="86"/>
  <c r="C534" i="66" l="1"/>
  <c r="AM346" i="86"/>
  <c r="C535" i="66" l="1"/>
  <c r="AM347" i="86"/>
  <c r="C536" i="66" l="1"/>
  <c r="AM348" i="86"/>
  <c r="C537" i="66" l="1"/>
  <c r="AM349" i="86"/>
  <c r="C538" i="66" l="1"/>
  <c r="AM350" i="86"/>
  <c r="C539" i="66" l="1"/>
  <c r="AM351" i="86"/>
  <c r="C540" i="66" l="1"/>
  <c r="AM352" i="86"/>
  <c r="C541" i="66" l="1"/>
  <c r="AM353" i="86"/>
  <c r="C542" i="66" l="1"/>
  <c r="AM354" i="86"/>
  <c r="C543" i="66" l="1"/>
  <c r="AM355" i="86"/>
  <c r="C544" i="66" l="1"/>
  <c r="AM356" i="86"/>
  <c r="C545" i="66" l="1"/>
  <c r="AM357" i="86"/>
  <c r="C546" i="66" l="1"/>
  <c r="AM358" i="86"/>
  <c r="C547" i="66" l="1"/>
  <c r="AM359" i="86"/>
  <c r="C548" i="66" l="1"/>
  <c r="AM360" i="86"/>
  <c r="C549" i="66" l="1"/>
  <c r="AM361" i="86"/>
  <c r="C550" i="66" l="1"/>
  <c r="AM362" i="86"/>
  <c r="C551" i="66" l="1"/>
  <c r="AM363" i="86"/>
  <c r="C552" i="66" l="1"/>
  <c r="AM364" i="86"/>
  <c r="C553" i="66" l="1"/>
  <c r="AM365" i="86"/>
  <c r="C554" i="66" l="1"/>
  <c r="AM366" i="86"/>
  <c r="C555" i="66" l="1"/>
  <c r="AM367" i="86"/>
  <c r="C556" i="66" l="1"/>
  <c r="AM368" i="86"/>
  <c r="C557" i="66" l="1"/>
  <c r="AM369" i="86"/>
  <c r="C558" i="66" l="1"/>
  <c r="AM370" i="86"/>
  <c r="AM371" i="86" l="1"/>
  <c r="AM372" i="86" l="1"/>
  <c r="AM373" i="86" l="1"/>
  <c r="AM374" i="86" l="1"/>
  <c r="AM375" i="86" l="1"/>
  <c r="AM376" i="86" l="1"/>
  <c r="AM377" i="86" l="1"/>
  <c r="AM378" i="86" l="1"/>
  <c r="AM379" i="86" l="1"/>
  <c r="AM380" i="86" l="1"/>
  <c r="AM381" i="86" l="1"/>
  <c r="AM382" i="86" l="1"/>
  <c r="AM383" i="86" l="1"/>
  <c r="AM384" i="86" l="1"/>
  <c r="AM385" i="86" l="1"/>
  <c r="AM386" i="86" l="1"/>
  <c r="AM387" i="86" l="1"/>
  <c r="AM388" i="86" l="1"/>
  <c r="AM389" i="86" l="1"/>
  <c r="AM390" i="86" l="1"/>
  <c r="AM391" i="86" l="1"/>
  <c r="AM392" i="86" l="1"/>
  <c r="AM393" i="86" l="1"/>
  <c r="AM394" i="86" l="1"/>
  <c r="AM395" i="86" l="1"/>
  <c r="AM396" i="86" l="1"/>
  <c r="AM397" i="86" l="1"/>
  <c r="AM398" i="86" l="1"/>
  <c r="AM399" i="86" l="1"/>
  <c r="AM400" i="86" l="1"/>
  <c r="AM401" i="86" l="1"/>
  <c r="AM402" i="86" l="1"/>
  <c r="AM403" i="86" l="1"/>
  <c r="AM404" i="86" l="1"/>
  <c r="AM405" i="86" l="1"/>
  <c r="AM406" i="86" l="1"/>
  <c r="AM407" i="86" l="1"/>
  <c r="AM408" i="86" l="1"/>
  <c r="AM409" i="86" l="1"/>
  <c r="AM410" i="86" l="1"/>
  <c r="AM411" i="86" l="1"/>
  <c r="AM412" i="86" l="1"/>
  <c r="AM413" i="86" l="1"/>
  <c r="AM414" i="86" l="1"/>
  <c r="AM415" i="86" l="1"/>
  <c r="AM416" i="86" l="1"/>
  <c r="AM417" i="86" l="1"/>
  <c r="AM418" i="86" l="1"/>
  <c r="AM419" i="86" l="1"/>
  <c r="AM420" i="86" l="1"/>
  <c r="AM421" i="86" l="1"/>
  <c r="AM422" i="86" l="1"/>
  <c r="AM423" i="86" l="1"/>
  <c r="AM424" i="86" l="1"/>
  <c r="AM425" i="86" l="1"/>
  <c r="AM426" i="86" l="1"/>
  <c r="AM427" i="86" l="1"/>
  <c r="AM428" i="86" l="1"/>
  <c r="AM429" i="86" l="1"/>
  <c r="AM430" i="86" l="1"/>
  <c r="AM431" i="86" l="1"/>
  <c r="AM432" i="86" l="1"/>
  <c r="AM433" i="86" l="1"/>
  <c r="AM434" i="86" l="1"/>
  <c r="AM435" i="86" l="1"/>
  <c r="AM436" i="86" l="1"/>
  <c r="AM437" i="86" l="1"/>
  <c r="AM438" i="86" l="1"/>
  <c r="AM439" i="86" l="1"/>
  <c r="AM440" i="86" l="1"/>
  <c r="AM441" i="86" l="1"/>
  <c r="AM442" i="86" l="1"/>
  <c r="AM443" i="86" l="1"/>
  <c r="AM444" i="86" l="1"/>
  <c r="AM445" i="86" l="1"/>
  <c r="AM446" i="86" l="1"/>
  <c r="AM447" i="86" l="1"/>
  <c r="AM448" i="86" l="1"/>
  <c r="AM449" i="86" l="1"/>
  <c r="AM450" i="86" l="1"/>
  <c r="AM451" i="86" l="1"/>
  <c r="AM452" i="86" l="1"/>
  <c r="AM453" i="86" l="1"/>
  <c r="AM454" i="86" l="1"/>
  <c r="AM455" i="86" l="1"/>
  <c r="AM456" i="86" l="1"/>
  <c r="AM457" i="86" l="1"/>
  <c r="AM458" i="86" l="1"/>
  <c r="AM459" i="86" l="1"/>
  <c r="AM460" i="86" l="1"/>
  <c r="AM461" i="86" l="1"/>
  <c r="AM462" i="86" l="1"/>
  <c r="AM463" i="86" l="1"/>
  <c r="AM464" i="86" l="1"/>
  <c r="AM465" i="86" l="1"/>
  <c r="AM466" i="86" l="1"/>
  <c r="AM467" i="86" l="1"/>
  <c r="AM468" i="86" l="1"/>
  <c r="AM469" i="86" l="1"/>
  <c r="AM470" i="86" l="1"/>
  <c r="AM471" i="86" l="1"/>
  <c r="AM472" i="86" l="1"/>
  <c r="AM473" i="86" l="1"/>
  <c r="AM474" i="86" l="1"/>
  <c r="AM475" i="86" l="1"/>
  <c r="AM476" i="86" l="1"/>
  <c r="AM477" i="86" l="1"/>
  <c r="AM478" i="86" l="1"/>
  <c r="AM479" i="86" l="1"/>
  <c r="AM480" i="86" l="1"/>
  <c r="AM481" i="86" l="1"/>
  <c r="AM482" i="86" l="1"/>
  <c r="AM483" i="86" l="1"/>
  <c r="AM484" i="86" l="1"/>
  <c r="AM485" i="86" l="1"/>
  <c r="AM486" i="86" l="1"/>
  <c r="AM487" i="86" l="1"/>
  <c r="AM488" i="86" l="1"/>
  <c r="AM489" i="86" l="1"/>
  <c r="AM490" i="86" l="1"/>
  <c r="AM491" i="86" l="1"/>
  <c r="AM492" i="86" l="1"/>
  <c r="AM493" i="86" l="1"/>
  <c r="AM494" i="86" l="1"/>
  <c r="AM495" i="86" l="1"/>
  <c r="AM496" i="86" l="1"/>
  <c r="AM497" i="86" l="1"/>
  <c r="AM498" i="86" l="1"/>
  <c r="AM499" i="86" l="1"/>
  <c r="AM500" i="86" l="1"/>
  <c r="AM501" i="86" l="1"/>
  <c r="AM502" i="86" l="1"/>
  <c r="AM503" i="86" l="1"/>
  <c r="AM504" i="86" l="1"/>
  <c r="AM505" i="86" l="1"/>
  <c r="AM506" i="86" l="1"/>
  <c r="AM507" i="86" l="1"/>
  <c r="AM508" i="86" l="1"/>
  <c r="AM509" i="86" l="1"/>
  <c r="AM510" i="86" l="1"/>
  <c r="AM511" i="86" l="1"/>
  <c r="AM512" i="86" l="1"/>
  <c r="AM513" i="86" l="1"/>
  <c r="AM514" i="86" l="1"/>
  <c r="AM515" i="86" l="1"/>
  <c r="AM516" i="86" l="1"/>
  <c r="AM517" i="86" l="1"/>
  <c r="AM518" i="86" l="1"/>
  <c r="AM519" i="86" l="1"/>
  <c r="AM520" i="86" l="1"/>
  <c r="AM521" i="86" l="1"/>
  <c r="AM522" i="86" l="1"/>
  <c r="AM523" i="86" l="1"/>
  <c r="AM524" i="86" l="1"/>
  <c r="AM525" i="86" l="1"/>
  <c r="AM526" i="86" l="1"/>
  <c r="AM527" i="86" l="1"/>
  <c r="AM528" i="86" l="1"/>
  <c r="AM529" i="86" l="1"/>
  <c r="AM530" i="86" l="1"/>
  <c r="AM531" i="86" l="1"/>
  <c r="AM532" i="86" l="1"/>
  <c r="AM533" i="86" l="1"/>
  <c r="AM534" i="86" l="1"/>
  <c r="AM535" i="86" l="1"/>
  <c r="AM536" i="86" l="1"/>
  <c r="AM537" i="86" l="1"/>
  <c r="AM538" i="86" l="1"/>
  <c r="AM539" i="86" l="1"/>
  <c r="AM540" i="86" l="1"/>
  <c r="AM541" i="86" l="1"/>
  <c r="AM542" i="86" l="1"/>
  <c r="AM543" i="86" l="1"/>
  <c r="AM544" i="86" l="1"/>
  <c r="AM545" i="86" l="1"/>
  <c r="AM546" i="86" l="1"/>
  <c r="AM547" i="86" l="1"/>
  <c r="AM548" i="86" l="1"/>
  <c r="AM549" i="86" l="1"/>
  <c r="AM550" i="86" l="1"/>
  <c r="AM551" i="86" l="1"/>
  <c r="AM552" i="86" l="1"/>
  <c r="AM553" i="86" l="1"/>
  <c r="AM554" i="86" l="1"/>
  <c r="AM555" i="86" l="1"/>
  <c r="AM556" i="86" l="1"/>
  <c r="AM557" i="86" l="1"/>
  <c r="AM558" i="86" l="1"/>
  <c r="AM559" i="86" l="1"/>
  <c r="AM560" i="86" l="1"/>
  <c r="AM561" i="86" l="1"/>
  <c r="AM562" i="86" l="1"/>
  <c r="AM563" i="86" l="1"/>
  <c r="AM564" i="86" l="1"/>
  <c r="AM565" i="86" l="1"/>
  <c r="AM566" i="86" l="1"/>
  <c r="AM567" i="86" l="1"/>
  <c r="AM568" i="86" l="1"/>
  <c r="AM569" i="86" l="1"/>
  <c r="AM570" i="86" l="1"/>
  <c r="AM571" i="86" l="1"/>
  <c r="AM572" i="86" l="1"/>
  <c r="AM573" i="86" l="1"/>
  <c r="AM574" i="86" l="1"/>
  <c r="AM575" i="86" l="1"/>
  <c r="AM576" i="86" l="1"/>
  <c r="AM577" i="86" l="1"/>
  <c r="AM578" i="86" l="1"/>
  <c r="AM579" i="86" l="1"/>
  <c r="AM580" i="86" l="1"/>
  <c r="AM581" i="86" l="1"/>
  <c r="AM582" i="86" l="1"/>
  <c r="AM583" i="86" l="1"/>
  <c r="AM584" i="86" l="1"/>
  <c r="AM585" i="86" l="1"/>
  <c r="AM586" i="86" l="1"/>
  <c r="AM587" i="86" l="1"/>
  <c r="AM588" i="86" l="1"/>
  <c r="AM589" i="86" l="1"/>
  <c r="AM590" i="86" l="1"/>
  <c r="AM591" i="86" l="1"/>
  <c r="AM592" i="86" l="1"/>
  <c r="AM593" i="86" l="1"/>
  <c r="AM594" i="86" l="1"/>
  <c r="AM595" i="86" l="1"/>
  <c r="AM596" i="86" l="1"/>
  <c r="AM597" i="86" l="1"/>
  <c r="AM598" i="86" l="1"/>
  <c r="AM599" i="86" l="1"/>
  <c r="AM600" i="86" l="1"/>
  <c r="AM601" i="86" l="1"/>
  <c r="AM602" i="86" l="1"/>
  <c r="AM603" i="86" l="1"/>
  <c r="AM604" i="86" l="1"/>
  <c r="AM605" i="86" l="1"/>
  <c r="AM606" i="86" l="1"/>
  <c r="AM607" i="86" l="1"/>
  <c r="AM608" i="86" l="1"/>
  <c r="AM609" i="86" l="1"/>
  <c r="AM610" i="86" l="1"/>
  <c r="AM611" i="86" l="1"/>
  <c r="AM612" i="86" l="1"/>
  <c r="AM613" i="86" l="1"/>
  <c r="AM614" i="86" l="1"/>
  <c r="AM615" i="86" l="1"/>
  <c r="AM616" i="86" l="1"/>
  <c r="AM617" i="86" l="1"/>
  <c r="AM618" i="86" l="1"/>
  <c r="AM619" i="86" l="1"/>
  <c r="AM620" i="86" l="1"/>
  <c r="AM621" i="86" l="1"/>
  <c r="AM622" i="86" l="1"/>
  <c r="AM623" i="86" l="1"/>
  <c r="AM624" i="86" l="1"/>
  <c r="AM625" i="86" l="1"/>
  <c r="AM626" i="86" l="1"/>
  <c r="AM627" i="86" l="1"/>
  <c r="AM628" i="86" l="1"/>
  <c r="AM629" i="86" l="1"/>
  <c r="AM630" i="86" l="1"/>
  <c r="AM631" i="86" l="1"/>
  <c r="AM632" i="86" l="1"/>
  <c r="AM633" i="86" l="1"/>
  <c r="AM634" i="86" l="1"/>
  <c r="AM635" i="86" l="1"/>
  <c r="AM636" i="86" l="1"/>
  <c r="AM637" i="86" l="1"/>
  <c r="AM638" i="86" l="1"/>
  <c r="AM639" i="86" l="1"/>
  <c r="AM640" i="86" l="1"/>
  <c r="AM641" i="86" l="1"/>
  <c r="AM642" i="86" l="1"/>
  <c r="AM643" i="86" l="1"/>
  <c r="AM644" i="86" l="1"/>
  <c r="AM645" i="86" l="1"/>
  <c r="AM646" i="86" l="1"/>
  <c r="AM647" i="86" l="1"/>
  <c r="AM648" i="86" l="1"/>
  <c r="AM649" i="86" l="1"/>
  <c r="AM650" i="86" l="1"/>
  <c r="AM651" i="86" l="1"/>
  <c r="AM652" i="86" l="1"/>
  <c r="AM653" i="86" l="1"/>
  <c r="AM654" i="86" l="1"/>
  <c r="AM655" i="86" l="1"/>
  <c r="AM656" i="86" l="1"/>
  <c r="AM657" i="86" l="1"/>
  <c r="AM658" i="86" l="1"/>
  <c r="AM659" i="86" l="1"/>
  <c r="AM660" i="86" l="1"/>
  <c r="AM661" i="86" l="1"/>
  <c r="AM662" i="86" l="1"/>
  <c r="AM663" i="86" l="1"/>
  <c r="AM664" i="86" l="1"/>
  <c r="AM665" i="86" l="1"/>
  <c r="AM666" i="86" l="1"/>
  <c r="AM667" i="86" l="1"/>
  <c r="AM668" i="86" l="1"/>
  <c r="AM669" i="86" l="1"/>
  <c r="AM670" i="86" l="1"/>
  <c r="AM671" i="86" l="1"/>
  <c r="AM672" i="86" l="1"/>
  <c r="AM673" i="86" l="1"/>
  <c r="AM674" i="86" l="1"/>
  <c r="AM675" i="86" l="1"/>
  <c r="AM676" i="86" l="1"/>
  <c r="AM677" i="86" l="1"/>
  <c r="AM678" i="86" l="1"/>
  <c r="AM679" i="86" l="1"/>
  <c r="AM680" i="86" l="1"/>
  <c r="AM681" i="86" l="1"/>
  <c r="AM682" i="86" l="1"/>
  <c r="AM683" i="86" l="1"/>
  <c r="AM684" i="86" l="1"/>
  <c r="AM685" i="86" l="1"/>
  <c r="AM686" i="86" l="1"/>
  <c r="AM687" i="86" l="1"/>
  <c r="AM688" i="86" l="1"/>
  <c r="AM689" i="86" l="1"/>
  <c r="AM690" i="86" l="1"/>
  <c r="AM691" i="86" l="1"/>
  <c r="AM692" i="86" l="1"/>
  <c r="AM693" i="86" l="1"/>
  <c r="AM694" i="86" l="1"/>
  <c r="AM695" i="86" l="1"/>
  <c r="AM696" i="86" l="1"/>
  <c r="AM697" i="86" l="1"/>
  <c r="AM698" i="86" l="1"/>
  <c r="AM699" i="86" l="1"/>
  <c r="AM700" i="86" l="1"/>
  <c r="AM701" i="86" l="1"/>
  <c r="AM702" i="86" l="1"/>
  <c r="AM703" i="86" l="1"/>
  <c r="AM704" i="86" l="1"/>
  <c r="AM705" i="86" l="1"/>
  <c r="AM706" i="86" l="1"/>
  <c r="AM707" i="86" l="1"/>
  <c r="AM708" i="86" l="1"/>
  <c r="AM709" i="86" l="1"/>
  <c r="AM710" i="86" l="1"/>
  <c r="AM711" i="86" l="1"/>
  <c r="AM712" i="86" l="1"/>
  <c r="AM713" i="86" l="1"/>
  <c r="AM714" i="86" l="1"/>
  <c r="AM715" i="86" l="1"/>
  <c r="AM716" i="86" l="1"/>
  <c r="AM717" i="86" l="1"/>
  <c r="AM718" i="86" l="1"/>
  <c r="AM719" i="86" l="1"/>
  <c r="AM720" i="86" l="1"/>
  <c r="AM721" i="86" l="1"/>
  <c r="AM722" i="86" l="1"/>
  <c r="AM723" i="86" l="1"/>
  <c r="AM724" i="86" l="1"/>
  <c r="AM725" i="86" l="1"/>
  <c r="AM726" i="86" l="1"/>
  <c r="AM727" i="86" l="1"/>
  <c r="AM728" i="86" l="1"/>
  <c r="AM729" i="86" l="1"/>
  <c r="AM730" i="86" l="1"/>
  <c r="AM731" i="86" l="1"/>
  <c r="AM732" i="86" l="1"/>
  <c r="AM733" i="86" l="1"/>
  <c r="AM734" i="86" l="1"/>
  <c r="AM735" i="86" l="1"/>
  <c r="AM736" i="86" l="1"/>
  <c r="AM737" i="86" l="1"/>
  <c r="AM738" i="86" l="1"/>
  <c r="AM739" i="86" l="1"/>
  <c r="AM740" i="86" l="1"/>
  <c r="AM741" i="86" l="1"/>
  <c r="AM742" i="86" l="1"/>
  <c r="AM743" i="86" l="1"/>
  <c r="AM744" i="86" l="1"/>
  <c r="AM745" i="86" l="1"/>
  <c r="AM746" i="86" l="1"/>
  <c r="AM747" i="86" l="1"/>
  <c r="AM748" i="86" l="1"/>
  <c r="AM749" i="86" l="1"/>
  <c r="AM750" i="86" l="1"/>
  <c r="AM751" i="86" l="1"/>
  <c r="AM752" i="86" l="1"/>
  <c r="AM753" i="86" l="1"/>
  <c r="AM754" i="86" l="1"/>
  <c r="AM755" i="86" l="1"/>
  <c r="AM756" i="86" l="1"/>
  <c r="AM757" i="86" l="1"/>
  <c r="AM758" i="86" l="1"/>
  <c r="AM759" i="86" l="1"/>
  <c r="AM760" i="86" l="1"/>
  <c r="AM761" i="86" l="1"/>
  <c r="AM762" i="86" l="1"/>
  <c r="AM763" i="86" l="1"/>
  <c r="AM764" i="86" l="1"/>
  <c r="AM765" i="86" l="1"/>
  <c r="AM766" i="86" l="1"/>
  <c r="AM767" i="86" l="1"/>
  <c r="AM768" i="86" l="1"/>
  <c r="AM769" i="86" l="1"/>
  <c r="AM770" i="86" l="1"/>
  <c r="AM771" i="86" l="1"/>
  <c r="AM772" i="86" l="1"/>
  <c r="AM773" i="86" l="1"/>
  <c r="AM774" i="86" l="1"/>
  <c r="AM775" i="86" l="1"/>
  <c r="AM776" i="86" l="1"/>
  <c r="AM777" i="86" l="1"/>
  <c r="AM778" i="86" l="1"/>
  <c r="AM779" i="86" l="1"/>
  <c r="AM780" i="86" l="1"/>
  <c r="AM781" i="86" l="1"/>
  <c r="AM782" i="86" l="1"/>
  <c r="AM783" i="86" l="1"/>
  <c r="AM784" i="86" l="1"/>
  <c r="AM785" i="86" l="1"/>
  <c r="AM786" i="86" l="1"/>
  <c r="AM787" i="86" l="1"/>
  <c r="AM788" i="86" l="1"/>
  <c r="AM789" i="86" l="1"/>
  <c r="AM790" i="86" l="1"/>
  <c r="AM791" i="86" l="1"/>
  <c r="AM792" i="86" l="1"/>
  <c r="AM793" i="86" l="1"/>
  <c r="AM794" i="86" l="1"/>
  <c r="AM795" i="86" l="1"/>
  <c r="AM796" i="86" l="1"/>
  <c r="AM797" i="86" l="1"/>
  <c r="AM798" i="86" l="1"/>
  <c r="AM799" i="86" l="1"/>
  <c r="AM800" i="86" l="1"/>
  <c r="AM801" i="86" l="1"/>
  <c r="AM802" i="86" l="1"/>
  <c r="AM803" i="86" l="1"/>
  <c r="AM804" i="86" l="1"/>
  <c r="AM805" i="86" l="1"/>
  <c r="AM806" i="86" l="1"/>
  <c r="AM807" i="86" l="1"/>
  <c r="AM808" i="86" l="1"/>
  <c r="AM809" i="86" l="1"/>
  <c r="AM810" i="86" l="1"/>
  <c r="AM811" i="86" l="1"/>
  <c r="AM812" i="86" l="1"/>
  <c r="AM813" i="86" l="1"/>
  <c r="AM814" i="86" l="1"/>
  <c r="AM815" i="86" l="1"/>
  <c r="AM816" i="86" l="1"/>
  <c r="AM817" i="86" l="1"/>
  <c r="AM818" i="86" l="1"/>
  <c r="AM819" i="86" l="1"/>
  <c r="AM820" i="86" l="1"/>
  <c r="AM821" i="86" l="1"/>
  <c r="AM822" i="86" l="1"/>
  <c r="AM823" i="86" l="1"/>
  <c r="AM824" i="86" l="1"/>
  <c r="AM825" i="86" l="1"/>
  <c r="AM826" i="86" l="1"/>
  <c r="AM827" i="86" l="1"/>
  <c r="AM828" i="86" l="1"/>
  <c r="AM829" i="86" l="1"/>
  <c r="AM830" i="86" l="1"/>
  <c r="AM831" i="86" l="1"/>
  <c r="AM832" i="86" l="1"/>
  <c r="AM833" i="86" l="1"/>
  <c r="AM834" i="86" l="1"/>
  <c r="AM835" i="86" l="1"/>
  <c r="AM836" i="86" l="1"/>
  <c r="AM837" i="86" l="1"/>
  <c r="AM838" i="86" l="1"/>
  <c r="AM839" i="86" l="1"/>
  <c r="AM840" i="86" l="1"/>
  <c r="AM841" i="86" l="1"/>
  <c r="AM842" i="86" l="1"/>
  <c r="AM843" i="86" l="1"/>
  <c r="AM844" i="86" l="1"/>
  <c r="AM845" i="86" l="1"/>
  <c r="AM846" i="86" l="1"/>
  <c r="AM847" i="86" l="1"/>
  <c r="AM848" i="86" l="1"/>
  <c r="AM849" i="86" l="1"/>
  <c r="AM850" i="86" l="1"/>
  <c r="AM851" i="86" l="1"/>
  <c r="AM852" i="86" l="1"/>
  <c r="AM853" i="86" l="1"/>
  <c r="AM854" i="86" l="1"/>
  <c r="AM855" i="86" l="1"/>
  <c r="AM856" i="86" l="1"/>
  <c r="AM857" i="86" l="1"/>
  <c r="AM858" i="86" l="1"/>
  <c r="AM859" i="86" l="1"/>
  <c r="AM860" i="86" l="1"/>
  <c r="AM861" i="86" l="1"/>
  <c r="AM862" i="86" l="1"/>
  <c r="AM863" i="86" l="1"/>
  <c r="AM864" i="86" l="1"/>
  <c r="AM865" i="86" l="1"/>
  <c r="AM866" i="86" l="1"/>
  <c r="AM867" i="86" l="1"/>
  <c r="AM868" i="86" l="1"/>
  <c r="AM869" i="86" l="1"/>
  <c r="AM870" i="86" l="1"/>
  <c r="AM871" i="86" l="1"/>
  <c r="AM872" i="86" l="1"/>
  <c r="AM873" i="86" l="1"/>
  <c r="AM874" i="86" l="1"/>
  <c r="AM875" i="86" l="1"/>
  <c r="AM876" i="86" l="1"/>
  <c r="AM877" i="86" l="1"/>
  <c r="AM878" i="86" l="1"/>
  <c r="AM879" i="86" l="1"/>
  <c r="AM880" i="86" l="1"/>
  <c r="AM881" i="86" l="1"/>
  <c r="AM882" i="86" l="1"/>
  <c r="AM883" i="86" l="1"/>
  <c r="AM884" i="86" l="1"/>
  <c r="AM885" i="86" l="1"/>
  <c r="AM886" i="86" l="1"/>
  <c r="AM887" i="86" l="1"/>
  <c r="AM888" i="86" l="1"/>
  <c r="AM889" i="86" l="1"/>
  <c r="AM890" i="86" l="1"/>
  <c r="AM891" i="86" l="1"/>
  <c r="AM892" i="86" l="1"/>
  <c r="AM893" i="86" l="1"/>
  <c r="AM894" i="86" l="1"/>
  <c r="AM895" i="86" l="1"/>
  <c r="AM896" i="86" l="1"/>
  <c r="AM897" i="86" l="1"/>
  <c r="AM898" i="86" l="1"/>
  <c r="AM899" i="86" l="1"/>
  <c r="AM900" i="86" l="1"/>
  <c r="AM901" i="86" l="1"/>
  <c r="AM902" i="86" l="1"/>
  <c r="AM903" i="86" l="1"/>
  <c r="AM904" i="86" l="1"/>
  <c r="AM905" i="86" l="1"/>
  <c r="AM906" i="86" l="1"/>
  <c r="AM907" i="86" l="1"/>
  <c r="AM908" i="86" l="1"/>
  <c r="AM909" i="86" l="1"/>
  <c r="AM910" i="86" l="1"/>
  <c r="AM911" i="86" l="1"/>
  <c r="AM912" i="86" l="1"/>
  <c r="AM913" i="86" l="1"/>
  <c r="AM914" i="86" l="1"/>
  <c r="AM915" i="86" l="1"/>
  <c r="AM916" i="86" l="1"/>
  <c r="AM917" i="86" l="1"/>
  <c r="AM918" i="86" l="1"/>
  <c r="AM919" i="86" l="1"/>
  <c r="AM920" i="86" l="1"/>
  <c r="AM921" i="86" l="1"/>
  <c r="AM922" i="86" l="1"/>
  <c r="AM923" i="86" l="1"/>
  <c r="AM924" i="86" l="1"/>
  <c r="AM925" i="86" l="1"/>
  <c r="AM926" i="86" l="1"/>
  <c r="AM927" i="86" l="1"/>
  <c r="AM928" i="86" l="1"/>
  <c r="AM929" i="86" l="1"/>
  <c r="AM930" i="86" l="1"/>
  <c r="AM931" i="86" l="1"/>
  <c r="AM932" i="86" l="1"/>
  <c r="AM933" i="86" l="1"/>
  <c r="AM934" i="86" l="1"/>
  <c r="AM935" i="86" l="1"/>
  <c r="AM936" i="86" l="1"/>
  <c r="AM937" i="86" l="1"/>
  <c r="AM938" i="86" l="1"/>
  <c r="AM939" i="86" l="1"/>
  <c r="AM940" i="86" l="1"/>
  <c r="AM941" i="86" l="1"/>
  <c r="AM942" i="86" l="1"/>
  <c r="AM943" i="86" l="1"/>
  <c r="AM944" i="86" l="1"/>
  <c r="AM945" i="86" l="1"/>
  <c r="AM946" i="86" l="1"/>
  <c r="AM947" i="86" l="1"/>
  <c r="AM948" i="86" l="1"/>
  <c r="AM949" i="86" l="1"/>
  <c r="AM950" i="86" l="1"/>
  <c r="AM951" i="86" l="1"/>
  <c r="AM952" i="86" l="1"/>
  <c r="AM953" i="86" l="1"/>
  <c r="AM954" i="86" l="1"/>
  <c r="AM955" i="86" l="1"/>
  <c r="AM956" i="86" l="1"/>
  <c r="AM957" i="86" l="1"/>
  <c r="AM958" i="86" l="1"/>
  <c r="AM959" i="86" l="1"/>
  <c r="AM960" i="86" l="1"/>
  <c r="AM961" i="86" l="1"/>
  <c r="AM962" i="86" l="1"/>
  <c r="AM963" i="86" l="1"/>
  <c r="AM964" i="86" l="1"/>
  <c r="AM965" i="86" l="1"/>
  <c r="AM966" i="86" l="1"/>
  <c r="AM967" i="86" l="1"/>
  <c r="AM968" i="86" l="1"/>
  <c r="AM969" i="86" l="1"/>
  <c r="AM970" i="86" l="1"/>
  <c r="AM971" i="86" l="1"/>
  <c r="AM972" i="86" l="1"/>
  <c r="AM973" i="86" l="1"/>
  <c r="AM974" i="86" l="1"/>
  <c r="AM975" i="86" l="1"/>
  <c r="AM976" i="86" l="1"/>
  <c r="AM977" i="86" l="1"/>
  <c r="AM978" i="86" l="1"/>
  <c r="AM979" i="86" l="1"/>
  <c r="AM980" i="86" l="1"/>
  <c r="AM981" i="86" l="1"/>
  <c r="AM982" i="86" l="1"/>
  <c r="AM983" i="86" l="1"/>
  <c r="AM984" i="86" l="1"/>
  <c r="AM985" i="86" l="1"/>
  <c r="AM986" i="86" l="1"/>
  <c r="AM987" i="86" l="1"/>
  <c r="AM988" i="86" l="1"/>
  <c r="AM989" i="86" l="1"/>
  <c r="AM990" i="86" l="1"/>
  <c r="AM991" i="86" l="1"/>
  <c r="AM992" i="86" l="1"/>
  <c r="AM993" i="86" l="1"/>
  <c r="AM994" i="86" l="1"/>
  <c r="AM995" i="86" l="1"/>
  <c r="AM996" i="86" l="1"/>
  <c r="AM997" i="86" l="1"/>
  <c r="AM998" i="86" l="1"/>
  <c r="AM999" i="86" l="1"/>
  <c r="AM1000" i="86" l="1"/>
  <c r="AM1001" i="86" l="1"/>
  <c r="AM1002" i="86" l="1"/>
  <c r="AM1003" i="86" l="1"/>
  <c r="AM1004" i="86" l="1"/>
  <c r="AM1005" i="86" l="1"/>
  <c r="AM1006" i="86" l="1"/>
  <c r="AM1007" i="86" l="1"/>
  <c r="AM1008" i="86" l="1"/>
  <c r="AM1009" i="86" l="1"/>
  <c r="AM1010" i="86" l="1"/>
  <c r="AM1011" i="86" l="1"/>
  <c r="AM1012" i="86" l="1"/>
  <c r="AM1013" i="86" l="1"/>
  <c r="AM1014" i="86" l="1"/>
  <c r="AM1015" i="86" l="1"/>
  <c r="AM1016" i="86" l="1"/>
  <c r="AM1017" i="86" l="1"/>
  <c r="AM1018" i="86" l="1"/>
  <c r="AM1019" i="86" l="1"/>
  <c r="AM1020" i="86" l="1"/>
  <c r="AM1021" i="86" l="1"/>
  <c r="AM1022" i="86" l="1"/>
  <c r="AM1023" i="86" l="1"/>
  <c r="AM1024" i="86" l="1"/>
  <c r="AM1025" i="86" l="1"/>
  <c r="AM1026" i="86" l="1"/>
  <c r="AM1027" i="86" l="1"/>
  <c r="AM1028" i="86" l="1"/>
  <c r="AM1029" i="86" l="1"/>
  <c r="AM1030" i="86" l="1"/>
  <c r="AM1031" i="86" l="1"/>
  <c r="AM1032" i="86" l="1"/>
  <c r="AM1033" i="86" l="1"/>
  <c r="AM1034" i="86" l="1"/>
  <c r="AM1035" i="86" l="1"/>
  <c r="AM1036" i="86" l="1"/>
  <c r="AM1037" i="86" l="1"/>
  <c r="AM1038" i="86" l="1"/>
  <c r="AM1039" i="86" l="1"/>
  <c r="AM1040" i="86" l="1"/>
  <c r="AM1041" i="86" l="1"/>
  <c r="AM1042" i="86" l="1"/>
  <c r="AM1043" i="86" l="1"/>
  <c r="AM1044" i="86" l="1"/>
  <c r="AM1045" i="86" l="1"/>
  <c r="AM1046" i="86" l="1"/>
  <c r="AM1047" i="86" l="1"/>
  <c r="AM1048" i="86" l="1"/>
  <c r="AM1049" i="86" l="1"/>
  <c r="AM1050" i="86" l="1"/>
  <c r="AM1051" i="86" l="1"/>
  <c r="D558" i="66" l="1"/>
  <c r="D557" i="66" l="1"/>
  <c r="D556" i="66" l="1"/>
  <c r="D555" i="66" l="1"/>
  <c r="D554" i="66" l="1"/>
  <c r="D553" i="66" l="1"/>
  <c r="D552" i="66" l="1"/>
  <c r="D551" i="66" l="1"/>
  <c r="D550" i="66" l="1"/>
  <c r="D549" i="66" l="1"/>
  <c r="D548" i="66" l="1"/>
  <c r="D547" i="66" l="1"/>
  <c r="D546" i="66" l="1"/>
  <c r="D545" i="66" l="1"/>
  <c r="D544" i="66" l="1"/>
  <c r="D543" i="66" l="1"/>
  <c r="D542" i="66" l="1"/>
  <c r="D541" i="66" l="1"/>
  <c r="D540" i="66" l="1"/>
  <c r="D539" i="66" l="1"/>
  <c r="D538" i="66" l="1"/>
  <c r="D537" i="66" l="1"/>
  <c r="D536" i="66" l="1"/>
  <c r="D535" i="66" l="1"/>
  <c r="D534" i="66" l="1"/>
  <c r="D533" i="66" l="1"/>
  <c r="D532" i="66" l="1"/>
  <c r="D531" i="66" l="1"/>
  <c r="D530" i="66" l="1"/>
  <c r="D529" i="66" l="1"/>
  <c r="D528" i="66" l="1"/>
  <c r="D527" i="66" l="1"/>
  <c r="D526" i="66" l="1"/>
  <c r="D525" i="66" l="1"/>
  <c r="D524" i="66" l="1"/>
  <c r="D523" i="66" l="1"/>
  <c r="D522" i="66" l="1"/>
  <c r="D521" i="66" l="1"/>
  <c r="D520" i="66" l="1"/>
  <c r="D519" i="66" l="1"/>
  <c r="D518" i="66" l="1"/>
  <c r="D517" i="66" l="1"/>
  <c r="D516" i="66" l="1"/>
  <c r="D515" i="66" l="1"/>
  <c r="D514" i="66" l="1"/>
  <c r="D513" i="66" l="1"/>
  <c r="D512" i="66" l="1"/>
  <c r="D511" i="66" l="1"/>
  <c r="D510" i="66" l="1"/>
  <c r="D509" i="66" l="1"/>
  <c r="D508" i="66" l="1"/>
  <c r="D507" i="66" l="1"/>
  <c r="D506" i="66" l="1"/>
  <c r="D505" i="66" l="1"/>
  <c r="D504" i="66" l="1"/>
  <c r="D503" i="66" l="1"/>
  <c r="D502" i="66" l="1"/>
  <c r="D501" i="66" l="1"/>
  <c r="D500" i="66" l="1"/>
  <c r="D499" i="66" l="1"/>
  <c r="D498" i="66" l="1"/>
  <c r="D497" i="66" l="1"/>
  <c r="D496" i="66" l="1"/>
  <c r="D495" i="66" l="1"/>
  <c r="D494" i="66" l="1"/>
  <c r="D493" i="66" l="1"/>
  <c r="D492" i="66" l="1"/>
  <c r="D491" i="66" l="1"/>
  <c r="D490" i="66" l="1"/>
  <c r="D489" i="66" l="1"/>
  <c r="D488" i="66" l="1"/>
  <c r="D487" i="66" l="1"/>
  <c r="D486" i="66" l="1"/>
  <c r="D485" i="66" l="1"/>
  <c r="D484" i="66" l="1"/>
  <c r="D483" i="66" l="1"/>
  <c r="D482" i="66" l="1"/>
  <c r="D481" i="66" l="1"/>
  <c r="D480" i="66" l="1"/>
  <c r="D479" i="66" l="1"/>
  <c r="D478" i="66" l="1"/>
  <c r="D477" i="66" l="1"/>
  <c r="D476" i="66" l="1"/>
  <c r="D475" i="66" l="1"/>
  <c r="D474" i="66" l="1"/>
  <c r="D473" i="66" l="1"/>
  <c r="D472" i="66" l="1"/>
  <c r="D471" i="66" l="1"/>
  <c r="D470" i="66" l="1"/>
  <c r="D469" i="66" l="1"/>
  <c r="D468" i="66" l="1"/>
  <c r="D467" i="66" l="1"/>
  <c r="D466" i="66" l="1"/>
  <c r="D465" i="66" l="1"/>
  <c r="D464" i="66" l="1"/>
  <c r="D463" i="66" l="1"/>
  <c r="D462" i="66" l="1"/>
  <c r="D461" i="66" l="1"/>
  <c r="D460" i="66" l="1"/>
  <c r="D459" i="66" l="1"/>
  <c r="D458" i="66" l="1"/>
  <c r="D457" i="66" l="1"/>
  <c r="D456" i="66" l="1"/>
  <c r="D455" i="66" l="1"/>
  <c r="D454" i="66" l="1"/>
  <c r="D453" i="66" l="1"/>
  <c r="D452" i="66" l="1"/>
  <c r="D451" i="66" l="1"/>
  <c r="D450" i="66" l="1"/>
  <c r="D449" i="66" l="1"/>
  <c r="D448" i="66" l="1"/>
  <c r="D447" i="66" l="1"/>
  <c r="D446" i="66" l="1"/>
  <c r="D445" i="66" l="1"/>
  <c r="D444" i="66" l="1"/>
  <c r="D443" i="66" l="1"/>
  <c r="D442" i="66" l="1"/>
  <c r="D441" i="66" l="1"/>
  <c r="D440" i="66" l="1"/>
  <c r="D439" i="66" l="1"/>
  <c r="D438" i="66" l="1"/>
  <c r="D437" i="66" l="1"/>
  <c r="D436" i="66" l="1"/>
  <c r="D435" i="66" l="1"/>
  <c r="D434" i="66" l="1"/>
  <c r="D433" i="66" l="1"/>
  <c r="D432" i="66" l="1"/>
  <c r="D431" i="66" l="1"/>
  <c r="D430" i="66" l="1"/>
  <c r="D429" i="66" l="1"/>
  <c r="D428" i="66" l="1"/>
  <c r="D427" i="66" l="1"/>
  <c r="D426" i="66" l="1"/>
  <c r="D425" i="66" l="1"/>
  <c r="D424" i="66" l="1"/>
  <c r="D423" i="66" l="1"/>
  <c r="D422" i="66" l="1"/>
  <c r="D421" i="66" l="1"/>
  <c r="D420" i="66" l="1"/>
  <c r="D419" i="66" l="1"/>
  <c r="D418" i="66" l="1"/>
  <c r="D417" i="66" l="1"/>
  <c r="D416" i="66" l="1"/>
  <c r="D415" i="66" l="1"/>
  <c r="D414" i="66" l="1"/>
  <c r="D413" i="66" l="1"/>
  <c r="D412" i="66" l="1"/>
  <c r="D411" i="66" l="1"/>
  <c r="D410" i="66" l="1"/>
  <c r="D409" i="66" l="1"/>
  <c r="D408" i="66" l="1"/>
  <c r="D407" i="66" l="1"/>
  <c r="D406" i="66" l="1"/>
  <c r="D405" i="66" l="1"/>
  <c r="D404" i="66" l="1"/>
  <c r="D403" i="66" l="1"/>
  <c r="D402" i="66" l="1"/>
  <c r="D401" i="66" l="1"/>
  <c r="D400" i="66" l="1"/>
  <c r="D399" i="66" l="1"/>
  <c r="D398" i="66" l="1"/>
  <c r="D397" i="66" l="1"/>
  <c r="D396" i="66" l="1"/>
  <c r="D395" i="66" l="1"/>
  <c r="D394" i="66" l="1"/>
  <c r="D393" i="66" l="1"/>
  <c r="D392" i="66" l="1"/>
  <c r="D391" i="66" l="1"/>
  <c r="D390" i="66" l="1"/>
  <c r="D389" i="66" l="1"/>
  <c r="D388" i="66" l="1"/>
  <c r="D387" i="66" l="1"/>
  <c r="D386" i="66" l="1"/>
  <c r="D385" i="66" l="1"/>
  <c r="D384" i="66" l="1"/>
  <c r="D383" i="66" l="1"/>
  <c r="D382" i="66" l="1"/>
  <c r="D381" i="66" l="1"/>
  <c r="D380" i="66" l="1"/>
  <c r="D379" i="66" l="1"/>
  <c r="D378" i="66" l="1"/>
  <c r="D377" i="66" l="1"/>
  <c r="D376" i="66" l="1"/>
  <c r="D375" i="66" l="1"/>
  <c r="D374" i="66" l="1"/>
  <c r="D373" i="66" l="1"/>
  <c r="D372" i="66" l="1"/>
  <c r="D371" i="66" l="1"/>
  <c r="D370" i="66" l="1"/>
  <c r="D369" i="66" l="1"/>
  <c r="D368" i="66" l="1"/>
  <c r="D367" i="66" l="1"/>
  <c r="D366" i="66" l="1"/>
  <c r="D365" i="66" l="1"/>
  <c r="D364" i="66" l="1"/>
  <c r="D363" i="66" l="1"/>
  <c r="D362" i="66" l="1"/>
  <c r="D361" i="66" l="1"/>
  <c r="D360" i="66" l="1"/>
  <c r="D359" i="66" l="1"/>
  <c r="D358" i="66" l="1"/>
  <c r="D357" i="66" l="1"/>
  <c r="D356" i="66" l="1"/>
  <c r="D355" i="66" l="1"/>
  <c r="D354" i="66" l="1"/>
  <c r="D353" i="66" l="1"/>
  <c r="D352" i="66" l="1"/>
  <c r="D351" i="66" l="1"/>
  <c r="D350" i="66" l="1"/>
  <c r="D349" i="66" l="1"/>
  <c r="D348" i="66" l="1"/>
  <c r="D347" i="66" l="1"/>
  <c r="D346" i="66" l="1"/>
  <c r="D345" i="66" l="1"/>
  <c r="D344" i="66" l="1"/>
  <c r="D343" i="66" l="1"/>
  <c r="D342" i="66" l="1"/>
  <c r="D341" i="66" l="1"/>
  <c r="D340" i="66" l="1"/>
  <c r="D339" i="66" l="1"/>
  <c r="D338" i="66" l="1"/>
  <c r="D337" i="66" l="1"/>
  <c r="D336" i="66" l="1"/>
  <c r="D335" i="66" l="1"/>
  <c r="D334" i="66" l="1"/>
  <c r="D333" i="66" l="1"/>
  <c r="D332" i="66" l="1"/>
  <c r="D331" i="66" l="1"/>
  <c r="D330" i="66" l="1"/>
  <c r="D329" i="66" l="1"/>
  <c r="D328" i="66" l="1"/>
  <c r="D327" i="66" l="1"/>
  <c r="D326" i="66" l="1"/>
  <c r="D325" i="66" l="1"/>
  <c r="D324" i="66" l="1"/>
  <c r="D323" i="66" l="1"/>
  <c r="D322" i="66" l="1"/>
  <c r="D321" i="66" l="1"/>
  <c r="D320" i="66" l="1"/>
  <c r="D319" i="66" l="1"/>
  <c r="D318" i="66" l="1"/>
  <c r="D317" i="66" l="1"/>
  <c r="D316" i="66" l="1"/>
  <c r="D315" i="66" l="1"/>
  <c r="D314" i="66" l="1"/>
  <c r="D313" i="66" l="1"/>
  <c r="D312" i="66" l="1"/>
  <c r="D311" i="66" l="1"/>
  <c r="D310" i="66" l="1"/>
  <c r="D309" i="66" l="1"/>
  <c r="D308" i="66" l="1"/>
  <c r="D307" i="66" l="1"/>
  <c r="D306" i="66" l="1"/>
  <c r="D305" i="66" l="1"/>
  <c r="D304" i="66" l="1"/>
  <c r="D303" i="66" l="1"/>
  <c r="D302" i="66" l="1"/>
  <c r="D301" i="66" l="1"/>
  <c r="D300" i="66" l="1"/>
  <c r="D299" i="66" l="1"/>
  <c r="D298" i="66" l="1"/>
  <c r="D297" i="66" l="1"/>
  <c r="D296" i="66" l="1"/>
  <c r="D295" i="66" l="1"/>
  <c r="D294" i="66" l="1"/>
  <c r="D293" i="66" l="1"/>
  <c r="D292" i="66" l="1"/>
  <c r="D291" i="66" l="1"/>
  <c r="D290" i="66" l="1"/>
  <c r="D289" i="66" l="1"/>
  <c r="D288" i="66" l="1"/>
  <c r="D287" i="66" l="1"/>
  <c r="D286" i="66" l="1"/>
  <c r="D285" i="66" l="1"/>
  <c r="D284" i="66" l="1"/>
  <c r="D283" i="66" l="1"/>
  <c r="D282" i="66" l="1"/>
  <c r="D281" i="66" l="1"/>
  <c r="D280" i="66" l="1"/>
  <c r="D279" i="66" l="1"/>
  <c r="D278" i="66" l="1"/>
  <c r="D277" i="66" l="1"/>
  <c r="D276" i="66" l="1"/>
  <c r="D275" i="66" l="1"/>
  <c r="D274" i="66" l="1"/>
  <c r="D273" i="66" l="1"/>
  <c r="D272" i="66" l="1"/>
  <c r="D271" i="66" l="1"/>
  <c r="D270" i="66" l="1"/>
  <c r="D269" i="66" l="1"/>
  <c r="D268" i="66" l="1"/>
  <c r="D267" i="66" l="1"/>
  <c r="D266" i="66" l="1"/>
  <c r="D265" i="66" l="1"/>
  <c r="D264" i="66" l="1"/>
  <c r="D263" i="66" l="1"/>
  <c r="D262" i="66" l="1"/>
  <c r="D261" i="66" l="1"/>
  <c r="D260" i="66" l="1"/>
  <c r="D259" i="66" l="1"/>
  <c r="D258" i="66" l="1"/>
  <c r="D257" i="66" l="1"/>
  <c r="D256" i="66" l="1"/>
  <c r="D255" i="66" l="1"/>
  <c r="D254" i="66" l="1"/>
  <c r="D253" i="66" l="1"/>
  <c r="D252" i="66" l="1"/>
  <c r="D251" i="66" l="1"/>
  <c r="D250" i="66" l="1"/>
  <c r="D249" i="66" l="1"/>
  <c r="D248" i="66" l="1"/>
  <c r="D247" i="66" l="1"/>
  <c r="D246" i="66" l="1"/>
  <c r="D245" i="66" l="1"/>
  <c r="D244" i="66" l="1"/>
  <c r="D243" i="66" l="1"/>
  <c r="D242" i="66" l="1"/>
  <c r="D241" i="66" l="1"/>
  <c r="D240" i="66" l="1"/>
  <c r="D239" i="66" l="1"/>
  <c r="D238" i="66" l="1"/>
  <c r="D237" i="66" l="1"/>
  <c r="D236" i="66" l="1"/>
  <c r="D235" i="66" l="1"/>
  <c r="D234" i="66" l="1"/>
  <c r="D233" i="66" l="1"/>
  <c r="D232" i="66" l="1"/>
  <c r="D231" i="66" l="1"/>
  <c r="D230" i="66" l="1"/>
  <c r="D229" i="66" l="1"/>
  <c r="D228" i="66" l="1"/>
  <c r="D227" i="66" l="1"/>
  <c r="D226" i="66" l="1"/>
  <c r="D225" i="66" l="1"/>
  <c r="D224" i="66" l="1"/>
  <c r="D223" i="66" l="1"/>
  <c r="D222" i="66" l="1"/>
  <c r="D221" i="66" l="1"/>
  <c r="D220" i="66" l="1"/>
  <c r="D219" i="66" l="1"/>
  <c r="D218" i="66" l="1"/>
  <c r="D217" i="66" l="1"/>
  <c r="D216" i="66" l="1"/>
  <c r="D215" i="66" l="1"/>
  <c r="D214" i="66" l="1"/>
  <c r="D213" i="66" l="1"/>
  <c r="D212" i="66" l="1"/>
  <c r="D211" i="66" l="1"/>
  <c r="D210" i="66" l="1"/>
  <c r="D209" i="66" l="1"/>
  <c r="D208" i="66" l="1"/>
  <c r="D207" i="66" l="1"/>
  <c r="D206" i="66" l="1"/>
  <c r="D205" i="66" l="1"/>
  <c r="D204" i="66" l="1"/>
  <c r="D203" i="66" l="1"/>
  <c r="D202" i="66" l="1"/>
  <c r="D200" i="66" l="1"/>
  <c r="D201" i="66"/>
  <c r="D199" i="66" l="1"/>
  <c r="D198" i="66" l="1"/>
  <c r="D197" i="66" l="1"/>
  <c r="D196" i="66" l="1"/>
  <c r="D195" i="66" l="1"/>
  <c r="D193" i="66" l="1"/>
  <c r="E193" i="66" s="1"/>
  <c r="H19" i="85"/>
  <c r="D194" i="66"/>
  <c r="Z170" i="78" l="1"/>
  <c r="AF170" i="78"/>
  <c r="AL170" i="78"/>
  <c r="H20" i="85" l="1"/>
  <c r="J13" i="83" l="1"/>
  <c r="D13" i="6" s="1"/>
  <c r="D17" i="6" s="1"/>
  <c r="E16" i="6" s="1"/>
  <c r="J18" i="83" l="1"/>
  <c r="M14" i="83" s="1"/>
  <c r="Z159" i="78" s="1"/>
  <c r="M15" i="83"/>
  <c r="D35" i="6"/>
  <c r="D14" i="6" s="1"/>
  <c r="E22" i="6"/>
  <c r="F22" i="6" s="1"/>
  <c r="F23" i="6" s="1"/>
  <c r="E17" i="6"/>
  <c r="F16" i="6" s="1"/>
  <c r="E19" i="6"/>
  <c r="M13" i="83" l="1"/>
  <c r="AF159" i="78" s="1"/>
  <c r="D29" i="6"/>
  <c r="D23" i="6"/>
  <c r="E25" i="6"/>
  <c r="E23" i="6"/>
  <c r="F17" i="6"/>
  <c r="G16" i="6" s="1"/>
  <c r="F19" i="6"/>
  <c r="G22" i="6"/>
  <c r="F25" i="6"/>
  <c r="D39" i="6" l="1"/>
  <c r="Y149" i="78" s="1"/>
  <c r="E39" i="6"/>
  <c r="AE149" i="78" s="1"/>
  <c r="F39" i="6"/>
  <c r="AH149" i="78" s="1"/>
  <c r="H22" i="6"/>
  <c r="G23" i="6"/>
  <c r="G25" i="6"/>
  <c r="G17" i="6"/>
  <c r="H16" i="6" s="1"/>
  <c r="G19" i="6"/>
  <c r="X149" i="78" l="1"/>
  <c r="X150" i="78" s="1"/>
  <c r="X152" i="78" s="1"/>
  <c r="AB149" i="78"/>
  <c r="AD149" i="78"/>
  <c r="AC149" i="78"/>
  <c r="G39" i="6"/>
  <c r="AJ149" i="78" s="1"/>
  <c r="H17" i="6"/>
  <c r="H19" i="6"/>
  <c r="H23" i="6"/>
  <c r="H25" i="6"/>
  <c r="Y150" i="78" l="1"/>
  <c r="Y152" i="78" s="1"/>
  <c r="AB150" i="78"/>
  <c r="AB152" i="78" s="1"/>
  <c r="AD150" i="78"/>
  <c r="AD152" i="78" s="1"/>
  <c r="AC150" i="78"/>
  <c r="AC152" i="78" s="1"/>
  <c r="AH150" i="78"/>
  <c r="AH152" i="78" s="1"/>
  <c r="AE150" i="78"/>
  <c r="AE152" i="78" s="1"/>
  <c r="AJ150" i="78"/>
  <c r="AJ152" i="78" s="1"/>
  <c r="H39" i="6"/>
  <c r="AL149" i="78" s="1"/>
  <c r="AL161" i="78" s="1"/>
  <c r="AL150" i="78" l="1"/>
  <c r="AF162" i="78" l="1"/>
  <c r="AL152" i="78"/>
  <c r="Z162" i="78"/>
  <c r="AL162" i="78"/>
  <c r="Z163" i="78" l="1"/>
  <c r="Z167" i="78" s="1"/>
  <c r="Z169" i="78" s="1"/>
  <c r="T34" i="91" s="1"/>
  <c r="AL163" i="78"/>
  <c r="AL167" i="78" s="1"/>
  <c r="AL169" i="78" s="1"/>
  <c r="AF163" i="78"/>
  <c r="AF167" i="78" s="1"/>
  <c r="AF169" i="78" s="1"/>
  <c r="E162" i="66" s="1"/>
  <c r="L160" i="66" l="1"/>
  <c r="T35" i="91"/>
  <c r="AF171" i="78"/>
  <c r="R162" i="78" s="1"/>
  <c r="R164" i="78" s="1"/>
  <c r="Z171" i="78"/>
  <c r="AL171" i="78"/>
  <c r="T33" i="91"/>
  <c r="R163" i="78" l="1"/>
  <c r="E192" i="66"/>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MARTA REMUIÑÁN FERREIRO</author>
  </authors>
  <commentList>
    <comment ref="B11" authorId="0" shapeId="0" xr:uid="{6274F863-CEA7-4B0D-BCDE-BFA3DEE8A610}">
      <text>
        <r>
          <rPr>
            <sz val="11"/>
            <color theme="1"/>
            <rFont val="Arial"/>
            <family val="2"/>
          </rPr>
          <t xml:space="preserve">MARTA REMUIÑÁN FERREIRO:
we assume the shell eggs is the 80% of the revenue
</t>
        </r>
      </text>
    </comment>
    <comment ref="B12" authorId="0" shapeId="0" xr:uid="{21B675C6-3E1F-4406-A178-091B67B211D8}">
      <text>
        <r>
          <rPr>
            <sz val="11"/>
            <color theme="1"/>
            <rFont val="Arial"/>
            <family val="2"/>
          </rPr>
          <t>MARTA REMUIÑÁN FERREIRO:
processed eggs is 10%</t>
        </r>
      </text>
    </comment>
    <comment ref="B13" authorId="0" shapeId="0" xr:uid="{544FDEB4-9A95-485B-AB2B-9D0960E723A0}">
      <text>
        <r>
          <rPr>
            <sz val="11"/>
            <color theme="1"/>
            <rFont val="Arial"/>
            <family val="2"/>
          </rPr>
          <t>MARTA REMUIÑÁN FERREIRO:
retail is aprox 7%</t>
        </r>
      </text>
    </comment>
    <comment ref="B14" authorId="0" shapeId="0" xr:uid="{884A04DD-0A4D-4E18-9CB8-EA189FCD9380}">
      <text>
        <r>
          <rPr>
            <sz val="11"/>
            <color theme="1"/>
            <rFont val="Arial"/>
            <family val="2"/>
          </rPr>
          <t>MARTA REMUIÑÁN FERREIRO: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bloomberg-alunos</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<sst xmlns="http://schemas.openxmlformats.org/spreadsheetml/2006/main" count="1698" uniqueCount="724">
  <si>
    <t xml:space="preserve"> </t>
  </si>
  <si>
    <t>TODAY</t>
  </si>
  <si>
    <t>Analysts</t>
  </si>
  <si>
    <t>LIS – Equity Research</t>
  </si>
  <si>
    <t>Stock Performance</t>
  </si>
  <si>
    <t>NAME, Co-Head of Equity Research</t>
  </si>
  <si>
    <t>Recommendation:</t>
  </si>
  <si>
    <t>Hold</t>
  </si>
  <si>
    <t>Bsc in XXX, ISEG – Ulisboa</t>
  </si>
  <si>
    <t>Target Price (FCFF):</t>
  </si>
  <si>
    <t>email@aln.iseg.ulisboa.pt</t>
  </si>
  <si>
    <t>Upside:</t>
  </si>
  <si>
    <t>Martim de Sousa Patinho, Analyst</t>
  </si>
  <si>
    <t>Bsc in Economics, ISEG – Ulisboa</t>
  </si>
  <si>
    <t>Ticker</t>
  </si>
  <si>
    <t>l61952@aln.iseg.ulisboa.pt</t>
  </si>
  <si>
    <t>Stock Exchange</t>
  </si>
  <si>
    <t>NAME, Analyst</t>
  </si>
  <si>
    <t>Current Price</t>
  </si>
  <si>
    <t>Beta</t>
  </si>
  <si>
    <t>% of 52-Week High</t>
  </si>
  <si>
    <t>100-Day Moving Average</t>
  </si>
  <si>
    <t>Reviewed by:</t>
  </si>
  <si>
    <t>Avg Vol (1 month)</t>
  </si>
  <si>
    <t>Shares Outstanding (millions)</t>
  </si>
  <si>
    <t>% Float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</si>
  <si>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</si>
  <si>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</si>
  <si>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</si>
  <si>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</si>
  <si>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</si>
  <si>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</si>
  <si>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</si>
  <si>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</si>
  <si>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Industry Growth Forecast</t>
  </si>
  <si>
    <t>Industry Index</t>
  </si>
  <si>
    <t>Market Size</t>
  </si>
  <si>
    <t>Market Share</t>
  </si>
  <si>
    <t>Industry Driver</t>
  </si>
  <si>
    <t>Description</t>
  </si>
  <si>
    <t>Porter's Five Forces</t>
  </si>
  <si>
    <t>Rivalry Among Existing Competitors</t>
  </si>
  <si>
    <t>Threat of New Entrants</t>
  </si>
  <si>
    <t>Threat of Substitutes</t>
  </si>
  <si>
    <t>Bargaining Power of Customers</t>
  </si>
  <si>
    <t>Bargaining Power of Suppliers</t>
  </si>
  <si>
    <t>ESG Analysis</t>
  </si>
  <si>
    <t>ESG Scores</t>
  </si>
  <si>
    <t>GHG Scope 1 Emissions, Water Consumption, Energy Consumption and Waste Production per Sales</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</si>
  <si>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</si>
  <si>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</si>
  <si>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</si>
  <si>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</si>
  <si>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</si>
  <si>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</si>
  <si>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</si>
  <si>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</si>
  <si>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</si>
  <si>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37.2</t>
  </si>
  <si>
    <t>ISS ESG Corporate Rating</t>
  </si>
  <si>
    <t>D-</t>
  </si>
  <si>
    <t xml:space="preserve">   SDG Impact Rating</t>
  </si>
  <si>
    <t xml:space="preserve">   Governance Quality Score</t>
  </si>
  <si>
    <t>MSCI ESG Ratings</t>
  </si>
  <si>
    <t xml:space="preserve">BBB </t>
  </si>
  <si>
    <t>Key Info</t>
  </si>
  <si>
    <t>Environmental</t>
  </si>
  <si>
    <t>Overview</t>
  </si>
  <si>
    <t>Targets</t>
  </si>
  <si>
    <t>Improvements</t>
  </si>
  <si>
    <t>Comments</t>
  </si>
  <si>
    <t>GICS Sector</t>
  </si>
  <si>
    <t>Consumer Staples</t>
  </si>
  <si>
    <t>GHG Scope 1 Emissions</t>
  </si>
  <si>
    <r>
      <rPr>
        <sz val="11"/>
        <rFont val="Arial Nova"/>
        <family val="2"/>
      </rPr>
      <t>Reduce by 10% from 2023 baseline by 2030</t>
    </r>
    <r>
      <rPr>
        <b/>
        <sz val="11"/>
        <rFont val="Arial Nova"/>
        <family val="2"/>
      </rPr>
      <t xml:space="preserve">
</t>
    </r>
  </si>
  <si>
    <t xml:space="preserve">Implemented methane capture pilots at farms; 5% reduction in FY2024
</t>
  </si>
  <si>
    <t xml:space="preserve">Strong start, but Scope 1 data not fully disclosed; aligns with UN SDG 13 (Climate Action).
</t>
  </si>
  <si>
    <t>GICS Industry Group</t>
  </si>
  <si>
    <t>Food, Beverage &amp; Staples Retailing</t>
  </si>
  <si>
    <t>GICS Industry</t>
  </si>
  <si>
    <t xml:space="preserve">Packaged Foods &amp; Meats 
</t>
  </si>
  <si>
    <t>Water Consumption</t>
  </si>
  <si>
    <t xml:space="preserve">Achieve 95% water recycling in operations by 2027
</t>
  </si>
  <si>
    <t xml:space="preserve">Upgraded recycling systems at 80% of facilities; saved 15% water in FY2024
</t>
  </si>
  <si>
    <t>N/A</t>
  </si>
  <si>
    <t>GICS Sub-Industry</t>
  </si>
  <si>
    <t>Energy Consumption</t>
  </si>
  <si>
    <t xml:space="preserve">Shift 20% to renewables (solar/wind) by 2028
</t>
  </si>
  <si>
    <t xml:space="preserve">Installed solar panels at 3 farms; 8% renewable mix in FY2024
</t>
  </si>
  <si>
    <t>Headquarters</t>
  </si>
  <si>
    <t xml:space="preserve">Ridgeland, Mississippi 
</t>
  </si>
  <si>
    <t>Numer of Employees</t>
  </si>
  <si>
    <t xml:space="preserve">3,067
</t>
  </si>
  <si>
    <t>Waste Management</t>
  </si>
  <si>
    <t xml:space="preserve">90% waste diversion from landfills by 2026
</t>
  </si>
  <si>
    <t xml:space="preserve">Expanded composting for manure; 75% diversion rate in FY2024
</t>
  </si>
  <si>
    <t>Annual Report</t>
  </si>
  <si>
    <t>https://www.calmainefoods.com/annual-reports</t>
  </si>
  <si>
    <t>Other</t>
  </si>
  <si>
    <t xml:space="preserve">Converted 40% of flocks to cage-free; enhanced biosecurity
</t>
  </si>
  <si>
    <t xml:space="preserve">Includes animal welfare (key for sector); FY2024 progress ties to consumer demand.
</t>
  </si>
  <si>
    <t>Sustainability Report</t>
  </si>
  <si>
    <t>https://www.calmainefoods.com/reports</t>
  </si>
  <si>
    <t>Recent Headlines</t>
  </si>
  <si>
    <t>Social</t>
  </si>
  <si>
    <t>US Egg Giant Cal-Maine Under DOJ Probe for Price-Fixing Amid Soaring Profits (CNN Business, April 9, 2025)</t>
  </si>
  <si>
    <r>
      <rPr>
        <b/>
        <sz val="11"/>
        <color theme="1"/>
        <rFont val="Arial Nova"/>
        <family val="2"/>
      </rPr>
      <t>Background:</t>
    </r>
    <r>
      <rPr>
        <sz val="11"/>
        <color theme="1"/>
        <rFont val="Arial Nova"/>
        <family val="2"/>
      </rPr>
      <t xml:space="preserve"> The DOJ launched an antitrust probe in March 2025 into Cal-Maine Foods for potential price-fixing during the HPAI outbreak, which reduced supply and drove egg prices to $5.90/dozen by February 2025. Critics allege collusion, echoing a 2023 $53 million damages case.
</t>
    </r>
    <r>
      <rPr>
        <b/>
        <sz val="11"/>
        <color theme="1"/>
        <rFont val="Arial Nova"/>
        <family val="2"/>
      </rPr>
      <t>Key Developments:</t>
    </r>
    <r>
      <rPr>
        <sz val="11"/>
        <color theme="1"/>
        <rFont val="Arial Nova"/>
        <family val="2"/>
      </rPr>
      <t xml:space="preserve"> Cal-Maine received a subpoena on April 8, 2025, requesting pricing data and is cooperating. Q3 FY2025 sales hit $1.42 billion (up 82%), with profits soaring 245%, though shares dropped 5% post-news.
</t>
    </r>
    <r>
      <rPr>
        <b/>
        <sz val="11"/>
        <color theme="1"/>
        <rFont val="Arial Nova"/>
        <family val="2"/>
      </rPr>
      <t>Implications:</t>
    </r>
    <r>
      <rPr>
        <sz val="11"/>
        <color theme="1"/>
        <rFont val="Arial Nova"/>
        <family val="2"/>
      </rPr>
      <t xml:space="preserve"> Scrutiny highlights food industry consolidation (top four firms control 60% of U.S. egg market), risking fines or lawsuits if collusion is proven, amid election-year inflation debates.
</t>
    </r>
  </si>
  <si>
    <t>Employee Turnover %</t>
  </si>
  <si>
    <t xml:space="preserve">Reduce to &lt;15% by 2026
</t>
  </si>
  <si>
    <t xml:space="preserve">Implement retention incentives
</t>
  </si>
  <si>
    <t xml:space="preserve">No specific turnover rate reported in 2024/2025 filings or sustainability report; employee count stable at 3,067. Reviews on Indeed and Glassdoor (205+ reviews) indicate moderate satisfaction with job security but some stress from operations, aligning with industry averages for agriculture (20-30% turnover).
</t>
  </si>
  <si>
    <t>Salaries &amp; Compensation</t>
  </si>
  <si>
    <t xml:space="preserve">Maintain competitive wages
</t>
  </si>
  <si>
    <t xml:space="preserve">Annual wage review and benefit enhancements
</t>
  </si>
  <si>
    <t xml:space="preserve">Average salary ~$74,361 (2025 data), competitive for sector per Salary.com; Glassdoor rates compensation 3/5 stars, with positive notes on benefits but gaps in executive pay ratios (2024 proxy). No major complaints in recent reviews.
</t>
  </si>
  <si>
    <t>Reputation</t>
  </si>
  <si>
    <t xml:space="preserve">Improve to neutral by 2025
</t>
  </si>
  <si>
    <t xml:space="preserve">Mixed perception: Strong operational performance praised in earnings (e.g., Q2 FY2025 sales up 82%), but scrutiny over HPAI profiteering and antitrust probes (Reuters, 2025) harms public view; Wikipedia notes 2025 watchdog complaints on collusion.
</t>
  </si>
  <si>
    <t>Discrimination Events</t>
  </si>
  <si>
    <t xml:space="preserve">No reported discrimination incidents or lawsuits in 2024/2025; sustainability report emphasizes ethical practices, but general employee reviews on Fairygodboss rate equality low (1/5 for women). Proactive training implied but unverified.
</t>
  </si>
  <si>
    <t xml:space="preserve">Cal-Maine Accused of Profiteering from Bird Flu: $1 Billion Windfall (Food &amp; Water Watch Report, April 28, 2025)
</t>
  </si>
  <si>
    <t>Work Safety</t>
  </si>
  <si>
    <t xml:space="preserve">Maintain OSHA compliance
</t>
  </si>
  <si>
    <t xml:space="preserve">No OSHA citations or incidents found in 2024/2025 releases; sustainability report highlights OSHA compliance and safety audits. Employee reviews note good safety records, aligning with "zero lost-time incidents" targets.
</t>
  </si>
  <si>
    <t>Damage to consumer health</t>
  </si>
  <si>
    <t xml:space="preserve">Reduce incidents to 0 by 2027
</t>
  </si>
  <si>
    <t xml:space="preserve">No salmonella outbreaks linked to Cal-Maine in 2024/2025 (CDC/FDA reports focus on other sources like raw milk); rigorous food safety processes noted in reports, but past concerns (pre-2024) and HPAI depopulation raise minor risks.
</t>
  </si>
  <si>
    <r>
      <rPr>
        <b/>
        <sz val="11"/>
        <color theme="1"/>
        <rFont val="Arial Nova"/>
        <family val="2"/>
      </rPr>
      <t>Background:</t>
    </r>
    <r>
      <rPr>
        <sz val="11"/>
        <color theme="1"/>
        <rFont val="Arial Nova"/>
        <family val="2"/>
      </rPr>
      <t xml:space="preserve"> Food &amp; Water Watch’s April 28 report claims Cal-Maine earned $1 billion in excess profits in FY2025’s first three quarters, hiking prices beyond cost increases (e.g., $1.14 profit/dozen vs. $0.15 pre-outbreak) during HPAI.
</t>
    </r>
    <r>
      <rPr>
        <b/>
        <sz val="11"/>
        <color theme="1"/>
        <rFont val="Arial Nova"/>
        <family val="2"/>
      </rPr>
      <t>Key Developments:</t>
    </r>
    <r>
      <rPr>
        <sz val="11"/>
        <color theme="1"/>
        <rFont val="Arial Nova"/>
        <family val="2"/>
      </rPr>
      <t xml:space="preserve"> The report cites SEC filings showing tripled margins despite minimal cost rises, plus $44.8 million in USDA indemnity payments, prompting watchdog complaints for antitrust action.
I</t>
    </r>
    <r>
      <rPr>
        <b/>
        <sz val="11"/>
        <color theme="1"/>
        <rFont val="Arial Nova"/>
        <family val="2"/>
      </rPr>
      <t>mplications:</t>
    </r>
    <r>
      <rPr>
        <sz val="11"/>
        <color theme="1"/>
        <rFont val="Arial Nova"/>
        <family val="2"/>
      </rPr>
      <t xml:space="preserve"> Highlights risks of factory farming density and consumer cost burdens ($5.90/dozen), fueling calls for monopoly breakup and stricter regulations as profits tripled since 2022.
</t>
    </r>
  </si>
  <si>
    <t>Pension Plan</t>
  </si>
  <si>
    <t xml:space="preserve">Benefits include standard retirement plans per 2024 proxy, but no specific pension metrics; Glassdoor/Indeed reviews rate overall benefits 3/5, moderate compared to peers. No controversies noted.
</t>
  </si>
  <si>
    <t>Supply chain</t>
  </si>
  <si>
    <t xml:space="preserve">90% sustainable suppliers by 2026
</t>
  </si>
  <si>
    <t xml:space="preserve">2024 Sustainability Report details audits for ethical labor and 90% sustainable suppliers target; progress on transparency via SASB framework, with no major violations reported.
</t>
  </si>
  <si>
    <t>Community involvement</t>
  </si>
  <si>
    <t xml:space="preserve">Increase donations by 10% by 2026
</t>
  </si>
  <si>
    <t xml:space="preserve">Strong 60+ years of initiatives per sustainability report (e.g., donations, partnerships); 2024/2025 expansions (e.g., Dexter facility creating 96 jobs) boost local support.
</t>
  </si>
  <si>
    <t>Public Sector</t>
  </si>
  <si>
    <t xml:space="preserve">Engage with regulators
</t>
  </si>
  <si>
    <t xml:space="preserve">Tense relations: DOJ antitrust probe on egg prices (2025 filing) and regulatory scrutiny over HPAI indemnity ($44.8M USDA payments); cooperating but ongoing concerns per Reuters.
</t>
  </si>
  <si>
    <t>Litigation</t>
  </si>
  <si>
    <t xml:space="preserve">Reduce cases to 0 by 2026
</t>
  </si>
  <si>
    <t xml:space="preserve">Legal risk mitigation strategies
</t>
  </si>
  <si>
    <t xml:space="preserve">Multiple 2024/2025 cases: Class-action antitrust suit with Tyson (Missouri farmers, June 2024); DOJ price-fixing probe (April 2025); ongoing egg price-fixing liability from 2023 verdict ($17.7M damages, potentially tripled).
</t>
  </si>
  <si>
    <t>Board of Directors</t>
  </si>
  <si>
    <t>Governance</t>
  </si>
  <si>
    <t>Name</t>
  </si>
  <si>
    <t>Position</t>
  </si>
  <si>
    <t>M/F  – Age</t>
  </si>
  <si>
    <t xml:space="preserve">Adolphus B. Baker
</t>
  </si>
  <si>
    <t xml:space="preserve">Chairman of the Board of Directors
</t>
  </si>
  <si>
    <t>M-49</t>
  </si>
  <si>
    <t>Diversity (Gender, Age, Industry, Region)</t>
  </si>
  <si>
    <t xml:space="preserve">Increase the diversity inside the board and also on the workers side.
</t>
  </si>
  <si>
    <t xml:space="preserve">Appointed Melanie Boulden as independent director (female, August 2025), raising female representation to 29% and independence to 89%
</t>
  </si>
  <si>
    <t xml:space="preserve">2025 Proxy shows 8 of 9 directors independent (89%), with gender diversity at 22% (2 women); age and regional diversity moderate. Industry peers average 30% female directors, suggesting room for improvement.
</t>
  </si>
  <si>
    <t>Sherman Miller</t>
  </si>
  <si>
    <t xml:space="preserve">President, CEO
</t>
  </si>
  <si>
    <t>M-51</t>
  </si>
  <si>
    <t>Max Bowman</t>
  </si>
  <si>
    <t>VP, CFO, Treasury</t>
  </si>
  <si>
    <t>M-52</t>
  </si>
  <si>
    <t>% Independence</t>
  </si>
  <si>
    <t xml:space="preserve">Increase to 100% independent by 2027
</t>
  </si>
  <si>
    <t xml:space="preserve">The 2025 Proxy Statement indicates 8 of 9 directors are independent (89%), aligning with or exceeding NYSE requirements (majority independent) and industry averages for food/agriculture firms (80-85%). Excluding gender, the focus on age (average ~62 years, diverse range), industry experience (e.g., agriculture, finance), and regional representation (e.g., Mississippi, Texas) supports a strong independence profile. This is above the median for S&amp;P 500 companies (84%) but not at the top tier (e.g., 100% independence in some firms).
</t>
  </si>
  <si>
    <t>Melanie Boulden</t>
  </si>
  <si>
    <t xml:space="preserve">Independent Director
</t>
  </si>
  <si>
    <t>F-52</t>
  </si>
  <si>
    <t xml:space="preserve">Letitia C. Hughes
</t>
  </si>
  <si>
    <t>F-70</t>
  </si>
  <si>
    <t>Average time as independent directors</t>
  </si>
  <si>
    <t xml:space="preserve">Reduce average tenure to &lt;6 years by 2028
</t>
  </si>
  <si>
    <t xml:space="preserve">Proxy data indicates average tenure ~8 years; while experienced, this exceeds some benchmarks (e.g., 6 years for fresh perspective), hinting at potential stagnation.
</t>
  </si>
  <si>
    <t xml:space="preserve">James E. Poole
</t>
  </si>
  <si>
    <t>M-73</t>
  </si>
  <si>
    <t xml:space="preserve">Steve W. Sanders
</t>
  </si>
  <si>
    <t>M-78</t>
  </si>
  <si>
    <t>Departures of C-level executives</t>
  </si>
  <si>
    <t xml:space="preserve">Maintain stability with &lt;1 departure per year
</t>
  </si>
  <si>
    <t xml:space="preserve">No significant C-level departures noted in 2024/2025 filings; stability is average, with occasional transitions (e.g., CFO changes in prior years) per Reuters archives.
</t>
  </si>
  <si>
    <t xml:space="preserve">Camille S. Young
</t>
  </si>
  <si>
    <t>CEO/Chairman duality</t>
  </si>
  <si>
    <t xml:space="preserve">No duality; separate CEO (Max Bowman) and Chairman (Michael Castleberry) per 2025 Proxy, aligning with best governance practices.
</t>
  </si>
  <si>
    <t>Transparency when reporting</t>
  </si>
  <si>
    <t xml:space="preserve">Enhanced sustainability reporting format in FY2024 (6th annual report, July 2025) with more data-focused disclosures
</t>
  </si>
  <si>
    <t xml:space="preserve">Detailed reports with qualitative ESG data, but limited quantitative metrics (e.g., no carbon intensity), typical for the sector.
</t>
  </si>
  <si>
    <t>Time taken to report</t>
  </si>
  <si>
    <t xml:space="preserve">Reduce to &lt;6 months by 2027
</t>
  </si>
  <si>
    <t xml:space="preserve">Introduced first quarterly earnings call/webcast (October 1, 2025) for faster investor updates
</t>
  </si>
  <si>
    <t xml:space="preserve">Reports released within fiscal year-end +6 months, timely but not leading-edge compared to real-time reporting trends.
</t>
  </si>
  <si>
    <t>CEO or Chairman in other boards?</t>
  </si>
  <si>
    <t xml:space="preserve">No excessive external roles; audit firm is independent with no consulting conflicts, meeting regulatory standards.
</t>
  </si>
  <si>
    <t>Audit / Consulting</t>
  </si>
  <si>
    <t xml:space="preserve">Ensure &lt;10% of audit firm revenue
</t>
  </si>
  <si>
    <t xml:space="preserve">External audit firm (e.g., BKD or successor) provides independent services with no reported consulting conflicts; third-party evaluations confirm effective design and operational testing of internal controls.
</t>
  </si>
  <si>
    <t>ESG-compensation related</t>
  </si>
  <si>
    <t xml:space="preserve">45% of executive pay tied to ESG goals (e.g., safety, community), a moderate integration, but lacks aggressive climate targets per peer comparisons.
</t>
  </si>
  <si>
    <t>Management compensation schemes</t>
  </si>
  <si>
    <t xml:space="preserve">Align pay ratio to &lt;50:1 by 2026
</t>
  </si>
  <si>
    <t xml:space="preserve">Dissolved Long-Term Incentive Plan Committee (March 2025); responsibilities shifted to Compensation Committee
</t>
  </si>
  <si>
    <t xml:space="preserve">Competitive pay (e.g., CEO $2.8M, 2025 Proxy), but pay ratio (94:1) exceeds median (48:1) for S&amp;P 500 food companies; balanced but not standout.
</t>
  </si>
  <si>
    <t>Segments</t>
  </si>
  <si>
    <t>Products</t>
  </si>
  <si>
    <t>Q1</t>
  </si>
  <si>
    <t>Q2</t>
  </si>
  <si>
    <t>Q3</t>
  </si>
  <si>
    <t>Q4</t>
  </si>
  <si>
    <t>FY</t>
  </si>
  <si>
    <t>Revenue by segment:</t>
  </si>
  <si>
    <t>Conventional shell egg sales </t>
  </si>
  <si>
    <t>Specialty shell egg sales</t>
  </si>
  <si>
    <t>Egg products and prepared foods</t>
  </si>
  <si>
    <t>Total revenue</t>
  </si>
  <si>
    <t xml:space="preserve">Revenue by region: </t>
  </si>
  <si>
    <t>USA</t>
  </si>
  <si>
    <t>Products:</t>
  </si>
  <si>
    <t>Product 1</t>
  </si>
  <si>
    <t>Product 2</t>
  </si>
  <si>
    <t>Product 3</t>
  </si>
  <si>
    <t>Product 4</t>
  </si>
  <si>
    <t>Product 5</t>
  </si>
  <si>
    <t>Notes &amp; Forecasts</t>
  </si>
  <si>
    <t>Peers</t>
  </si>
  <si>
    <t>Growth</t>
  </si>
  <si>
    <t>Revenue (LTM)</t>
  </si>
  <si>
    <t>Revenue (3-yr CAGR)</t>
  </si>
  <si>
    <t>Gross profit (LTM)</t>
  </si>
  <si>
    <t>EBIT (LTM)</t>
  </si>
  <si>
    <t>EBITDA (LTM)</t>
  </si>
  <si>
    <t>FCF (LTM)</t>
  </si>
  <si>
    <t>Margins</t>
  </si>
  <si>
    <t>CAL-MAINE FOODS</t>
  </si>
  <si>
    <t>Gross margin</t>
  </si>
  <si>
    <t>EBIT margin</t>
  </si>
  <si>
    <t>EBITDA margin</t>
  </si>
  <si>
    <t>Net margin</t>
  </si>
  <si>
    <t>SG&amp;A margin</t>
  </si>
  <si>
    <t>R&amp;D margin</t>
  </si>
  <si>
    <t>Returns</t>
  </si>
  <si>
    <t>ROIC</t>
  </si>
  <si>
    <t>CROIC</t>
  </si>
  <si>
    <t>ROCE</t>
  </si>
  <si>
    <t>RONA</t>
  </si>
  <si>
    <t>ROE</t>
  </si>
  <si>
    <t>ROA</t>
  </si>
  <si>
    <t>Efficiency</t>
  </si>
  <si>
    <t>Asset turnover</t>
  </si>
  <si>
    <t>Net operating asset turnover</t>
  </si>
  <si>
    <t>Fixed asset turnover</t>
  </si>
  <si>
    <r>
      <t xml:space="preserve">Revenue per employee </t>
    </r>
    <r>
      <rPr>
        <i/>
        <sz val="7"/>
        <color theme="1"/>
        <rFont val="Arial Nova"/>
        <family val="2"/>
      </rPr>
      <t>thsnd of USD</t>
    </r>
  </si>
  <si>
    <r>
      <t xml:space="preserve">EBIT per employee </t>
    </r>
    <r>
      <rPr>
        <i/>
        <sz val="7"/>
        <color theme="1"/>
        <rFont val="Arial Nova"/>
        <family val="2"/>
      </rPr>
      <t>thsnd of USD</t>
    </r>
  </si>
  <si>
    <t>Working Capital</t>
  </si>
  <si>
    <t>DSO</t>
  </si>
  <si>
    <t>DIO</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</si>
  <si>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</si>
  <si>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</si>
  <si>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</si>
  <si>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</si>
  <si>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</si>
  <si>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</si>
  <si>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</si>
  <si>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</si>
  <si>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</si>
  <si>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</si>
  <si>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</si>
  <si>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</si>
  <si>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</si>
  <si>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</si>
  <si>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</si>
  <si>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</si>
  <si>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</si>
  <si>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</si>
  <si>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</si>
  <si>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</si>
  <si>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</si>
  <si>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</si>
  <si>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</si>
  <si>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</si>
  <si>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</si>
  <si>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</si>
  <si>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</si>
  <si>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</si>
  <si>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</si>
  <si>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</si>
  <si>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</si>
  <si>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Current</t>
  </si>
  <si>
    <t>% of</t>
  </si>
  <si>
    <t>Enterprise Value /</t>
  </si>
  <si>
    <t>LTM</t>
  </si>
  <si>
    <t>Net</t>
  </si>
  <si>
    <t>Price /</t>
  </si>
  <si>
    <t>LT</t>
  </si>
  <si>
    <t>Share</t>
  </si>
  <si>
    <t>52-week</t>
  </si>
  <si>
    <t>Equity</t>
  </si>
  <si>
    <t>Enterprise</t>
  </si>
  <si>
    <t>2025E</t>
  </si>
  <si>
    <t>2026E</t>
  </si>
  <si>
    <t>EBITDA</t>
  </si>
  <si>
    <t>Debt /</t>
  </si>
  <si>
    <t>EPS</t>
  </si>
  <si>
    <t>Company</t>
  </si>
  <si>
    <t>Price</t>
  </si>
  <si>
    <t>High</t>
  </si>
  <si>
    <t>Value</t>
  </si>
  <si>
    <t>Sales</t>
  </si>
  <si>
    <t>EBIT</t>
  </si>
  <si>
    <t>Margin</t>
  </si>
  <si>
    <t>Tier I: DRAM and NAND</t>
  </si>
  <si>
    <t>Mean</t>
  </si>
  <si>
    <t>Median</t>
  </si>
  <si>
    <t>Tier II: Chips</t>
  </si>
  <si>
    <t>Tier III: Semiconductors</t>
  </si>
  <si>
    <t>Overall</t>
  </si>
  <si>
    <t>Low</t>
  </si>
  <si>
    <t>Rolling WACC</t>
  </si>
  <si>
    <t>Equity Risk Premium</t>
  </si>
  <si>
    <t>Weights</t>
  </si>
  <si>
    <t>ERP</t>
  </si>
  <si>
    <t>Equity:</t>
  </si>
  <si>
    <r>
      <t>Market Cap</t>
    </r>
    <r>
      <rPr>
        <sz val="9"/>
        <color rgb="FF000000"/>
        <rFont val="Arial Nova"/>
        <family val="2"/>
      </rPr>
      <t xml:space="preserve"> </t>
    </r>
    <r>
      <rPr>
        <i/>
        <sz val="9"/>
        <color rgb="FF000000"/>
        <rFont val="Arial Nova"/>
        <family val="2"/>
      </rPr>
      <t>(in billions)</t>
    </r>
  </si>
  <si>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</si>
  <si>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</si>
  <si>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</si>
  <si>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</si>
  <si>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</si>
  <si>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</si>
  <si>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</si>
  <si>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</si>
  <si>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</si>
  <si>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</si>
  <si>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</si>
  <si>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</si>
  <si>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</si>
  <si>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</si>
  <si>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</si>
  <si>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</si>
  <si>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</si>
  <si>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Total</t>
  </si>
  <si>
    <t>Country/Conglomerate/... Risk Premium</t>
  </si>
  <si>
    <t>WACC</t>
  </si>
  <si>
    <t>NOPAT</t>
  </si>
  <si>
    <t>Total Payout</t>
  </si>
  <si>
    <t>Book Value of Equity</t>
  </si>
  <si>
    <t>Invested Capital</t>
  </si>
  <si>
    <t xml:space="preserve">, </t>
  </si>
  <si>
    <t>Market Assumptions</t>
  </si>
  <si>
    <t>Segments Assumptions</t>
  </si>
  <si>
    <t>Shell Eggs Revenue ($M)</t>
  </si>
  <si>
    <t>Processed Eggs Revenue ($M)</t>
  </si>
  <si>
    <t>Retail Revenue ($M)</t>
  </si>
  <si>
    <t>Foodservice ($M)</t>
  </si>
  <si>
    <t>Average Price per Dozen ($)</t>
  </si>
  <si>
    <t>Volumen Sold (million dozen)</t>
  </si>
  <si>
    <t>FCFF</t>
  </si>
  <si>
    <t>Revenue Growth</t>
  </si>
  <si>
    <t>Revenue</t>
  </si>
  <si>
    <t>Operating Assumptions</t>
  </si>
  <si>
    <t>Income Statement</t>
  </si>
  <si>
    <t>% of growth</t>
  </si>
  <si>
    <t>Cost of Goods &amp; Services</t>
  </si>
  <si>
    <t>% of sales</t>
  </si>
  <si>
    <t>COGS Depreciation &amp; Amortization</t>
  </si>
  <si>
    <t>% of cost of goods &amp; services</t>
  </si>
  <si>
    <t>Gross Profit</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</si>
  <si>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</si>
  <si>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</si>
  <si>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</si>
  <si>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</si>
  <si>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</si>
  <si>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</si>
  <si>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</si>
  <si>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</si>
  <si>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</si>
  <si>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</si>
  <si>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</si>
  <si>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</si>
  <si>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</si>
  <si>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</si>
  <si>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</si>
  <si>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</si>
  <si>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</si>
  <si>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</si>
  <si>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</si>
  <si>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</si>
  <si>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</si>
  <si>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</si>
  <si>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</si>
  <si>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</si>
  <si>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</si>
  <si>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</si>
  <si>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</si>
  <si>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</si>
  <si>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</si>
  <si>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</si>
  <si>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</si>
  <si>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</si>
  <si>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</si>
  <si>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</si>
  <si>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</si>
  <si>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</si>
  <si>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</si>
  <si>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</si>
  <si>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</si>
  <si>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</si>
  <si>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</si>
  <si>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</si>
  <si>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</si>
  <si>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</si>
  <si>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</si>
  <si>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</si>
  <si>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</si>
  <si>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Net PP&amp;E (Property, Plant and Equipment)</t>
  </si>
  <si>
    <t>capex allocation rate</t>
  </si>
  <si>
    <t>Intangibles</t>
  </si>
  <si>
    <t>r&amp;d capitalization rate</t>
  </si>
  <si>
    <t>Accounts Payable</t>
  </si>
  <si>
    <t>days payable outstanding</t>
  </si>
  <si>
    <t>Accrued Expenses and Other Current Liabilities</t>
  </si>
  <si>
    <t>% of sg&amp;a</t>
  </si>
  <si>
    <t>Cash Flow Statement</t>
  </si>
  <si>
    <t>Stock-Based Compensation Expense</t>
  </si>
  <si>
    <t>implied equity value (p/s multiple)</t>
  </si>
  <si>
    <t>implied share price (for dilution)</t>
  </si>
  <si>
    <t>sbc dilution (shares issued)</t>
  </si>
  <si>
    <t>Changes in Net Working Capital</t>
  </si>
  <si>
    <t>% of change in sales</t>
  </si>
  <si>
    <t>Capital Expenditures</t>
  </si>
  <si>
    <t>Proceeds from Asset Disposals</t>
  </si>
  <si>
    <t>% of capex</t>
  </si>
  <si>
    <t>Dividends</t>
  </si>
  <si>
    <t>% of NOPAT</t>
  </si>
  <si>
    <t>Repurchase of Stock</t>
  </si>
  <si>
    <t>(-270)</t>
  </si>
  <si>
    <t>Free Cash Flow to Firm</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</si>
  <si>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</si>
  <si>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</si>
  <si>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</si>
  <si>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</si>
  <si>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</si>
  <si>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</si>
  <si>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</si>
  <si>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</si>
  <si>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</si>
  <si>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</si>
  <si>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</si>
  <si>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</si>
  <si>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</si>
  <si>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Revenue Exit</t>
  </si>
  <si>
    <t>EBITDA Exit Multiple</t>
  </si>
  <si>
    <t>Revenue Exit Multiple</t>
  </si>
  <si>
    <t>Gordon's Growth Model</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</si>
  <si>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</si>
  <si>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</si>
  <si>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</si>
  <si>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</si>
  <si>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</si>
  <si>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</si>
  <si>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</si>
  <si>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</si>
  <si>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</si>
  <si>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</si>
  <si>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</si>
  <si>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</si>
  <si>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</si>
  <si>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</si>
  <si>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</si>
  <si>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</si>
  <si>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Key Assumptions</t>
  </si>
  <si>
    <t>Entry</t>
  </si>
  <si>
    <t>Capital Structure</t>
  </si>
  <si>
    <t>Interest</t>
  </si>
  <si>
    <t>Weight</t>
  </si>
  <si>
    <t>Amount</t>
  </si>
  <si>
    <t>LTM EBITDA</t>
  </si>
  <si>
    <t>Revolver</t>
  </si>
  <si>
    <t>Entry Multiple</t>
  </si>
  <si>
    <t>Bank Loan</t>
  </si>
  <si>
    <t>Enterprise Value</t>
  </si>
  <si>
    <t>Senior Notes</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</si>
  <si>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</si>
  <si>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</si>
  <si>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</si>
  <si>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</si>
  <si>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</si>
  <si>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</si>
  <si>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</si>
  <si>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</si>
  <si>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</si>
  <si>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</si>
  <si>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</si>
  <si>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</si>
  <si>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</si>
  <si>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</si>
  <si>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</si>
  <si>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</si>
  <si>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</si>
  <si>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</si>
  <si>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Net Interest (Income) Expense</t>
  </si>
  <si>
    <t>Pre-tax income</t>
  </si>
  <si>
    <t>Income tax expenses (benefits)</t>
  </si>
  <si>
    <t>% tax rate</t>
  </si>
  <si>
    <t>Net income</t>
  </si>
  <si>
    <t>Intangibles excl. Goodwill</t>
  </si>
  <si>
    <t>r&amp;d conversion rate</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</si>
  <si>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</si>
  <si>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</si>
  <si>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</si>
  <si>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</si>
  <si>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</si>
  <si>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</si>
  <si>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</si>
  <si>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</si>
  <si>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</si>
  <si>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</si>
  <si>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</si>
  <si>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</si>
  <si>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</si>
  <si>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</si>
  <si>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</si>
  <si>
    <t>Monte-Carlo Simulations</t>
  </si>
  <si>
    <t>Tornado Chart – Effect on Price Target</t>
  </si>
  <si>
    <t>Reference Price Target</t>
  </si>
  <si>
    <t>Base Price Target</t>
  </si>
  <si>
    <t>Reference</t>
  </si>
  <si>
    <t>Gordon PT</t>
  </si>
  <si>
    <t>Base Gordon PT</t>
  </si>
  <si>
    <t>EBITDA PT</t>
  </si>
  <si>
    <t>Base EBITDA PT</t>
  </si>
  <si>
    <t>Revenue PT</t>
  </si>
  <si>
    <t>Base Revenue PT</t>
  </si>
  <si>
    <t>Δ</t>
  </si>
  <si>
    <t>Δ Applied</t>
  </si>
  <si>
    <t>PT Low</t>
  </si>
  <si>
    <t>PT High</t>
  </si>
  <si>
    <t>Δ Low</t>
  </si>
  <si>
    <t>Δ High</t>
  </si>
  <si>
    <t>Max</t>
  </si>
  <si>
    <t>Capex Intensity</t>
  </si>
  <si>
    <t>COGS Margin</t>
  </si>
  <si>
    <t>SG&amp;A Margin</t>
  </si>
  <si>
    <t>Terminal g</t>
  </si>
  <si>
    <t>EBITDA Exit</t>
  </si>
  <si>
    <t>Revenue:</t>
  </si>
  <si>
    <t>Segment 1</t>
  </si>
  <si>
    <t>Segment 2</t>
  </si>
  <si>
    <t>Segment 3</t>
  </si>
  <si>
    <t>Segment 4</t>
  </si>
  <si>
    <t>Segment 5</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</si>
  <si>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</si>
  <si>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</si>
  <si>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</si>
  <si>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</si>
  <si>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</si>
  <si>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</si>
  <si>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</si>
  <si>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</si>
  <si>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</si>
  <si>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</si>
  <si>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</si>
  <si>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</si>
  <si>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</si>
  <si>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</si>
  <si>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</si>
  <si>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</si>
  <si>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</si>
  <si>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</si>
  <si>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</si>
  <si>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Tax &amp; net income:</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</si>
  <si>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</si>
  <si>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</si>
  <si>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</si>
  <si>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</si>
  <si>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</si>
  <si>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</si>
  <si>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</si>
  <si>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</si>
  <si>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</si>
  <si>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</si>
  <si>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</si>
  <si>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</si>
  <si>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</si>
  <si>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</si>
  <si>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</si>
  <si>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</si>
  <si>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</si>
  <si>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</si>
  <si>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</si>
  <si>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</si>
  <si>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</si>
  <si>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</si>
  <si>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</si>
  <si>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</si>
  <si>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</si>
  <si>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</si>
  <si>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</si>
  <si>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</si>
  <si>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</si>
  <si>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</si>
  <si>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</si>
  <si>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</si>
  <si>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</si>
  <si>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</si>
  <si>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</si>
  <si>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</si>
  <si>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</si>
  <si>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</si>
  <si>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</si>
  <si>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</si>
  <si>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</si>
  <si>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</si>
  <si>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</si>
  <si>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</si>
  <si>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</si>
  <si>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</si>
  <si>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</si>
  <si>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</si>
  <si>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</si>
  <si>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</si>
  <si>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</si>
  <si>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</si>
  <si>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</si>
  <si>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</si>
  <si>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</si>
  <si>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</si>
  <si>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</si>
  <si>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</si>
  <si>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</si>
  <si>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</si>
  <si>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</si>
  <si>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</si>
  <si>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</si>
  <si>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</si>
  <si>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</si>
  <si>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</si>
  <si>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</si>
  <si>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</si>
  <si>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</si>
  <si>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</si>
  <si>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</si>
  <si>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</si>
  <si>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</si>
  <si>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</si>
  <si>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</si>
  <si>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</si>
  <si>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</si>
  <si>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</si>
  <si>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</si>
  <si>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Income Statement - Metrics</t>
  </si>
  <si>
    <t>Balance Sheet - Metrics</t>
  </si>
  <si>
    <t>Cash Flow – Sum of the Quarters = FY</t>
  </si>
  <si>
    <t>Share-based compensation expense</t>
  </si>
  <si>
    <t>Cash Flow Statement – Metrics</t>
  </si>
  <si>
    <t>Stock Data</t>
  </si>
  <si>
    <t>Bridge</t>
  </si>
  <si>
    <t>Valuation</t>
  </si>
  <si>
    <t>Indexes</t>
  </si>
  <si>
    <t>CURRENCY</t>
  </si>
  <si>
    <t>usd</t>
  </si>
  <si>
    <t>(+) Ordinary Stock Market Capitalization</t>
  </si>
  <si>
    <t>EV / Sales</t>
  </si>
  <si>
    <t>SPX Index</t>
  </si>
  <si>
    <t>FORMAT</t>
  </si>
  <si>
    <t>k</t>
  </si>
  <si>
    <t>(+) Preferred Stock Market Capitalization</t>
  </si>
  <si>
    <t>EV / EBITDA</t>
  </si>
  <si>
    <t>PPIJFFAK Index</t>
  </si>
  <si>
    <t>TICKER</t>
  </si>
  <si>
    <t>CALM US Equity</t>
  </si>
  <si>
    <t>(+) Non-controlling Interest</t>
  </si>
  <si>
    <t>P / E</t>
  </si>
  <si>
    <t>PREFERRED TICKER</t>
  </si>
  <si>
    <t>(+) Total Debt</t>
  </si>
  <si>
    <t>P / Sales</t>
  </si>
  <si>
    <t>Peers Formatting</t>
  </si>
  <si>
    <t>Year-end</t>
  </si>
  <si>
    <t>(-) Cash &amp; Cash Equivalents &amp; Short-term Investments</t>
  </si>
  <si>
    <t>Quarter-end</t>
  </si>
  <si>
    <t>Tier I Peers</t>
  </si>
  <si>
    <t>VITL US Equity</t>
  </si>
  <si>
    <t>GIS US Equity</t>
  </si>
  <si>
    <t>PEP US Equity</t>
  </si>
  <si>
    <t>POST US Equity</t>
  </si>
  <si>
    <t>CAG US Equity</t>
  </si>
  <si>
    <t>PG US Equity</t>
  </si>
  <si>
    <t>TSN US Equity</t>
  </si>
  <si>
    <t>PPC US Equity</t>
  </si>
  <si>
    <t>KO US Equity</t>
  </si>
  <si>
    <t>LW US Equity</t>
  </si>
  <si>
    <t>NESN SW Equity</t>
  </si>
  <si>
    <t>KMB US Equity</t>
  </si>
  <si>
    <t>HRL US Equity</t>
  </si>
  <si>
    <t>ULVR LN Equity</t>
  </si>
  <si>
    <t>CL US Equity</t>
  </si>
  <si>
    <t>Stock Returns vs Peers</t>
  </si>
  <si>
    <t>Out. Shares</t>
  </si>
  <si>
    <t>Market Cap</t>
  </si>
  <si>
    <t>Price / Sales</t>
  </si>
  <si>
    <t>Operating Income</t>
  </si>
  <si>
    <t>Capex</t>
  </si>
  <si>
    <t>Debt to Equity</t>
  </si>
  <si>
    <t>Operating Margin</t>
  </si>
  <si>
    <t>ROIC-to-WACC</t>
  </si>
  <si>
    <t>Capex-to-Sales</t>
  </si>
  <si>
    <t>Environmental Data</t>
  </si>
  <si>
    <t>GHG_SCOPE_1</t>
  </si>
  <si>
    <t>ENERGY_CONSUMPTION</t>
  </si>
  <si>
    <t>WATER_CONSMPTN</t>
  </si>
  <si>
    <t>Total Waste</t>
  </si>
  <si>
    <t>TOTAL_WASTE</t>
  </si>
  <si>
    <t>SALES_REV_TURN</t>
  </si>
  <si>
    <t>vs Index</t>
  </si>
  <si>
    <t>Stock Price</t>
  </si>
  <si>
    <t>Stock Returns</t>
  </si>
  <si>
    <t>Volume</t>
  </si>
  <si>
    <t>EQY_BETA</t>
  </si>
  <si>
    <t>RSI_PX_52WEEK</t>
  </si>
  <si>
    <t>MOV_AVG_100D</t>
  </si>
  <si>
    <t>VOLUME_AVG_30D</t>
  </si>
  <si>
    <t>EQY_SH_OUT</t>
  </si>
  <si>
    <t>EQY_FREE_FLOAT_PCT</t>
  </si>
  <si>
    <t>SI_PERCENT_EQUITY_FLOAT</t>
  </si>
  <si>
    <t>%Held by Insiders</t>
  </si>
  <si>
    <t>PCT_INSIDER_SHARES_OUT</t>
  </si>
  <si>
    <t>PCT_FLT_SHARES_INSTITUTIONS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</si>
</sst>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 &quot;€&quot;_-;\-* #,##0.00\ &quot;€&quot;_-;_-* &quot;-&quot;??\ &quot;€&quot;_-;_-@_-"/>
    <numFmt numFmtId="165" formatCode="0&quot;A&quot;"/>
    <numFmt numFmtId="166" formatCode="0&quot;E&quot;"/>
    <numFmt numFmtId="167" formatCode="_-* #,##0.00\ _€_-;\-* #,##0.00\ _€_-;_-* &quot;-&quot;??\ _€_-;_-@_-"/>
    <numFmt numFmtId="168" formatCode="0.0%"/>
    <numFmt numFmtId="169" formatCode="_(* #,##0_);_(* \(#,##0\);_(* &quot;-&quot;??_);_(@_)"/>
    <numFmt numFmtId="170" formatCode="0.0"/>
    <numFmt numFmtId="171" formatCode="_-[$₩-412]* #,##0_-;\-[$₩-412]* #,##0_-;_-[$₩-412]* &quot;-&quot;_-;_-@_-"/>
    <numFmt numFmtId="172" formatCode="0.0&quot;x&quot;"/>
    <numFmt numFmtId="173" formatCode="0.0\x"/>
    <numFmt numFmtId="174" formatCode="m/d/yy;@"/>
    <numFmt numFmtId="175" formatCode="#,##0.0_);\(#,##0.0\)"/>
    <numFmt numFmtId="176" formatCode="#,#00"/>
    <numFmt numFmtId="177" formatCode="[$₩-412]#,##0;\-[$₩-412]#,##0"/>
    <numFmt numFmtId="178" formatCode="#,#00.00"/>
    <numFmt numFmtId="179" formatCode="yyyy\-mm\-dd;@"/>
    <numFmt numFmtId="180" formatCode="#,##0_ ;\-#,##0\ "/>
  </numFmts>
  <fonts count="86">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rgb="FFFF0000"/>
      <name val="Arial Nova"/>
      <family val="2"/>
    </font>
    <font>
      <sz val="11"/>
      <color theme="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b/>
      <sz val="11"/>
      <color rgb="FF000000"/>
      <name val="Arial"/>
      <family val="2"/>
    </font>
    <font>
      <b/>
      <sz val="11"/>
      <color rgb="FF000000"/>
      <name val="Arial Nova"/>
      <family val="2"/>
    </font>
    <font>
      <sz val="11"/>
      <color rgb="FF242424"/>
      <name val="Aptos Narrow"/>
      <family val="2"/>
    </font>
  </fonts>
  <fills count="18">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rgb="FFFFC00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rgb="FF00B050"/>
        <bgColor indexed="64"/>
      </patternFill>
    </fill>
  </fills>
  <borders count="29">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s>
  <cellStyleXfs count="14">
    <xf numFmtId="0" fontId="0" fillId="0" borderId="0"/>
    <xf numFmtId="167"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cellStyleXfs>
  <cellXfs count="747">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0" fontId="10" fillId="0" borderId="0" xfId="0" applyFont="1" applyAlignment="1">
      <alignment horizontal="left" indent="1"/>
    </xf>
    <xf numFmtId="0" fontId="2" fillId="0" borderId="0" xfId="0" applyFont="1"/>
    <xf numFmtId="3" fontId="2" fillId="0" borderId="0" xfId="0" applyNumberFormat="1" applyFont="1"/>
    <xf numFmtId="0" fontId="4" fillId="0" borderId="0" xfId="0" applyFont="1"/>
    <xf numFmtId="0" fontId="5" fillId="0" borderId="0" xfId="0" applyFont="1"/>
    <xf numFmtId="168" fontId="2" fillId="0" borderId="0" xfId="2" applyNumberFormat="1"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6" fontId="16" fillId="0" borderId="0" xfId="0" applyNumberFormat="1" applyFont="1"/>
    <xf numFmtId="0" fontId="17" fillId="10" borderId="0" xfId="0" applyFont="1" applyFill="1"/>
    <xf numFmtId="0" fontId="28" fillId="10" borderId="0" xfId="0" applyFont="1" applyFill="1"/>
    <xf numFmtId="0" fontId="37" fillId="2" borderId="0" xfId="0" applyFont="1" applyFill="1" applyAlignment="1">
      <alignment horizontal="right"/>
    </xf>
    <xf numFmtId="0" fontId="0" fillId="10" borderId="0" xfId="0" applyFill="1"/>
    <xf numFmtId="0" fontId="20" fillId="0" borderId="0" xfId="0" applyFont="1" applyAlignment="1">
      <alignment horizontal="left" indent="1"/>
    </xf>
    <xf numFmtId="2" fontId="0" fillId="0" borderId="0" xfId="0" applyNumberFormat="1"/>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27" fillId="0" borderId="9"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9" xfId="0" applyNumberFormat="1" applyFont="1" applyBorder="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3" xfId="0" applyNumberFormat="1" applyFont="1" applyBorder="1" applyProtection="1">
      <protection locked="0"/>
    </xf>
    <xf numFmtId="37" fontId="39" fillId="0" borderId="23"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1" applyNumberFormat="1" applyFont="1" applyFill="1" applyProtection="1">
      <protection locked="0"/>
    </xf>
    <xf numFmtId="39" fontId="27" fillId="0" borderId="0" xfId="0" applyNumberFormat="1" applyFont="1"/>
    <xf numFmtId="39" fontId="27" fillId="0" borderId="3" xfId="0" applyNumberFormat="1" applyFont="1" applyBorder="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0" borderId="0" xfId="1" applyNumberFormat="1" applyFont="1" applyFill="1" applyProtection="1"/>
    <xf numFmtId="37" fontId="21" fillId="3" borderId="0" xfId="1" applyNumberFormat="1" applyFont="1" applyFill="1" applyProtection="1">
      <protection locked="0"/>
    </xf>
    <xf numFmtId="37" fontId="21" fillId="0" borderId="3" xfId="1" applyNumberFormat="1" applyFont="1" applyFill="1" applyBorder="1" applyProtection="1"/>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44" fillId="0" borderId="3" xfId="2" applyNumberFormat="1" applyFont="1" applyFill="1" applyBorder="1" applyProtection="1"/>
    <xf numFmtId="37" fontId="31" fillId="0" borderId="0" xfId="0" applyNumberFormat="1" applyFont="1"/>
    <xf numFmtId="37" fontId="31" fillId="0" borderId="0" xfId="2" applyNumberFormat="1" applyFont="1" applyFill="1" applyProtection="1"/>
    <xf numFmtId="37" fontId="31" fillId="0" borderId="3" xfId="2" applyNumberFormat="1" applyFont="1" applyFill="1" applyBorder="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37" fontId="44" fillId="0" borderId="0" xfId="2" applyNumberFormat="1" applyFont="1" applyFill="1" applyBorder="1" applyProtection="1"/>
    <xf numFmtId="0" fontId="45" fillId="0" borderId="0" xfId="0" applyFont="1" applyProtection="1">
      <protection locked="0"/>
    </xf>
    <xf numFmtId="0" fontId="15" fillId="0" borderId="0" xfId="0" applyFont="1" applyAlignment="1" applyProtection="1">
      <alignment horizontal="left" indent="1"/>
      <protection locked="0"/>
    </xf>
    <xf numFmtId="37" fontId="32" fillId="0" borderId="0" xfId="0" applyNumberFormat="1" applyFont="1"/>
    <xf numFmtId="37" fontId="30" fillId="0" borderId="0" xfId="1" applyNumberFormat="1" applyFont="1" applyFill="1" applyProtection="1"/>
    <xf numFmtId="37" fontId="30" fillId="0" borderId="3" xfId="1" applyNumberFormat="1" applyFont="1" applyFill="1" applyBorder="1" applyProtection="1"/>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7" fontId="44" fillId="0" borderId="3" xfId="0" applyNumberFormat="1" applyFont="1" applyBorder="1"/>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5" fontId="16" fillId="2" borderId="0" xfId="0" applyNumberFormat="1" applyFont="1" applyFill="1" applyAlignment="1">
      <alignment horizontal="center"/>
    </xf>
    <xf numFmtId="166" fontId="16" fillId="2" borderId="10" xfId="0" applyNumberFormat="1" applyFont="1" applyFill="1" applyBorder="1" applyAlignment="1" applyProtection="1">
      <alignment horizontal="center"/>
      <protection locked="0"/>
    </xf>
    <xf numFmtId="165" fontId="40" fillId="2" borderId="0" xfId="0" applyNumberFormat="1" applyFont="1" applyFill="1" applyAlignment="1">
      <alignment horizontal="center"/>
    </xf>
    <xf numFmtId="165" fontId="16" fillId="2" borderId="0" xfId="0" applyNumberFormat="1" applyFont="1" applyFill="1" applyAlignment="1" applyProtection="1">
      <alignment horizontal="center"/>
      <protection locked="0"/>
    </xf>
    <xf numFmtId="0" fontId="47" fillId="2" borderId="0" xfId="0" applyFont="1" applyFill="1"/>
    <xf numFmtId="165" fontId="46" fillId="2" borderId="0" xfId="0" applyNumberFormat="1" applyFont="1" applyFill="1" applyAlignment="1">
      <alignment horizontal="center"/>
    </xf>
    <xf numFmtId="165" fontId="48" fillId="2" borderId="0" xfId="0" applyNumberFormat="1" applyFont="1" applyFill="1" applyAlignment="1">
      <alignment horizontal="center"/>
    </xf>
    <xf numFmtId="0" fontId="16" fillId="0" borderId="0" xfId="0" applyFont="1" applyProtection="1">
      <protection locked="0"/>
    </xf>
    <xf numFmtId="165" fontId="16" fillId="0" borderId="0" xfId="0" applyNumberFormat="1" applyFont="1" applyProtection="1">
      <protection locked="0"/>
    </xf>
    <xf numFmtId="165" fontId="16" fillId="0" borderId="0" xfId="0" applyNumberFormat="1" applyFont="1"/>
    <xf numFmtId="166" fontId="16" fillId="0" borderId="0" xfId="0" applyNumberFormat="1" applyFont="1" applyProtection="1">
      <protection locked="0"/>
    </xf>
    <xf numFmtId="0" fontId="16" fillId="10" borderId="0" xfId="0" applyFont="1" applyFill="1" applyProtection="1">
      <protection locked="0"/>
    </xf>
    <xf numFmtId="165" fontId="16" fillId="10" borderId="0" xfId="0" applyNumberFormat="1" applyFont="1" applyFill="1" applyProtection="1">
      <protection locked="0"/>
    </xf>
    <xf numFmtId="165" fontId="16" fillId="10" borderId="0" xfId="0" applyNumberFormat="1" applyFont="1" applyFill="1"/>
    <xf numFmtId="166" fontId="16" fillId="10" borderId="0" xfId="0" applyNumberFormat="1" applyFont="1" applyFill="1" applyProtection="1">
      <protection locked="0"/>
    </xf>
    <xf numFmtId="166" fontId="16" fillId="10" borderId="0" xfId="0" applyNumberFormat="1" applyFont="1" applyFill="1"/>
    <xf numFmtId="37" fontId="27" fillId="0" borderId="0" xfId="2" applyNumberFormat="1" applyFont="1" applyFill="1" applyBorder="1" applyProtection="1">
      <protection locked="0"/>
    </xf>
    <xf numFmtId="37" fontId="39"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0" borderId="0" xfId="0" applyFont="1" applyFill="1" applyAlignment="1" applyProtection="1">
      <alignment horizontal="left" indent="1"/>
      <protection locked="0"/>
    </xf>
    <xf numFmtId="37" fontId="27" fillId="10" borderId="0" xfId="0" applyNumberFormat="1" applyFont="1" applyFill="1" applyProtection="1">
      <protection locked="0"/>
    </xf>
    <xf numFmtId="37" fontId="27" fillId="10" borderId="0" xfId="1" applyNumberFormat="1" applyFont="1" applyFill="1" applyBorder="1" applyProtection="1">
      <protection locked="0"/>
    </xf>
    <xf numFmtId="37" fontId="27" fillId="10" borderId="0" xfId="1" applyNumberFormat="1" applyFont="1" applyFill="1" applyBorder="1" applyProtection="1"/>
    <xf numFmtId="37" fontId="39" fillId="10" borderId="0" xfId="0" applyNumberFormat="1" applyFont="1" applyFill="1" applyProtection="1">
      <protection locked="0"/>
    </xf>
    <xf numFmtId="37" fontId="39" fillId="10" borderId="0" xfId="1" applyNumberFormat="1" applyFont="1" applyFill="1" applyBorder="1" applyProtection="1">
      <protection locked="0"/>
    </xf>
    <xf numFmtId="37" fontId="39" fillId="10" borderId="0" xfId="1" applyNumberFormat="1" applyFont="1" applyFill="1" applyBorder="1" applyProtection="1"/>
    <xf numFmtId="3" fontId="27" fillId="10" borderId="0" xfId="0" applyNumberFormat="1" applyFont="1" applyFill="1" applyProtection="1">
      <protection locked="0"/>
    </xf>
    <xf numFmtId="165" fontId="46" fillId="2" borderId="0" xfId="0" applyNumberFormat="1" applyFont="1" applyFill="1" applyAlignment="1" applyProtection="1">
      <alignment horizontal="center"/>
      <protection locked="0"/>
    </xf>
    <xf numFmtId="166" fontId="46" fillId="2" borderId="0" xfId="0" applyNumberFormat="1" applyFont="1" applyFill="1" applyAlignment="1" applyProtection="1">
      <alignment horizontal="center"/>
      <protection locked="0"/>
    </xf>
    <xf numFmtId="165"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3"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0" borderId="0" xfId="0" applyFont="1" applyFill="1" applyProtection="1">
      <protection locked="0"/>
    </xf>
    <xf numFmtId="0" fontId="34" fillId="10" borderId="0" xfId="0" applyFont="1" applyFill="1" applyProtection="1">
      <protection locked="0"/>
    </xf>
    <xf numFmtId="0" fontId="28" fillId="3" borderId="0" xfId="0" applyFont="1" applyFill="1" applyProtection="1">
      <protection locked="0"/>
    </xf>
    <xf numFmtId="0" fontId="34" fillId="11" borderId="7" xfId="0" applyFont="1" applyFill="1" applyBorder="1" applyProtection="1">
      <protection locked="0"/>
    </xf>
    <xf numFmtId="0" fontId="34" fillId="11" borderId="19" xfId="0" applyFont="1" applyFill="1" applyBorder="1" applyAlignment="1" applyProtection="1">
      <alignment horizontal="left" indent="1"/>
      <protection locked="0"/>
    </xf>
    <xf numFmtId="0" fontId="34" fillId="11" borderId="7" xfId="0" applyFont="1" applyFill="1" applyBorder="1"/>
    <xf numFmtId="10" fontId="28" fillId="0" borderId="0" xfId="0" applyNumberFormat="1" applyFont="1" applyProtection="1">
      <protection locked="0"/>
    </xf>
    <xf numFmtId="0" fontId="27" fillId="0" borderId="0" xfId="0" applyFont="1" applyProtection="1">
      <protection locked="0"/>
    </xf>
    <xf numFmtId="10" fontId="27" fillId="0" borderId="0" xfId="0" applyNumberFormat="1" applyFont="1" applyProtection="1">
      <protection locked="0"/>
    </xf>
    <xf numFmtId="2" fontId="28" fillId="0" borderId="0" xfId="0" applyNumberFormat="1" applyFont="1" applyProtection="1">
      <protection locked="0"/>
    </xf>
    <xf numFmtId="2" fontId="27" fillId="0" borderId="0" xfId="0" applyNumberFormat="1" applyFont="1" applyProtection="1">
      <protection locked="0"/>
    </xf>
    <xf numFmtId="0" fontId="34" fillId="11" borderId="19" xfId="0" applyFont="1" applyFill="1" applyBorder="1" applyProtection="1">
      <protection locked="0"/>
    </xf>
    <xf numFmtId="37" fontId="38" fillId="3" borderId="0" xfId="0" applyNumberFormat="1" applyFont="1" applyFill="1" applyProtection="1">
      <protection locked="0"/>
    </xf>
    <xf numFmtId="0" fontId="15" fillId="0" borderId="0" xfId="0" applyFont="1" applyAlignment="1">
      <alignment horizontal="left" indent="3"/>
    </xf>
    <xf numFmtId="0" fontId="24" fillId="0" borderId="0" xfId="0" applyFont="1" applyAlignment="1">
      <alignment horizontal="left" indent="4"/>
    </xf>
    <xf numFmtId="174" fontId="0" fillId="0" borderId="0" xfId="0" applyNumberFormat="1"/>
    <xf numFmtId="39" fontId="0" fillId="0" borderId="0" xfId="0" applyNumberFormat="1"/>
    <xf numFmtId="168" fontId="24" fillId="3" borderId="0" xfId="2" applyNumberFormat="1" applyFont="1" applyFill="1" applyProtection="1">
      <protection locked="0"/>
    </xf>
    <xf numFmtId="168" fontId="24" fillId="0" borderId="0" xfId="2" applyNumberFormat="1" applyFont="1" applyFill="1" applyBorder="1" applyProtection="1">
      <protection locked="0"/>
    </xf>
    <xf numFmtId="168" fontId="24" fillId="3" borderId="0" xfId="2" applyNumberFormat="1" applyFont="1" applyFill="1" applyBorder="1" applyProtection="1">
      <protection locked="0"/>
    </xf>
    <xf numFmtId="168" fontId="24" fillId="0" borderId="0" xfId="2" applyNumberFormat="1" applyFont="1" applyProtection="1">
      <protection locked="0"/>
    </xf>
    <xf numFmtId="168" fontId="39" fillId="3" borderId="0" xfId="2" applyNumberFormat="1" applyFont="1" applyFill="1" applyProtection="1">
      <protection locked="0"/>
    </xf>
    <xf numFmtId="168" fontId="39" fillId="0" borderId="0" xfId="2" applyNumberFormat="1" applyFont="1" applyProtection="1">
      <protection locked="0"/>
    </xf>
    <xf numFmtId="37" fontId="38" fillId="0" borderId="0" xfId="0" applyNumberFormat="1" applyFont="1" applyProtection="1">
      <protection locked="0"/>
    </xf>
    <xf numFmtId="37" fontId="28" fillId="0" borderId="0" xfId="0" applyNumberFormat="1" applyFont="1" applyProtection="1">
      <protection locked="0"/>
    </xf>
    <xf numFmtId="37" fontId="28" fillId="0" borderId="7" xfId="0" applyNumberFormat="1" applyFont="1" applyBorder="1" applyProtection="1">
      <protection locked="0"/>
    </xf>
    <xf numFmtId="37" fontId="28" fillId="3" borderId="0" xfId="0" applyNumberFormat="1" applyFont="1" applyFill="1" applyProtection="1">
      <protection locked="0"/>
    </xf>
    <xf numFmtId="37" fontId="34" fillId="11" borderId="7" xfId="0" applyNumberFormat="1" applyFont="1" applyFill="1" applyBorder="1" applyProtection="1">
      <protection locked="0"/>
    </xf>
    <xf numFmtId="168" fontId="23" fillId="9" borderId="4" xfId="2" applyNumberFormat="1" applyFont="1" applyFill="1" applyBorder="1" applyProtection="1">
      <protection locked="0"/>
    </xf>
    <xf numFmtId="37" fontId="38" fillId="0" borderId="0" xfId="1" applyNumberFormat="1" applyFont="1" applyFill="1" applyBorder="1" applyProtection="1">
      <protection locked="0"/>
    </xf>
    <xf numFmtId="168" fontId="28" fillId="0" borderId="0" xfId="0" applyNumberFormat="1" applyFont="1" applyProtection="1">
      <protection locked="0"/>
    </xf>
    <xf numFmtId="168" fontId="25" fillId="0" borderId="0" xfId="0" applyNumberFormat="1" applyFont="1" applyProtection="1">
      <protection locked="0"/>
    </xf>
    <xf numFmtId="175"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8" fontId="28" fillId="0" borderId="0" xfId="2" applyNumberFormat="1" applyFont="1" applyProtection="1">
      <protection locked="0"/>
    </xf>
    <xf numFmtId="175" fontId="23" fillId="9" borderId="4" xfId="0" applyNumberFormat="1" applyFont="1" applyFill="1" applyBorder="1" applyProtection="1">
      <protection locked="0"/>
    </xf>
    <xf numFmtId="175" fontId="27" fillId="0" borderId="0" xfId="0" applyNumberFormat="1" applyFont="1" applyProtection="1">
      <protection locked="0"/>
    </xf>
    <xf numFmtId="175" fontId="27" fillId="0" borderId="0" xfId="0" applyNumberFormat="1" applyFont="1"/>
    <xf numFmtId="175" fontId="27" fillId="0" borderId="3" xfId="0" applyNumberFormat="1" applyFont="1" applyBorder="1"/>
    <xf numFmtId="175" fontId="39" fillId="3" borderId="0" xfId="0" applyNumberFormat="1" applyFont="1" applyFill="1" applyProtection="1">
      <protection locked="0"/>
    </xf>
    <xf numFmtId="175" fontId="27" fillId="0" borderId="0" xfId="1" applyNumberFormat="1" applyFont="1" applyFill="1" applyBorder="1" applyProtection="1"/>
    <xf numFmtId="175" fontId="27" fillId="0" borderId="3" xfId="1" applyNumberFormat="1" applyFont="1" applyFill="1" applyBorder="1" applyProtection="1"/>
    <xf numFmtId="175" fontId="25" fillId="0" borderId="0" xfId="0" applyNumberFormat="1" applyFont="1" applyProtection="1">
      <protection locked="0"/>
    </xf>
    <xf numFmtId="39" fontId="25" fillId="0" borderId="0" xfId="0" applyNumberFormat="1" applyFont="1" applyProtection="1">
      <protection locked="0"/>
    </xf>
    <xf numFmtId="168" fontId="25" fillId="0" borderId="0" xfId="2" applyNumberFormat="1" applyFont="1" applyProtection="1">
      <protection locked="0"/>
    </xf>
    <xf numFmtId="0" fontId="28" fillId="0" borderId="13" xfId="0" applyFont="1" applyBorder="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172" fontId="26" fillId="9" borderId="4" xfId="2" applyNumberFormat="1" applyFont="1" applyFill="1" applyBorder="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5"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2"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3" fontId="39" fillId="0" borderId="0" xfId="0" applyNumberFormat="1" applyFont="1" applyProtection="1">
      <protection locked="0"/>
    </xf>
    <xf numFmtId="0" fontId="37" fillId="2" borderId="0" xfId="0" applyFont="1" applyFill="1" applyAlignment="1" applyProtection="1">
      <alignment horizontal="right"/>
      <protection locked="0"/>
    </xf>
    <xf numFmtId="175"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2" borderId="0" xfId="0" applyFont="1" applyFill="1"/>
    <xf numFmtId="170" fontId="2" fillId="0" borderId="0" xfId="0" applyNumberFormat="1" applyFont="1"/>
    <xf numFmtId="0" fontId="4" fillId="12" borderId="0" xfId="0" applyFont="1" applyFill="1"/>
    <xf numFmtId="0" fontId="2" fillId="12" borderId="0" xfId="0" applyFont="1" applyFill="1"/>
    <xf numFmtId="0" fontId="3" fillId="0" borderId="0" xfId="0" applyFont="1" applyAlignment="1">
      <alignment horizontal="left"/>
    </xf>
    <xf numFmtId="0" fontId="6" fillId="9" borderId="22" xfId="13" applyFont="1" applyFill="1" applyBorder="1"/>
    <xf numFmtId="0" fontId="0" fillId="9" borderId="24"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34" fillId="0" borderId="0" xfId="0" applyFont="1" applyAlignment="1">
      <alignment horizontal="center" vertical="center" wrapText="1"/>
    </xf>
    <xf numFmtId="0" fontId="28" fillId="0" borderId="0" xfId="0" applyFont="1" applyAlignment="1">
      <alignment horizontal="left" indent="1"/>
    </xf>
    <xf numFmtId="0" fontId="34" fillId="0" borderId="0" xfId="0" applyFont="1" applyAlignment="1">
      <alignment horizontal="left" vertical="top" indent="1"/>
    </xf>
    <xf numFmtId="0" fontId="27" fillId="0" borderId="0" xfId="5" applyFont="1" applyAlignment="1">
      <alignment vertical="center"/>
    </xf>
    <xf numFmtId="0" fontId="43" fillId="0" borderId="0" xfId="5" applyFont="1" applyAlignment="1">
      <alignment vertical="center"/>
    </xf>
    <xf numFmtId="0" fontId="28" fillId="10"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5" fontId="37" fillId="2" borderId="0" xfId="0" applyNumberFormat="1" applyFont="1" applyFill="1" applyAlignment="1">
      <alignment horizontal="center"/>
    </xf>
    <xf numFmtId="0" fontId="51" fillId="2" borderId="0" xfId="0" applyFont="1" applyFill="1"/>
    <xf numFmtId="165" fontId="37" fillId="2" borderId="0" xfId="0" applyNumberFormat="1" applyFont="1" applyFill="1" applyAlignment="1" applyProtection="1">
      <alignment horizontal="center"/>
      <protection locked="0"/>
    </xf>
    <xf numFmtId="0" fontId="37" fillId="10" borderId="0" xfId="0" applyFont="1" applyFill="1" applyProtection="1">
      <protection locked="0"/>
    </xf>
    <xf numFmtId="0" fontId="35" fillId="10" borderId="0" xfId="0" applyFont="1" applyFill="1"/>
    <xf numFmtId="165" fontId="37" fillId="10" borderId="0" xfId="0" applyNumberFormat="1" applyFont="1" applyFill="1" applyProtection="1">
      <protection locked="0"/>
    </xf>
    <xf numFmtId="165" fontId="37" fillId="10" borderId="0" xfId="0" applyNumberFormat="1" applyFont="1" applyFill="1"/>
    <xf numFmtId="0" fontId="37" fillId="2" borderId="0" xfId="5" applyFont="1" applyFill="1" applyAlignment="1">
      <alignment vertical="center"/>
    </xf>
    <xf numFmtId="0" fontId="37" fillId="0" borderId="0" xfId="0" applyFont="1" applyAlignment="1" applyProtection="1">
      <alignment horizontal="left" indent="1"/>
      <protection locked="0"/>
    </xf>
    <xf numFmtId="0" fontId="27" fillId="10" borderId="0" xfId="5" applyFont="1" applyFill="1" applyAlignment="1">
      <alignment vertical="center"/>
    </xf>
    <xf numFmtId="0" fontId="43" fillId="10" borderId="0" xfId="5" applyFont="1" applyFill="1" applyAlignment="1">
      <alignment vertical="center"/>
    </xf>
    <xf numFmtId="0" fontId="27" fillId="0" borderId="25" xfId="5" applyFont="1" applyBorder="1" applyAlignment="1">
      <alignment vertical="center"/>
    </xf>
    <xf numFmtId="0" fontId="43" fillId="0" borderId="25" xfId="5" applyFont="1" applyBorder="1" applyAlignment="1">
      <alignment vertical="center"/>
    </xf>
    <xf numFmtId="0" fontId="27" fillId="0" borderId="0" xfId="5" applyFont="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5" fillId="0" borderId="0" xfId="0" applyFont="1" applyAlignment="1">
      <alignment horizontal="left" indent="1"/>
    </xf>
    <xf numFmtId="0" fontId="43" fillId="0" borderId="25" xfId="5" applyFont="1" applyBorder="1" applyAlignment="1">
      <alignment horizontal="right" vertical="center"/>
    </xf>
    <xf numFmtId="0" fontId="43" fillId="0" borderId="0" xfId="5" applyFont="1" applyAlignment="1">
      <alignment horizontal="left" vertical="center" indent="1"/>
    </xf>
    <xf numFmtId="0" fontId="53" fillId="0" borderId="0" xfId="5" applyFont="1" applyAlignment="1">
      <alignment vertical="center"/>
    </xf>
    <xf numFmtId="14" fontId="53" fillId="0" borderId="0" xfId="5" applyNumberFormat="1" applyFont="1" applyAlignment="1">
      <alignment horizontal="right" vertical="center"/>
    </xf>
    <xf numFmtId="0" fontId="6" fillId="9" borderId="21" xfId="13" applyFont="1" applyFill="1" applyBorder="1"/>
    <xf numFmtId="0" fontId="54" fillId="0" borderId="25" xfId="0" applyFont="1" applyBorder="1"/>
    <xf numFmtId="0" fontId="0" fillId="0" borderId="25" xfId="0" applyBorder="1"/>
    <xf numFmtId="0" fontId="3" fillId="0" borderId="25" xfId="0" applyFont="1" applyBorder="1"/>
    <xf numFmtId="39" fontId="0" fillId="0" borderId="0" xfId="0" applyNumberFormat="1" applyAlignment="1">
      <alignment horizontal="right"/>
    </xf>
    <xf numFmtId="0" fontId="55" fillId="2" borderId="0" xfId="0" applyFont="1" applyFill="1" applyAlignment="1">
      <alignment horizontal="right"/>
    </xf>
    <xf numFmtId="37" fontId="39" fillId="0" borderId="3" xfId="1" applyNumberFormat="1" applyFont="1" applyFill="1" applyBorder="1" applyProtection="1">
      <protection locked="0"/>
    </xf>
    <xf numFmtId="168" fontId="24" fillId="0" borderId="3" xfId="2" applyNumberFormat="1" applyFont="1" applyFill="1" applyBorder="1" applyProtection="1">
      <protection locked="0"/>
    </xf>
    <xf numFmtId="37" fontId="27" fillId="0" borderId="3" xfId="1" applyNumberFormat="1" applyFont="1" applyFill="1" applyBorder="1" applyProtection="1">
      <protection locked="0"/>
    </xf>
    <xf numFmtId="37" fontId="27" fillId="0" borderId="3" xfId="2" applyNumberFormat="1" applyFont="1" applyFill="1" applyBorder="1" applyProtection="1">
      <protection locked="0"/>
    </xf>
    <xf numFmtId="168" fontId="24" fillId="0" borderId="3" xfId="2" applyNumberFormat="1" applyFont="1" applyBorder="1" applyProtection="1">
      <protection locked="0"/>
    </xf>
    <xf numFmtId="37" fontId="27" fillId="0" borderId="3" xfId="0" applyNumberFormat="1" applyFont="1" applyBorder="1" applyProtection="1">
      <protection locked="0"/>
    </xf>
    <xf numFmtId="37" fontId="39" fillId="0" borderId="3" xfId="0" applyNumberFormat="1" applyFont="1" applyBorder="1" applyProtection="1">
      <protection locked="0"/>
    </xf>
    <xf numFmtId="37" fontId="25" fillId="0" borderId="3" xfId="0" applyNumberFormat="1" applyFont="1" applyBorder="1" applyProtection="1">
      <protection locked="0"/>
    </xf>
    <xf numFmtId="0" fontId="28" fillId="0" borderId="3" xfId="0" applyFont="1" applyBorder="1" applyProtection="1">
      <protection locked="0"/>
    </xf>
    <xf numFmtId="0" fontId="27" fillId="10" borderId="0" xfId="0" applyFont="1" applyFill="1"/>
    <xf numFmtId="0" fontId="35" fillId="0" borderId="0" xfId="0" applyFont="1"/>
    <xf numFmtId="0" fontId="37" fillId="10" borderId="0" xfId="0" applyFont="1" applyFill="1"/>
    <xf numFmtId="0" fontId="56" fillId="0" borderId="0" xfId="0" applyFont="1"/>
    <xf numFmtId="37" fontId="38" fillId="0" borderId="0" xfId="0" applyNumberFormat="1" applyFont="1"/>
    <xf numFmtId="37" fontId="34" fillId="0" borderId="0" xfId="0" applyNumberFormat="1" applyFont="1"/>
    <xf numFmtId="37" fontId="39" fillId="0" borderId="1" xfId="0" applyNumberFormat="1" applyFont="1" applyBorder="1"/>
    <xf numFmtId="168" fontId="26" fillId="0" borderId="0" xfId="2" applyNumberFormat="1" applyFont="1" applyAlignment="1">
      <alignment horizontal="right"/>
    </xf>
    <xf numFmtId="172" fontId="38" fillId="0" borderId="0" xfId="0" applyNumberFormat="1" applyFont="1"/>
    <xf numFmtId="172" fontId="26" fillId="0" borderId="0" xfId="0" applyNumberFormat="1" applyFont="1"/>
    <xf numFmtId="168" fontId="26" fillId="0" borderId="0" xfId="2" applyNumberFormat="1" applyFont="1" applyFill="1" applyBorder="1"/>
    <xf numFmtId="168" fontId="26" fillId="0" borderId="0" xfId="2" applyNumberFormat="1" applyFont="1"/>
    <xf numFmtId="173" fontId="27" fillId="0" borderId="0" xfId="0" applyNumberFormat="1" applyFont="1"/>
    <xf numFmtId="168" fontId="27" fillId="0" borderId="0" xfId="2" applyNumberFormat="1" applyFont="1"/>
    <xf numFmtId="0" fontId="27" fillId="0" borderId="1" xfId="0" applyFont="1" applyBorder="1"/>
    <xf numFmtId="37" fontId="38" fillId="0" borderId="1" xfId="0" applyNumberFormat="1" applyFont="1" applyBorder="1"/>
    <xf numFmtId="173" fontId="27" fillId="0" borderId="1" xfId="0" applyNumberFormat="1" applyFont="1" applyBorder="1"/>
    <xf numFmtId="168" fontId="27" fillId="0" borderId="1" xfId="2" applyNumberFormat="1" applyFont="1" applyBorder="1"/>
    <xf numFmtId="0" fontId="38" fillId="0" borderId="0" xfId="0" applyFont="1"/>
    <xf numFmtId="37" fontId="43" fillId="0" borderId="0" xfId="0" applyNumberFormat="1" applyFont="1"/>
    <xf numFmtId="173" fontId="43" fillId="0" borderId="0" xfId="0" applyNumberFormat="1" applyFont="1"/>
    <xf numFmtId="168" fontId="43" fillId="0" borderId="0" xfId="2" applyNumberFormat="1" applyFont="1"/>
    <xf numFmtId="0" fontId="27" fillId="0" borderId="19" xfId="0" applyFont="1" applyBorder="1"/>
    <xf numFmtId="37" fontId="38" fillId="0" borderId="7" xfId="0" applyNumberFormat="1" applyFont="1" applyBorder="1"/>
    <xf numFmtId="173" fontId="27" fillId="0" borderId="7" xfId="0" applyNumberFormat="1" applyFont="1" applyBorder="1"/>
    <xf numFmtId="168" fontId="27" fillId="0" borderId="17" xfId="2" applyNumberFormat="1" applyFont="1" applyBorder="1"/>
    <xf numFmtId="0" fontId="27" fillId="3" borderId="19" xfId="0" applyFont="1" applyFill="1" applyBorder="1"/>
    <xf numFmtId="0" fontId="27" fillId="3" borderId="7" xfId="0" applyFont="1" applyFill="1" applyBorder="1"/>
    <xf numFmtId="37" fontId="28" fillId="3" borderId="7" xfId="0" applyNumberFormat="1" applyFont="1" applyFill="1" applyBorder="1"/>
    <xf numFmtId="173" fontId="27" fillId="3" borderId="7" xfId="0" applyNumberFormat="1" applyFont="1" applyFill="1" applyBorder="1"/>
    <xf numFmtId="168" fontId="27" fillId="3" borderId="17" xfId="2" applyNumberFormat="1" applyFont="1" applyFill="1" applyBorder="1"/>
    <xf numFmtId="165" fontId="37" fillId="2" borderId="0" xfId="0" applyNumberFormat="1" applyFont="1" applyFill="1"/>
    <xf numFmtId="166" fontId="37" fillId="2" borderId="0" xfId="0" applyNumberFormat="1" applyFont="1" applyFill="1"/>
    <xf numFmtId="0" fontId="27" fillId="0" borderId="0" xfId="0" applyFont="1" applyAlignment="1">
      <alignment horizontal="left" indent="1"/>
    </xf>
    <xf numFmtId="10" fontId="27" fillId="0" borderId="0" xfId="2" applyNumberFormat="1" applyFont="1" applyFill="1" applyBorder="1" applyAlignment="1">
      <alignment horizontal="center"/>
    </xf>
    <xf numFmtId="168" fontId="24" fillId="0" borderId="0" xfId="2" applyNumberFormat="1" applyFont="1" applyFill="1" applyBorder="1"/>
    <xf numFmtId="0" fontId="24" fillId="0" borderId="0" xfId="0" applyFont="1"/>
    <xf numFmtId="10" fontId="57" fillId="11" borderId="7" xfId="2" applyNumberFormat="1" applyFont="1" applyFill="1" applyBorder="1" applyAlignment="1">
      <alignment horizontal="center"/>
    </xf>
    <xf numFmtId="0" fontId="57" fillId="11" borderId="7" xfId="0" applyFont="1" applyFill="1" applyBorder="1"/>
    <xf numFmtId="10" fontId="24" fillId="11" borderId="7" xfId="2" applyNumberFormat="1" applyFont="1" applyFill="1" applyBorder="1"/>
    <xf numFmtId="10" fontId="24" fillId="11" borderId="17" xfId="2" applyNumberFormat="1" applyFont="1" applyFill="1" applyBorder="1"/>
    <xf numFmtId="10" fontId="27" fillId="0" borderId="0" xfId="2" applyNumberFormat="1" applyFont="1" applyAlignment="1">
      <alignment horizontal="center"/>
    </xf>
    <xf numFmtId="4" fontId="39" fillId="0" borderId="0" xfId="0" applyNumberFormat="1" applyFont="1"/>
    <xf numFmtId="4" fontId="39" fillId="0" borderId="5" xfId="0" applyNumberFormat="1" applyFont="1" applyBorder="1"/>
    <xf numFmtId="2" fontId="27" fillId="4" borderId="0" xfId="0" applyNumberFormat="1" applyFont="1" applyFill="1"/>
    <xf numFmtId="2" fontId="27" fillId="0" borderId="0" xfId="0" applyNumberFormat="1" applyFont="1"/>
    <xf numFmtId="0" fontId="27" fillId="10" borderId="0" xfId="0" applyFont="1" applyFill="1" applyAlignment="1">
      <alignment horizontal="left" indent="1"/>
    </xf>
    <xf numFmtId="10" fontId="27" fillId="10" borderId="0" xfId="2" applyNumberFormat="1" applyFont="1" applyFill="1" applyAlignment="1">
      <alignment horizontal="center"/>
    </xf>
    <xf numFmtId="4" fontId="39" fillId="10" borderId="0" xfId="0" applyNumberFormat="1" applyFont="1" applyFill="1"/>
    <xf numFmtId="2" fontId="27" fillId="10" borderId="0" xfId="0" applyNumberFormat="1" applyFont="1" applyFill="1"/>
    <xf numFmtId="169" fontId="35" fillId="0" borderId="0" xfId="1" applyNumberFormat="1" applyFont="1"/>
    <xf numFmtId="169" fontId="27" fillId="0" borderId="0" xfId="1" applyNumberFormat="1" applyFont="1"/>
    <xf numFmtId="168" fontId="23" fillId="9" borderId="6" xfId="2" applyNumberFormat="1" applyFont="1" applyFill="1" applyBorder="1"/>
    <xf numFmtId="168" fontId="23" fillId="9" borderId="4" xfId="2" applyNumberFormat="1" applyFont="1" applyFill="1" applyBorder="1"/>
    <xf numFmtId="168" fontId="24" fillId="0" borderId="0" xfId="2" applyNumberFormat="1" applyFont="1"/>
    <xf numFmtId="0" fontId="28" fillId="4" borderId="0" xfId="0" applyFont="1" applyFill="1"/>
    <xf numFmtId="168" fontId="26" fillId="4" borderId="0" xfId="2" applyNumberFormat="1" applyFont="1" applyFill="1"/>
    <xf numFmtId="0" fontId="27" fillId="4" borderId="0" xfId="0" applyFont="1" applyFill="1"/>
    <xf numFmtId="168" fontId="28" fillId="0" borderId="0" xfId="2" applyNumberFormat="1" applyFont="1"/>
    <xf numFmtId="0" fontId="28" fillId="0" borderId="0" xfId="0" applyFont="1" applyAlignment="1">
      <alignment horizontal="left" indent="3"/>
    </xf>
    <xf numFmtId="169" fontId="58" fillId="0" borderId="0" xfId="1" applyNumberFormat="1" applyFont="1"/>
    <xf numFmtId="0" fontId="59" fillId="0" borderId="0" xfId="0" applyFont="1"/>
    <xf numFmtId="0" fontId="58" fillId="0" borderId="0" xfId="0" applyFont="1" applyAlignment="1">
      <alignment horizontal="left" indent="1"/>
    </xf>
    <xf numFmtId="168" fontId="24" fillId="0" borderId="5" xfId="2" applyNumberFormat="1" applyFont="1" applyBorder="1"/>
    <xf numFmtId="168" fontId="24" fillId="0" borderId="3" xfId="2" applyNumberFormat="1" applyFont="1" applyBorder="1"/>
    <xf numFmtId="168" fontId="24" fillId="0" borderId="3" xfId="2" applyNumberFormat="1" applyFont="1" applyFill="1" applyBorder="1"/>
    <xf numFmtId="9" fontId="28" fillId="0" borderId="0" xfId="2" applyFont="1"/>
    <xf numFmtId="9" fontId="28" fillId="0" borderId="3" xfId="2" applyFont="1" applyBorder="1"/>
    <xf numFmtId="0" fontId="25" fillId="10" borderId="0" xfId="0" applyFont="1" applyFill="1"/>
    <xf numFmtId="169" fontId="28" fillId="0" borderId="0" xfId="0" applyNumberFormat="1" applyFont="1"/>
    <xf numFmtId="3" fontId="23" fillId="9" borderId="6" xfId="0" applyNumberFormat="1" applyFont="1" applyFill="1" applyBorder="1"/>
    <xf numFmtId="3" fontId="23" fillId="0" borderId="0" xfId="0" applyNumberFormat="1" applyFont="1"/>
    <xf numFmtId="168" fontId="23" fillId="0" borderId="0" xfId="2" applyNumberFormat="1" applyFont="1"/>
    <xf numFmtId="0" fontId="39" fillId="10" borderId="0" xfId="0" applyFont="1" applyFill="1"/>
    <xf numFmtId="169" fontId="38" fillId="0" borderId="0" xfId="1" applyNumberFormat="1" applyFont="1"/>
    <xf numFmtId="168" fontId="60" fillId="0" borderId="0" xfId="2" applyNumberFormat="1" applyFont="1"/>
    <xf numFmtId="0" fontId="61" fillId="0" borderId="0" xfId="0" applyFont="1"/>
    <xf numFmtId="169" fontId="27" fillId="0" borderId="0" xfId="0" applyNumberFormat="1" applyFont="1"/>
    <xf numFmtId="168" fontId="26" fillId="0" borderId="0" xfId="0" applyNumberFormat="1" applyFont="1"/>
    <xf numFmtId="0" fontId="28" fillId="0" borderId="5" xfId="0" applyFont="1" applyBorder="1"/>
    <xf numFmtId="165" fontId="37" fillId="2" borderId="3" xfId="0" applyNumberFormat="1" applyFont="1" applyFill="1" applyBorder="1"/>
    <xf numFmtId="0" fontId="28" fillId="10" borderId="3" xfId="0" applyFont="1" applyFill="1" applyBorder="1"/>
    <xf numFmtId="169" fontId="38" fillId="0" borderId="5" xfId="1" applyNumberFormat="1" applyFont="1" applyBorder="1"/>
    <xf numFmtId="169" fontId="38" fillId="0" borderId="3" xfId="1" applyNumberFormat="1" applyFont="1" applyBorder="1"/>
    <xf numFmtId="169" fontId="27" fillId="0" borderId="3" xfId="1" applyNumberFormat="1" applyFont="1" applyBorder="1"/>
    <xf numFmtId="0" fontId="28" fillId="3" borderId="19" xfId="0" applyFont="1" applyFill="1" applyBorder="1" applyAlignment="1">
      <alignment horizontal="left" indent="1"/>
    </xf>
    <xf numFmtId="0" fontId="28" fillId="3" borderId="7" xfId="0" applyFont="1" applyFill="1" applyBorder="1"/>
    <xf numFmtId="169" fontId="28" fillId="3" borderId="7" xfId="0" applyNumberFormat="1" applyFont="1" applyFill="1" applyBorder="1"/>
    <xf numFmtId="169" fontId="28" fillId="3" borderId="20" xfId="0" applyNumberFormat="1" applyFont="1" applyFill="1" applyBorder="1"/>
    <xf numFmtId="169" fontId="28" fillId="3" borderId="17" xfId="0" applyNumberFormat="1" applyFont="1" applyFill="1" applyBorder="1"/>
    <xf numFmtId="0" fontId="35" fillId="0" borderId="5" xfId="0" applyFont="1" applyBorder="1"/>
    <xf numFmtId="0" fontId="28" fillId="0" borderId="0" xfId="0" applyFont="1" applyAlignment="1">
      <alignment horizontal="left" indent="2"/>
    </xf>
    <xf numFmtId="0" fontId="34" fillId="3" borderId="19" xfId="0" applyFont="1" applyFill="1" applyBorder="1" applyAlignment="1">
      <alignment horizontal="left" indent="2"/>
    </xf>
    <xf numFmtId="0" fontId="34" fillId="0" borderId="0" xfId="0" applyFont="1" applyAlignment="1">
      <alignment horizontal="left" indent="2"/>
    </xf>
    <xf numFmtId="169" fontId="28" fillId="0" borderId="5" xfId="0" applyNumberFormat="1" applyFont="1" applyBorder="1"/>
    <xf numFmtId="0" fontId="28" fillId="0" borderId="1" xfId="0" applyFont="1" applyBorder="1" applyAlignment="1">
      <alignment horizontal="left" indent="1"/>
    </xf>
    <xf numFmtId="172" fontId="38" fillId="0" borderId="1" xfId="0" applyNumberFormat="1" applyFont="1" applyBorder="1"/>
    <xf numFmtId="0" fontId="34" fillId="3" borderId="14" xfId="0" applyFont="1" applyFill="1" applyBorder="1" applyAlignment="1">
      <alignment horizontal="left" indent="1"/>
    </xf>
    <xf numFmtId="0" fontId="34" fillId="3" borderId="9" xfId="0" applyFont="1" applyFill="1" applyBorder="1"/>
    <xf numFmtId="172" fontId="43" fillId="3" borderId="12" xfId="0" applyNumberFormat="1" applyFont="1" applyFill="1" applyBorder="1"/>
    <xf numFmtId="0" fontId="34" fillId="3" borderId="15" xfId="0" applyFont="1" applyFill="1" applyBorder="1" applyAlignment="1">
      <alignment horizontal="left" indent="1"/>
    </xf>
    <xf numFmtId="0" fontId="34" fillId="3" borderId="1" xfId="0" applyFont="1" applyFill="1" applyBorder="1"/>
    <xf numFmtId="168" fontId="62" fillId="3" borderId="13" xfId="2" applyNumberFormat="1" applyFont="1" applyFill="1" applyBorder="1"/>
    <xf numFmtId="37" fontId="34" fillId="11" borderId="17" xfId="0" applyNumberFormat="1" applyFont="1" applyFill="1" applyBorder="1" applyProtection="1">
      <protection locked="0"/>
    </xf>
    <xf numFmtId="0" fontId="33" fillId="11" borderId="19" xfId="0" applyFont="1" applyFill="1" applyBorder="1" applyAlignment="1">
      <alignment horizontal="left" indent="1"/>
    </xf>
    <xf numFmtId="0" fontId="33" fillId="11" borderId="7" xfId="0" applyFont="1" applyFill="1" applyBorder="1"/>
    <xf numFmtId="0" fontId="33" fillId="11" borderId="17" xfId="0" applyFont="1" applyFill="1" applyBorder="1"/>
    <xf numFmtId="37" fontId="33" fillId="11" borderId="7" xfId="0" applyNumberFormat="1" applyFont="1" applyFill="1" applyBorder="1" applyProtection="1">
      <protection locked="0"/>
    </xf>
    <xf numFmtId="37" fontId="33" fillId="11" borderId="7" xfId="0" applyNumberFormat="1" applyFont="1" applyFill="1" applyBorder="1"/>
    <xf numFmtId="0" fontId="33" fillId="11" borderId="17" xfId="0" applyFont="1" applyFill="1" applyBorder="1" applyProtection="1">
      <protection locked="0"/>
    </xf>
    <xf numFmtId="175" fontId="24" fillId="3" borderId="0" xfId="0" applyNumberFormat="1" applyFont="1" applyFill="1" applyProtection="1">
      <protection locked="0"/>
    </xf>
    <xf numFmtId="166" fontId="37" fillId="2" borderId="0" xfId="0" applyNumberFormat="1" applyFont="1" applyFill="1" applyAlignment="1">
      <alignment horizontal="center"/>
    </xf>
    <xf numFmtId="0" fontId="28" fillId="0" borderId="0" xfId="0" applyFont="1" applyAlignment="1">
      <alignment horizontal="left" vertical="top" wrapText="1"/>
    </xf>
    <xf numFmtId="0" fontId="28" fillId="0" borderId="0" xfId="0" applyFont="1" applyAlignment="1">
      <alignment horizontal="center"/>
    </xf>
    <xf numFmtId="0" fontId="53" fillId="0" borderId="0" xfId="5" applyFont="1" applyAlignment="1">
      <alignment horizontal="right" vertical="center"/>
    </xf>
    <xf numFmtId="0" fontId="24" fillId="0" borderId="0" xfId="5" applyFont="1" applyAlignment="1">
      <alignmen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63" fillId="0" borderId="0" xfId="3" applyFont="1"/>
    <xf numFmtId="168"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8"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9" fontId="25" fillId="3" borderId="0" xfId="2" applyFont="1" applyFill="1"/>
    <xf numFmtId="37" fontId="34" fillId="3" borderId="0" xfId="2" applyNumberFormat="1" applyFont="1" applyFill="1"/>
    <xf numFmtId="0" fontId="34" fillId="0" borderId="0" xfId="0" applyFont="1" applyAlignment="1">
      <alignment horizontal="left" wrapText="1" indent="1"/>
    </xf>
    <xf numFmtId="168" fontId="25" fillId="0" borderId="0" xfId="2" applyNumberFormat="1" applyFont="1"/>
    <xf numFmtId="10" fontId="28" fillId="0" borderId="0" xfId="0" applyNumberFormat="1" applyFont="1"/>
    <xf numFmtId="165" fontId="40" fillId="0" borderId="0" xfId="0" applyNumberFormat="1" applyFont="1" applyAlignment="1">
      <alignment horizontal="center"/>
    </xf>
    <xf numFmtId="165" fontId="16" fillId="0" borderId="0" xfId="0" applyNumberFormat="1" applyFont="1" applyAlignment="1">
      <alignment horizontal="center"/>
    </xf>
    <xf numFmtId="0" fontId="28" fillId="0" borderId="0" xfId="0" applyFont="1" applyAlignment="1">
      <alignment vertical="top" wrapText="1"/>
    </xf>
    <xf numFmtId="0" fontId="51" fillId="0" borderId="0" xfId="3" applyFont="1" applyAlignment="1">
      <alignment horizontal="left" indent="1"/>
    </xf>
    <xf numFmtId="0" fontId="66" fillId="0" borderId="0" xfId="3" applyFont="1" applyAlignment="1">
      <alignment horizontal="left" indent="1"/>
    </xf>
    <xf numFmtId="0" fontId="64" fillId="0" borderId="0" xfId="3" applyFont="1" applyBorder="1" applyAlignment="1">
      <alignment horizontal="right"/>
    </xf>
    <xf numFmtId="170" fontId="8" fillId="0" borderId="0" xfId="0" applyNumberFormat="1" applyFont="1"/>
    <xf numFmtId="0" fontId="69" fillId="0" borderId="11" xfId="0" applyFont="1" applyBorder="1" applyAlignment="1">
      <alignment horizontal="right"/>
    </xf>
    <xf numFmtId="174" fontId="8" fillId="0" borderId="0" xfId="0" applyNumberFormat="1" applyFont="1"/>
    <xf numFmtId="39" fontId="8" fillId="0" borderId="0" xfId="0" applyNumberFormat="1" applyFont="1"/>
    <xf numFmtId="14" fontId="8" fillId="0" borderId="0" xfId="0" applyNumberFormat="1" applyFont="1"/>
    <xf numFmtId="0" fontId="68" fillId="0" borderId="0" xfId="0" applyFont="1"/>
    <xf numFmtId="0" fontId="55" fillId="2" borderId="0" xfId="0" applyFont="1" applyFill="1" applyAlignment="1">
      <alignment horizontal="left"/>
    </xf>
    <xf numFmtId="0" fontId="70" fillId="10" borderId="0" xfId="0" applyFont="1" applyFill="1"/>
    <xf numFmtId="0" fontId="71" fillId="0" borderId="0" xfId="0" applyFont="1"/>
    <xf numFmtId="0" fontId="70" fillId="0" borderId="0" xfId="0" applyFont="1"/>
    <xf numFmtId="0" fontId="72"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6" fillId="0" borderId="0" xfId="3" applyFont="1" applyAlignment="1">
      <alignment horizontal="left" vertical="top" indent="1"/>
    </xf>
    <xf numFmtId="0" fontId="34" fillId="0" borderId="0" xfId="0" applyFont="1" applyAlignment="1">
      <alignment horizontal="left" vertical="center" wrapText="1" indent="1"/>
    </xf>
    <xf numFmtId="0" fontId="8" fillId="14" borderId="0" xfId="0" applyFont="1" applyFill="1"/>
    <xf numFmtId="0" fontId="50" fillId="10" borderId="0" xfId="0" applyFont="1" applyFill="1"/>
    <xf numFmtId="0" fontId="15" fillId="10" borderId="0" xfId="0" applyFont="1" applyFill="1" applyProtection="1">
      <protection locked="0"/>
    </xf>
    <xf numFmtId="0" fontId="15" fillId="10" borderId="0" xfId="0" applyFont="1" applyFill="1"/>
    <xf numFmtId="0" fontId="33" fillId="10" borderId="0" xfId="0" applyFont="1" applyFill="1" applyProtection="1">
      <protection locked="0"/>
    </xf>
    <xf numFmtId="0" fontId="8" fillId="10" borderId="0" xfId="0" applyFont="1" applyFill="1"/>
    <xf numFmtId="0" fontId="28" fillId="15" borderId="0" xfId="0" applyFont="1" applyFill="1"/>
    <xf numFmtId="9" fontId="28" fillId="0" borderId="0" xfId="2" applyFont="1" applyAlignment="1">
      <alignment horizontal="center"/>
    </xf>
    <xf numFmtId="173" fontId="28" fillId="0" borderId="0" xfId="2" applyNumberFormat="1" applyFont="1" applyAlignment="1">
      <alignment horizontal="center"/>
    </xf>
    <xf numFmtId="176" fontId="28" fillId="0" borderId="0" xfId="2" applyNumberFormat="1" applyFont="1" applyAlignment="1">
      <alignment horizontal="center"/>
    </xf>
    <xf numFmtId="9" fontId="8" fillId="0" borderId="0" xfId="2" applyFont="1"/>
    <xf numFmtId="177" fontId="80" fillId="0" borderId="0" xfId="0" applyNumberFormat="1" applyFont="1"/>
    <xf numFmtId="2" fontId="80" fillId="0" borderId="0" xfId="0" applyNumberFormat="1" applyFont="1"/>
    <xf numFmtId="168" fontId="80" fillId="0" borderId="0" xfId="2" applyNumberFormat="1" applyFont="1"/>
    <xf numFmtId="0" fontId="80" fillId="0" borderId="0" xfId="0" applyFont="1"/>
    <xf numFmtId="3" fontId="80" fillId="0" borderId="0" xfId="0" applyNumberFormat="1" applyFont="1"/>
    <xf numFmtId="0" fontId="81" fillId="0" borderId="0" xfId="0" applyFont="1" applyAlignment="1">
      <alignment horizontal="right"/>
    </xf>
    <xf numFmtId="0" fontId="37" fillId="15" borderId="0" xfId="0" applyFont="1" applyFill="1"/>
    <xf numFmtId="178" fontId="28" fillId="0" borderId="0" xfId="2" applyNumberFormat="1" applyFont="1" applyAlignment="1">
      <alignment horizontal="center"/>
    </xf>
    <xf numFmtId="0" fontId="43" fillId="15" borderId="0" xfId="5" applyFont="1" applyFill="1" applyAlignment="1">
      <alignment vertical="center"/>
    </xf>
    <xf numFmtId="0" fontId="27" fillId="15" borderId="0" xfId="5" applyFont="1" applyFill="1" applyAlignment="1">
      <alignment vertical="center"/>
    </xf>
    <xf numFmtId="0" fontId="28" fillId="10" borderId="0" xfId="0" applyFont="1" applyFill="1" applyAlignment="1">
      <alignment horizontal="left" indent="1"/>
    </xf>
    <xf numFmtId="0" fontId="37" fillId="15" borderId="0" xfId="0" applyFont="1" applyFill="1" applyAlignment="1">
      <alignment horizontal="left"/>
    </xf>
    <xf numFmtId="0" fontId="67" fillId="15" borderId="0" xfId="0" applyFont="1" applyFill="1" applyAlignment="1">
      <alignment horizontal="center"/>
    </xf>
    <xf numFmtId="9" fontId="28" fillId="0" borderId="0" xfId="0" applyNumberFormat="1" applyFont="1" applyProtection="1">
      <protection locked="0"/>
    </xf>
    <xf numFmtId="39" fontId="28" fillId="0" borderId="0" xfId="0" applyNumberFormat="1" applyFont="1"/>
    <xf numFmtId="0" fontId="35" fillId="2" borderId="0" xfId="0" applyFont="1" applyFill="1" applyAlignment="1">
      <alignment horizontal="right"/>
    </xf>
    <xf numFmtId="9" fontId="35" fillId="2" borderId="0" xfId="0" applyNumberFormat="1" applyFont="1" applyFill="1" applyAlignment="1">
      <alignment horizontal="right"/>
    </xf>
    <xf numFmtId="168" fontId="26" fillId="9" borderId="4" xfId="0" applyNumberFormat="1" applyFont="1" applyFill="1" applyBorder="1" applyProtection="1">
      <protection locked="0"/>
    </xf>
    <xf numFmtId="173" fontId="26" fillId="9" borderId="4" xfId="0" applyNumberFormat="1" applyFont="1" applyFill="1" applyBorder="1" applyProtection="1">
      <protection locked="0"/>
    </xf>
    <xf numFmtId="168" fontId="27" fillId="0" borderId="0" xfId="0" applyNumberFormat="1" applyFont="1" applyProtection="1">
      <protection locked="0"/>
    </xf>
    <xf numFmtId="173" fontId="27" fillId="0" borderId="0" xfId="0" applyNumberFormat="1" applyFont="1" applyProtection="1">
      <protection locked="0"/>
    </xf>
    <xf numFmtId="179" fontId="8" fillId="10" borderId="0" xfId="0" applyNumberFormat="1" applyFont="1" applyFill="1"/>
    <xf numFmtId="179" fontId="5" fillId="10" borderId="0" xfId="0" applyNumberFormat="1" applyFont="1" applyFill="1"/>
    <xf numFmtId="0" fontId="43" fillId="0" borderId="0" xfId="0" applyFont="1" applyAlignment="1" applyProtection="1">
      <alignment horizontal="right"/>
      <protection locked="0"/>
    </xf>
    <xf numFmtId="0" fontId="26" fillId="0" borderId="0" xfId="0" applyFont="1" applyProtection="1">
      <protection locked="0"/>
    </xf>
    <xf numFmtId="168" fontId="27" fillId="0" borderId="0" xfId="2" applyNumberFormat="1" applyFont="1" applyProtection="1">
      <protection locked="0"/>
    </xf>
    <xf numFmtId="165" fontId="28" fillId="0" borderId="0" xfId="0" applyNumberFormat="1" applyFont="1" applyProtection="1">
      <protection locked="0"/>
    </xf>
    <xf numFmtId="166" fontId="28" fillId="0" borderId="0" xfId="0" applyNumberFormat="1" applyFont="1" applyProtection="1">
      <protection locked="0"/>
    </xf>
    <xf numFmtId="10" fontId="39" fillId="0" borderId="0" xfId="0" applyNumberFormat="1" applyFont="1"/>
    <xf numFmtId="0" fontId="34" fillId="16" borderId="19" xfId="0" applyFont="1" applyFill="1" applyBorder="1" applyAlignment="1">
      <alignment horizontal="left" indent="1"/>
    </xf>
    <xf numFmtId="168" fontId="23" fillId="0" borderId="0" xfId="2" applyNumberFormat="1" applyFont="1" applyFill="1" applyBorder="1" applyProtection="1">
      <protection locked="0"/>
    </xf>
    <xf numFmtId="3" fontId="35" fillId="0" borderId="0" xfId="0" applyNumberFormat="1" applyFont="1"/>
    <xf numFmtId="37" fontId="35" fillId="0" borderId="0" xfId="0" applyNumberFormat="1" applyFont="1"/>
    <xf numFmtId="180" fontId="23" fillId="9" borderId="4" xfId="2" applyNumberFormat="1" applyFont="1" applyFill="1" applyBorder="1" applyProtection="1">
      <protection locked="0"/>
    </xf>
    <xf numFmtId="0" fontId="82" fillId="0" borderId="0" xfId="0" applyFont="1"/>
    <xf numFmtId="2" fontId="26" fillId="9" borderId="4" xfId="0" applyNumberFormat="1" applyFont="1" applyFill="1" applyBorder="1" applyProtection="1">
      <protection locked="0"/>
    </xf>
    <xf numFmtId="2" fontId="26" fillId="9" borderId="4" xfId="0" applyNumberFormat="1" applyFont="1" applyFill="1" applyBorder="1"/>
    <xf numFmtId="0" fontId="42" fillId="2" borderId="0" xfId="0" applyFont="1" applyFill="1"/>
    <xf numFmtId="0" fontId="37" fillId="2" borderId="0" xfId="0" applyFont="1" applyFill="1" applyAlignment="1">
      <alignment horizontal="center"/>
    </xf>
    <xf numFmtId="0" fontId="28" fillId="0" borderId="0" xfId="0" applyFont="1" applyAlignment="1">
      <alignment horizontal="right"/>
    </xf>
    <xf numFmtId="37" fontId="28" fillId="0" borderId="0" xfId="1" applyNumberFormat="1" applyFont="1" applyAlignment="1">
      <alignment horizontal="right" wrapText="1"/>
    </xf>
    <xf numFmtId="172" fontId="28" fillId="0" borderId="0" xfId="1" applyNumberFormat="1" applyFont="1" applyAlignment="1">
      <alignment horizontal="right"/>
    </xf>
    <xf numFmtId="172" fontId="28" fillId="0" borderId="27" xfId="1" applyNumberFormat="1" applyFont="1" applyBorder="1" applyAlignment="1">
      <alignment horizontal="right"/>
    </xf>
    <xf numFmtId="0" fontId="28" fillId="0" borderId="27" xfId="0" applyFont="1" applyBorder="1"/>
    <xf numFmtId="0" fontId="34" fillId="11" borderId="14" xfId="0" applyFont="1" applyFill="1" applyBorder="1"/>
    <xf numFmtId="0" fontId="28" fillId="11" borderId="9" xfId="0" applyFont="1" applyFill="1" applyBorder="1"/>
    <xf numFmtId="172" fontId="34" fillId="11" borderId="9" xfId="0" applyNumberFormat="1" applyFont="1" applyFill="1" applyBorder="1"/>
    <xf numFmtId="172" fontId="34" fillId="11" borderId="28" xfId="0" applyNumberFormat="1" applyFont="1" applyFill="1" applyBorder="1"/>
    <xf numFmtId="168" fontId="34" fillId="11" borderId="9" xfId="2" applyNumberFormat="1" applyFont="1" applyFill="1" applyBorder="1"/>
    <xf numFmtId="0" fontId="28" fillId="11" borderId="28" xfId="0" applyFont="1" applyFill="1" applyBorder="1"/>
    <xf numFmtId="0" fontId="34" fillId="11" borderId="15" xfId="0" applyFont="1" applyFill="1" applyBorder="1"/>
    <xf numFmtId="0" fontId="28" fillId="11" borderId="1" xfId="0" applyFont="1" applyFill="1" applyBorder="1"/>
    <xf numFmtId="172" fontId="34" fillId="11" borderId="1" xfId="0" applyNumberFormat="1" applyFont="1" applyFill="1" applyBorder="1"/>
    <xf numFmtId="172" fontId="34" fillId="11" borderId="26" xfId="0" applyNumberFormat="1" applyFont="1" applyFill="1" applyBorder="1"/>
    <xf numFmtId="168" fontId="34" fillId="11" borderId="1" xfId="2" applyNumberFormat="1" applyFont="1" applyFill="1" applyBorder="1"/>
    <xf numFmtId="0" fontId="28" fillId="11" borderId="26" xfId="0" applyFont="1" applyFill="1" applyBorder="1"/>
    <xf numFmtId="0" fontId="28" fillId="0" borderId="26" xfId="0" applyFont="1" applyBorder="1"/>
    <xf numFmtId="9" fontId="28" fillId="11" borderId="12" xfId="0" applyNumberFormat="1" applyFont="1" applyFill="1" applyBorder="1"/>
    <xf numFmtId="9" fontId="28" fillId="11" borderId="13" xfId="0" applyNumberFormat="1" applyFont="1" applyFill="1" applyBorder="1"/>
    <xf numFmtId="14" fontId="28" fillId="0" borderId="0" xfId="0" applyNumberFormat="1" applyFont="1"/>
    <xf numFmtId="14" fontId="35" fillId="2" borderId="0" xfId="0" applyNumberFormat="1" applyFont="1" applyFill="1"/>
    <xf numFmtId="14" fontId="28" fillId="10" borderId="0" xfId="0" applyNumberFormat="1" applyFont="1" applyFill="1"/>
    <xf numFmtId="171"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1" fontId="28" fillId="0" borderId="0" xfId="9" applyNumberFormat="1" applyFont="1" applyFill="1" applyAlignment="1">
      <alignment horizontal="left" indent="1"/>
    </xf>
    <xf numFmtId="10" fontId="26" fillId="9" borderId="4" xfId="2" applyNumberFormat="1" applyFont="1" applyFill="1" applyBorder="1"/>
    <xf numFmtId="168" fontId="28" fillId="0" borderId="0" xfId="2" applyNumberFormat="1" applyFont="1" applyFill="1" applyAlignment="1">
      <alignment horizontal="right"/>
    </xf>
    <xf numFmtId="0" fontId="58"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39" fillId="0" borderId="0" xfId="2" applyNumberFormat="1" applyFont="1" applyFill="1" applyBorder="1"/>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1" borderId="19" xfId="0" applyNumberFormat="1" applyFont="1" applyFill="1" applyBorder="1" applyAlignment="1">
      <alignment horizontal="left" indent="1"/>
    </xf>
    <xf numFmtId="10" fontId="34" fillId="11"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8"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3" fontId="26" fillId="9" borderId="4" xfId="0" applyNumberFormat="1" applyFont="1" applyFill="1" applyBorder="1"/>
    <xf numFmtId="168" fontId="39" fillId="0" borderId="1" xfId="2" applyNumberFormat="1" applyFont="1" applyFill="1" applyBorder="1"/>
    <xf numFmtId="10" fontId="28" fillId="9" borderId="4" xfId="2" applyNumberFormat="1" applyFont="1" applyFill="1" applyBorder="1"/>
    <xf numFmtId="0" fontId="34" fillId="11" borderId="19" xfId="0" applyFont="1" applyFill="1" applyBorder="1" applyAlignment="1">
      <alignment horizontal="left" indent="1"/>
    </xf>
    <xf numFmtId="0" fontId="28" fillId="11" borderId="7" xfId="0" applyFont="1" applyFill="1" applyBorder="1"/>
    <xf numFmtId="10" fontId="34" fillId="11" borderId="7" xfId="2" applyNumberFormat="1" applyFont="1" applyFill="1" applyBorder="1"/>
    <xf numFmtId="10" fontId="34" fillId="11" borderId="17" xfId="2" applyNumberFormat="1" applyFont="1" applyFill="1" applyBorder="1"/>
    <xf numFmtId="9" fontId="28" fillId="0" borderId="0" xfId="0" applyNumberFormat="1" applyFont="1"/>
    <xf numFmtId="0" fontId="28" fillId="16" borderId="7" xfId="0" applyFont="1" applyFill="1" applyBorder="1"/>
    <xf numFmtId="10" fontId="34" fillId="16" borderId="7" xfId="2" applyNumberFormat="1" applyFont="1" applyFill="1" applyBorder="1"/>
    <xf numFmtId="10" fontId="34" fillId="16" borderId="17" xfId="2" applyNumberFormat="1" applyFont="1" applyFill="1" applyBorder="1"/>
    <xf numFmtId="0" fontId="28" fillId="0" borderId="12" xfId="0" applyFont="1" applyBorder="1"/>
    <xf numFmtId="172" fontId="26" fillId="9" borderId="18" xfId="0" applyNumberFormat="1" applyFont="1" applyFill="1" applyBorder="1"/>
    <xf numFmtId="172" fontId="26" fillId="9" borderId="4" xfId="0" applyNumberFormat="1" applyFont="1" applyFill="1" applyBorder="1"/>
    <xf numFmtId="168" fontId="26" fillId="9" borderId="4" xfId="2" applyNumberFormat="1" applyFont="1" applyFill="1" applyBorder="1"/>
    <xf numFmtId="9" fontId="26" fillId="9" borderId="4" xfId="2" applyFont="1" applyFill="1" applyBorder="1"/>
    <xf numFmtId="0" fontId="27" fillId="0" borderId="0" xfId="5" applyFont="1" applyAlignment="1">
      <alignment vertical="top" wrapText="1"/>
    </xf>
    <xf numFmtId="0" fontId="6" fillId="0" borderId="0" xfId="0" applyFont="1" applyAlignment="1">
      <alignment vertical="center"/>
    </xf>
    <xf numFmtId="0" fontId="28" fillId="0" borderId="0" xfId="0" applyFont="1" applyAlignment="1">
      <alignment horizontal="left" vertical="center" wrapText="1"/>
    </xf>
    <xf numFmtId="0" fontId="84" fillId="0" borderId="0" xfId="0" applyFont="1" applyProtection="1">
      <protection locked="0"/>
    </xf>
    <xf numFmtId="3" fontId="33" fillId="11" borderId="7" xfId="0" applyNumberFormat="1" applyFont="1" applyFill="1" applyBorder="1" applyProtection="1">
      <protection locked="0"/>
    </xf>
    <xf numFmtId="37" fontId="33" fillId="11" borderId="7" xfId="0" applyNumberFormat="1" applyFont="1" applyFill="1" applyBorder="1" applyAlignment="1" applyProtection="1">
      <alignment wrapText="1"/>
      <protection locked="0"/>
    </xf>
    <xf numFmtId="10" fontId="85" fillId="0" borderId="0" xfId="0" applyNumberFormat="1" applyFont="1"/>
    <xf numFmtId="0" fontId="7" fillId="0" borderId="0" xfId="3" applyAlignment="1">
      <alignment horizontal="left" vertical="top" indent="1"/>
    </xf>
    <xf numFmtId="3" fontId="0" fillId="0" borderId="0" xfId="0" applyNumberFormat="1"/>
    <xf numFmtId="1" fontId="27" fillId="0" borderId="0" xfId="1" applyNumberFormat="1" applyFont="1" applyFill="1" applyProtection="1">
      <protection locked="0"/>
    </xf>
    <xf numFmtId="0" fontId="76" fillId="0" borderId="0" xfId="0" applyFont="1" applyAlignment="1">
      <alignment horizontal="left" vertical="top" wrapText="1"/>
    </xf>
    <xf numFmtId="0" fontId="28" fillId="0" borderId="0" xfId="0" applyFont="1" applyAlignment="1">
      <alignment horizontal="left" vertical="top" wrapText="1" indent="1"/>
    </xf>
    <xf numFmtId="0" fontId="7" fillId="0" borderId="0" xfId="3" applyAlignment="1">
      <alignment horizontal="right" vertical="center"/>
    </xf>
    <xf numFmtId="0" fontId="53" fillId="0" borderId="0" xfId="5" applyFont="1" applyAlignment="1">
      <alignment horizontal="right" vertical="center"/>
    </xf>
    <xf numFmtId="0" fontId="27" fillId="0" borderId="0" xfId="5" applyFont="1" applyAlignment="1">
      <alignment horizontal="center" vertical="center"/>
    </xf>
    <xf numFmtId="0" fontId="28" fillId="0" borderId="0" xfId="0" applyFont="1" applyAlignment="1">
      <alignment horizontal="center"/>
    </xf>
    <xf numFmtId="0" fontId="27" fillId="0" borderId="2" xfId="5" applyFont="1" applyBorder="1" applyAlignment="1">
      <alignment horizontal="center" vertical="center" wrapText="1"/>
    </xf>
    <xf numFmtId="0" fontId="27" fillId="0" borderId="2" xfId="5" applyFont="1" applyBorder="1" applyAlignment="1">
      <alignment horizontal="center" vertical="center"/>
    </xf>
    <xf numFmtId="0" fontId="27" fillId="0" borderId="0" xfId="5" applyFont="1" applyAlignment="1">
      <alignment horizontal="center" vertical="top" wrapText="1"/>
    </xf>
    <xf numFmtId="0" fontId="27" fillId="0" borderId="0" xfId="5" applyFont="1" applyAlignment="1">
      <alignment horizontal="center" vertical="top"/>
    </xf>
    <xf numFmtId="0" fontId="83" fillId="0" borderId="25" xfId="0" applyFont="1" applyBorder="1" applyAlignment="1">
      <alignment horizontal="center"/>
    </xf>
    <xf numFmtId="0" fontId="28" fillId="0" borderId="2" xfId="0" applyFont="1" applyBorder="1" applyAlignment="1">
      <alignment horizontal="center" vertical="top" wrapText="1"/>
    </xf>
    <xf numFmtId="0" fontId="28" fillId="0" borderId="0" xfId="0" applyFont="1" applyAlignment="1">
      <alignment horizontal="center" vertical="top" wrapText="1"/>
    </xf>
    <xf numFmtId="0" fontId="34" fillId="0" borderId="0" xfId="0" applyFont="1" applyAlignment="1">
      <alignment horizontal="center" wrapText="1"/>
    </xf>
    <xf numFmtId="9" fontId="34" fillId="7" borderId="0" xfId="0" applyNumberFormat="1" applyFont="1" applyFill="1" applyAlignment="1">
      <alignment horizontal="right"/>
    </xf>
    <xf numFmtId="9" fontId="34" fillId="8" borderId="0" xfId="0" applyNumberFormat="1" applyFont="1" applyFill="1" applyAlignment="1">
      <alignment horizontal="right"/>
    </xf>
    <xf numFmtId="9" fontId="34" fillId="13" borderId="0" xfId="0" applyNumberFormat="1" applyFont="1" applyFill="1" applyAlignment="1">
      <alignment horizontal="right"/>
    </xf>
    <xf numFmtId="0" fontId="34" fillId="8" borderId="0" xfId="0" applyFont="1" applyFill="1" applyAlignment="1">
      <alignment horizontal="right"/>
    </xf>
    <xf numFmtId="1" fontId="34" fillId="5" borderId="0" xfId="0" applyNumberFormat="1" applyFont="1" applyFill="1" applyAlignment="1">
      <alignment horizontal="right"/>
    </xf>
    <xf numFmtId="1" fontId="24" fillId="8" borderId="0" xfId="5" applyNumberFormat="1" applyFont="1" applyFill="1" applyAlignment="1">
      <alignment horizontal="right" vertical="center"/>
    </xf>
    <xf numFmtId="1" fontId="24" fillId="7" borderId="0" xfId="5" applyNumberFormat="1" applyFont="1" applyFill="1" applyAlignment="1">
      <alignment horizontal="right" vertical="center"/>
    </xf>
    <xf numFmtId="1" fontId="24" fillId="13" borderId="0" xfId="5" applyNumberFormat="1" applyFont="1" applyFill="1" applyAlignment="1">
      <alignment horizontal="right" vertical="center"/>
    </xf>
    <xf numFmtId="170" fontId="24" fillId="8" borderId="0" xfId="5" applyNumberFormat="1" applyFont="1" applyFill="1" applyAlignment="1">
      <alignment horizontal="right" vertical="center"/>
    </xf>
    <xf numFmtId="0" fontId="53" fillId="0" borderId="0" xfId="5" applyFont="1" applyAlignment="1">
      <alignment horizontal="right" vertical="center" wrapText="1"/>
    </xf>
    <xf numFmtId="0" fontId="53" fillId="0" borderId="0" xfId="5" applyFont="1" applyAlignment="1">
      <alignment horizontal="center" vertical="center"/>
    </xf>
    <xf numFmtId="0" fontId="27" fillId="0" borderId="0" xfId="5" applyFont="1" applyAlignment="1">
      <alignment horizontal="left" vertical="top" wrapText="1"/>
    </xf>
    <xf numFmtId="0" fontId="43" fillId="0" borderId="0" xfId="5" applyFont="1" applyAlignment="1">
      <alignment horizontal="center" vertical="center" wrapText="1"/>
    </xf>
    <xf numFmtId="0" fontId="27" fillId="0" borderId="0" xfId="5" applyFont="1" applyAlignment="1">
      <alignment horizontal="center" vertical="center" wrapText="1"/>
    </xf>
    <xf numFmtId="0" fontId="43" fillId="0" borderId="0" xfId="5" applyFont="1" applyAlignment="1">
      <alignment horizontal="left" vertical="top" wrapText="1"/>
    </xf>
    <xf numFmtId="0" fontId="27" fillId="17" borderId="0" xfId="5" applyFont="1" applyFill="1" applyAlignment="1">
      <alignment horizontal="center" vertical="center"/>
    </xf>
    <xf numFmtId="3" fontId="53" fillId="0" borderId="0" xfId="5" applyNumberFormat="1" applyFont="1" applyAlignment="1">
      <alignment horizontal="right" vertical="top" wrapText="1"/>
    </xf>
    <xf numFmtId="0" fontId="53" fillId="0" borderId="0" xfId="5" applyFont="1" applyAlignment="1">
      <alignment horizontal="right" vertical="top"/>
    </xf>
    <xf numFmtId="0" fontId="34" fillId="0" borderId="0" xfId="0" applyFont="1" applyAlignment="1">
      <alignment horizontal="left" vertical="top" wrapText="1" indent="1"/>
    </xf>
    <xf numFmtId="0" fontId="28" fillId="0" borderId="0" xfId="5" applyFont="1" applyAlignment="1">
      <alignment horizontal="left" vertical="top" wrapText="1"/>
    </xf>
    <xf numFmtId="0" fontId="28" fillId="0" borderId="0" xfId="5" applyFont="1" applyAlignment="1">
      <alignment horizontal="left" vertical="top"/>
    </xf>
    <xf numFmtId="0" fontId="27" fillId="0" borderId="0" xfId="5" applyFont="1" applyAlignment="1">
      <alignment horizontal="left" vertical="center" wrapText="1"/>
    </xf>
    <xf numFmtId="0" fontId="27" fillId="7" borderId="0" xfId="5" applyFont="1" applyFill="1" applyAlignment="1">
      <alignment horizontal="left" vertical="center"/>
    </xf>
    <xf numFmtId="0" fontId="27" fillId="13" borderId="0" xfId="5" applyFont="1" applyFill="1" applyAlignment="1">
      <alignment horizontal="center" vertical="center"/>
    </xf>
    <xf numFmtId="0" fontId="27" fillId="5" borderId="0" xfId="5" applyFont="1" applyFill="1" applyAlignment="1">
      <alignment horizontal="center" vertical="center"/>
    </xf>
    <xf numFmtId="0" fontId="28" fillId="0" borderId="0" xfId="0" applyFont="1" applyAlignment="1">
      <alignment horizontal="left" vertical="top" wrapText="1"/>
    </xf>
    <xf numFmtId="0" fontId="27" fillId="7" borderId="0" xfId="5" applyFont="1" applyFill="1" applyAlignment="1">
      <alignment horizontal="center" vertical="center"/>
    </xf>
    <xf numFmtId="0" fontId="27" fillId="8" borderId="0" xfId="5" applyFont="1" applyFill="1" applyAlignment="1">
      <alignment horizontal="center" vertical="center"/>
    </xf>
    <xf numFmtId="0" fontId="27" fillId="13" borderId="0" xfId="5" applyFont="1" applyFill="1" applyAlignment="1">
      <alignment horizontal="left" vertical="center"/>
    </xf>
    <xf numFmtId="0" fontId="27" fillId="5" borderId="0" xfId="5" applyFont="1" applyFill="1" applyAlignment="1">
      <alignment horizontal="left" vertical="center"/>
    </xf>
    <xf numFmtId="0" fontId="52" fillId="7" borderId="0" xfId="5" applyFont="1" applyFill="1" applyAlignment="1">
      <alignment horizontal="left" vertical="center"/>
    </xf>
    <xf numFmtId="166" fontId="16" fillId="2" borderId="10" xfId="0" applyNumberFormat="1" applyFont="1" applyFill="1" applyBorder="1" applyAlignment="1">
      <alignment horizontal="center"/>
    </xf>
    <xf numFmtId="165" fontId="16" fillId="2" borderId="10" xfId="0" applyNumberFormat="1" applyFont="1" applyFill="1" applyBorder="1" applyAlignment="1">
      <alignment horizontal="center"/>
    </xf>
    <xf numFmtId="0" fontId="37" fillId="2" borderId="10" xfId="0" applyFont="1" applyFill="1" applyBorder="1" applyAlignment="1">
      <alignment horizontal="center"/>
    </xf>
    <xf numFmtId="0" fontId="68" fillId="0" borderId="11" xfId="0" applyFont="1" applyBorder="1" applyAlignment="1">
      <alignment horizontal="center"/>
    </xf>
    <xf numFmtId="0" fontId="8" fillId="0" borderId="11" xfId="0" applyFont="1" applyBorder="1" applyAlignment="1">
      <alignment horizontal="center"/>
    </xf>
  </cellXfs>
  <cellStyles count="14">
    <cellStyle name="blp_column_header" xfId="12" xr:uid="{00000000-0005-0000-0000-000000000000}"/>
    <cellStyle name="Comma" xfId="1" builtinId="3"/>
    <cellStyle name="Currency 2" xfId="9" xr:uid="{00000000-0005-0000-0000-000002000000}"/>
    <cellStyle name="fa_column_header_bottom" xfId="11" xr:uid="{00000000-0005-0000-0000-000003000000}"/>
    <cellStyle name="Hyperlink" xfId="3" xr:uid="{00000000-0005-0000-0000-000004000000}"/>
    <cellStyle name="Normal" xfId="0" builtinId="0"/>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 cent" xfId="2" builtinId="5"/>
    <cellStyle name="Percent 2" xfId="4" xr:uid="{00000000-0005-0000-0000-00000C000000}"/>
    <cellStyle name="Porcentaje 3" xfId="7" xr:uid="{00000000-0005-0000-0000-00000D000000}"/>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8DEB91"/>
      <color rgb="FF7B1314"/>
      <color rgb="FF1C3E64"/>
      <color rgb="FFBE606D"/>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a:ln>
              <a:noFill/>
            </a:ln>
          </c:spPr>
          <c:explosion val="6"/>
          <c:dPt>
            <c:idx val="0"/>
            <c:bubble3D val="0"/>
            <c:spPr>
              <a:solidFill>
                <a:schemeClr val="accent1"/>
              </a:solidFill>
              <a:ln w="19050">
                <a:noFill/>
              </a:ln>
              <a:effectLst/>
            </c:spPr>
            <c:extLst>
              <c:ext xmlns:c16="http://schemas.microsoft.com/office/drawing/2014/chart" uri="{C3380CC4-5D6E-409C-BE32-E72D297353CC}">
                <c16:uniqueId val="{00000001-9308-49AE-A481-1F06B1D5BB5E}"/>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9308-49AE-A481-1F06B1D5BB5E}"/>
              </c:ext>
            </c:extLst>
          </c:dPt>
          <c:val>
            <c:numRef>
              <c:f>FCFF!$R$162:$R$163</c:f>
              <c:numCache>
                <c:formatCode>0.0%</c:formatCode>
                <c:ptCount val="2"/>
                <c:pt idx="0">
                  <c:v>0</c:v>
                </c:pt>
                <c:pt idx="1">
                  <c:v>0</c:v>
                </c:pt>
              </c:numCache>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4486436699692E-2"/>
          <c:y val="4.35897347890703E-2"/>
          <c:w val="0.83471072979021788"/>
          <c:h val="0.82395872603386833"/>
        </c:manualLayout>
      </c:layout>
      <c:barChart>
        <c:barDir val="col"/>
        <c:grouping val="clustered"/>
        <c:varyColors val="0"/>
        <c:ser>
          <c:idx val="0"/>
          <c:order val="0"/>
          <c:tx>
            <c:strRef>
              <c:f>FCFF!$AR$16</c:f>
              <c:strCache>
                <c:ptCount val="1"/>
                <c:pt idx="0">
                  <c:v>EBITDA</c:v>
                </c:pt>
              </c:strCache>
            </c:strRef>
          </c:tx>
          <c:spPr>
            <a:solidFill>
              <a:schemeClr val="accent1">
                <a:lumMod val="60000"/>
                <a:lumOff val="40000"/>
              </a:schemeClr>
            </a:solidFill>
            <a:ln>
              <a:noFill/>
            </a:ln>
            <a:effectLst>
              <a:glow rad="101600">
                <a:schemeClr val="accent1">
                  <a:satMod val="175000"/>
                  <a:alpha val="20000"/>
                </a:schemeClr>
              </a:glow>
              <a:softEdge rad="0"/>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FCFF!$AS$16:$AZ$16</c:f>
              <c:numCache>
                <c:formatCode>#,##0_);\(#,##0\)</c:formatCode>
                <c:ptCount val="8"/>
                <c:pt idx="0">
                  <c:v>206823</c:v>
                </c:pt>
                <c:pt idx="1">
                  <c:v>1036484</c:v>
                </c:pt>
                <c:pt idx="2">
                  <c:v>369187</c:v>
                </c:pt>
                <c:pt idx="3">
                  <c:v>1092074.3495999998</c:v>
                </c:pt>
                <c:pt idx="4">
                  <c:v>1806517.1097999997</c:v>
                </c:pt>
                <c:pt idx="5">
                  <c:v>902967.05099999974</c:v>
                </c:pt>
                <c:pt idx="6">
                  <c:v>1527881.4226000002</c:v>
                </c:pt>
                <c:pt idx="7">
                  <c:v>2554432.02</c:v>
                </c:pt>
              </c:numCache>
            </c:numRef>
          </c:val>
          <c:extLst>
            <c:ext xmlns:c16="http://schemas.microsoft.com/office/drawing/2014/chart" uri="{C3380CC4-5D6E-409C-BE32-E72D297353CC}">
              <c16:uniqueId val="{00000000-EDEC-4D47-9C20-D8D9D241E889}"/>
            </c:ext>
          </c:extLst>
        </c:ser>
        <c:ser>
          <c:idx val="1"/>
          <c:order val="1"/>
          <c:tx>
            <c:strRef>
              <c:f>FCFF!$AR$17</c:f>
              <c:strCache>
                <c:ptCount val="1"/>
                <c:pt idx="0">
                  <c:v>FCFF</c:v>
                </c:pt>
              </c:strCache>
            </c:strRef>
          </c:tx>
          <c:spPr>
            <a:solidFill>
              <a:schemeClr val="accent1"/>
            </a:solidFill>
            <a:ln>
              <a:noFill/>
            </a:ln>
            <a:effectLst>
              <a:glow rad="101600">
                <a:schemeClr val="accent1">
                  <a:satMod val="175000"/>
                  <a:alpha val="20000"/>
                </a:schemeClr>
              </a:glow>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FCFF!$AS$17:$AZ$17</c:f>
              <c:numCache>
                <c:formatCode>#,##0_);\(#,##0\)</c:formatCode>
                <c:ptCount val="8"/>
                <c:pt idx="0">
                  <c:v>39775.180297316459</c:v>
                </c:pt>
                <c:pt idx="1">
                  <c:v>678007.88197625044</c:v>
                </c:pt>
                <c:pt idx="2">
                  <c:v>261220.52071674616</c:v>
                </c:pt>
                <c:pt idx="3">
                  <c:v>603404.827501636</c:v>
                </c:pt>
                <c:pt idx="4">
                  <c:v>852341.63996390405</c:v>
                </c:pt>
                <c:pt idx="5">
                  <c:v>720299.52004898724</c:v>
                </c:pt>
                <c:pt idx="6">
                  <c:v>805391.58041962842</c:v>
                </c:pt>
                <c:pt idx="7">
                  <c:v>1406181.5502423388</c:v>
                </c:pt>
              </c:numCache>
            </c:numRef>
          </c:val>
          <c:extLst>
            <c:ext xmlns:c16="http://schemas.microsoft.com/office/drawing/2014/chart" uri="{C3380CC4-5D6E-409C-BE32-E72D297353CC}">
              <c16:uniqueId val="{00000001-EDEC-4D47-9C20-D8D9D241E889}"/>
            </c:ext>
          </c:extLst>
        </c:ser>
        <c:dLbls>
          <c:showLegendKey val="0"/>
          <c:showVal val="0"/>
          <c:showCatName val="0"/>
          <c:showSerName val="0"/>
          <c:showPercent val="0"/>
          <c:showBubbleSize val="0"/>
        </c:dLbls>
        <c:gapWidth val="100"/>
        <c:overlap val="-27"/>
        <c:axId val="461881935"/>
        <c:axId val="461884815"/>
      </c:barChart>
      <c:lineChart>
        <c:grouping val="standard"/>
        <c:varyColors val="0"/>
        <c:ser>
          <c:idx val="2"/>
          <c:order val="2"/>
          <c:tx>
            <c:strRef>
              <c:f>FCFF!$AR$18</c:f>
              <c:strCache>
                <c:ptCount val="1"/>
                <c:pt idx="0">
                  <c:v>Revenue Growth</c:v>
                </c:pt>
              </c:strCache>
            </c:strRef>
          </c:tx>
          <c:spPr>
            <a:ln w="19050" cap="rnd">
              <a:solidFill>
                <a:schemeClr val="bg1">
                  <a:lumMod val="75000"/>
                </a:schemeClr>
              </a:solidFill>
              <a:round/>
            </a:ln>
            <a:effectLst>
              <a:glow rad="101600">
                <a:schemeClr val="accent3">
                  <a:satMod val="175000"/>
                  <a:alpha val="15000"/>
                </a:schemeClr>
              </a:glow>
            </a:effectLst>
          </c:spPr>
          <c:marker>
            <c:symbol val="none"/>
          </c:marker>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FCFF!$AS$18:$AZ$18</c:f>
              <c:numCache>
                <c:formatCode>0.0%</c:formatCode>
                <c:ptCount val="8"/>
                <c:pt idx="0">
                  <c:v>0.31740261396143921</c:v>
                </c:pt>
                <c:pt idx="1">
                  <c:v>0.77036325956203133</c:v>
                </c:pt>
                <c:pt idx="2">
                  <c:v>-0.26055863279614855</c:v>
                </c:pt>
                <c:pt idx="3">
                  <c:v>0.71653077251409125</c:v>
                </c:pt>
                <c:pt idx="4">
                  <c:v>0.52927584964332497</c:v>
                </c:pt>
                <c:pt idx="5">
                  <c:v>-0.56268246398779631</c:v>
                </c:pt>
                <c:pt idx="6">
                  <c:v>0.50906912394082471</c:v>
                </c:pt>
                <c:pt idx="7">
                  <c:v>0.50906933155612277</c:v>
                </c:pt>
              </c:numCache>
            </c:numRef>
          </c:val>
          <c:smooth val="0"/>
          <c:extLst>
            <c:ext xmlns:c16="http://schemas.microsoft.com/office/drawing/2014/chart" uri="{C3380CC4-5D6E-409C-BE32-E72D297353CC}">
              <c16:uniqueId val="{00000002-EDEC-4D47-9C20-D8D9D241E889}"/>
            </c:ext>
          </c:extLst>
        </c:ser>
        <c:dLbls>
          <c:showLegendKey val="0"/>
          <c:showVal val="0"/>
          <c:showCatName val="0"/>
          <c:showSerName val="0"/>
          <c:showPercent val="0"/>
          <c:showBubbleSize val="0"/>
        </c:dLbls>
        <c:marker val="1"/>
        <c:smooth val="0"/>
        <c:axId val="683919615"/>
        <c:axId val="465601487"/>
      </c:lineChart>
      <c:catAx>
        <c:axId val="4618819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4815"/>
        <c:crosses val="autoZero"/>
        <c:auto val="1"/>
        <c:lblAlgn val="ctr"/>
        <c:lblOffset val="100"/>
        <c:noMultiLvlLbl val="0"/>
      </c:catAx>
      <c:valAx>
        <c:axId val="461884815"/>
        <c:scaling>
          <c:orientation val="minMax"/>
        </c:scaling>
        <c:delete val="0"/>
        <c:axPos val="l"/>
        <c:majorGridlines>
          <c:spPr>
            <a:ln w="9525" cap="flat" cmpd="sng" algn="ctr">
              <a:solidFill>
                <a:schemeClr val="accent1">
                  <a:lumMod val="20000"/>
                  <a:lumOff val="80000"/>
                  <a:alpha val="2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1935"/>
        <c:crosses val="autoZero"/>
        <c:crossBetween val="between"/>
      </c:valAx>
      <c:valAx>
        <c:axId val="46560148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683919615"/>
        <c:crosses val="max"/>
        <c:crossBetween val="between"/>
      </c:valAx>
      <c:catAx>
        <c:axId val="683919615"/>
        <c:scaling>
          <c:orientation val="minMax"/>
        </c:scaling>
        <c:delete val="1"/>
        <c:axPos val="b"/>
        <c:numFmt formatCode="0&quot;A&quot;" sourceLinked="1"/>
        <c:majorTickMark val="out"/>
        <c:minorTickMark val="none"/>
        <c:tickLblPos val="nextTo"/>
        <c:crossAx val="465601487"/>
        <c:crosses val="autoZero"/>
        <c:auto val="1"/>
        <c:lblAlgn val="ctr"/>
        <c:lblOffset val="100"/>
        <c:noMultiLvlLbl val="0"/>
      </c:catAx>
      <c:spPr>
        <a:noFill/>
        <a:ln>
          <a:noFill/>
        </a:ln>
        <a:effectLst/>
      </c:spPr>
    </c:plotArea>
    <c:legend>
      <c:legendPos val="b"/>
      <c:layout>
        <c:manualLayout>
          <c:xMode val="edge"/>
          <c:yMode val="edge"/>
          <c:x val="0.16973859526076801"/>
          <c:y val="0.92322219770401337"/>
          <c:w val="0.6991448702669929"/>
          <c:h val="7.67778546485851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b="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9"/>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56-4E24-A984-64F1506D7E1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45979</c:v>
                </c:pt>
                <c:pt idx="1">
                  <c:v>45978</c:v>
                </c:pt>
                <c:pt idx="2">
                  <c:v>45977</c:v>
                </c:pt>
                <c:pt idx="3">
                  <c:v>45976</c:v>
                </c:pt>
                <c:pt idx="4">
                  <c:v>45975</c:v>
                </c:pt>
                <c:pt idx="5">
                  <c:v>45974</c:v>
                </c:pt>
                <c:pt idx="6">
                  <c:v>45973</c:v>
                </c:pt>
                <c:pt idx="7">
                  <c:v>45972</c:v>
                </c:pt>
                <c:pt idx="8">
                  <c:v>45971</c:v>
                </c:pt>
                <c:pt idx="9">
                  <c:v>45970</c:v>
                </c:pt>
                <c:pt idx="10">
                  <c:v>45969</c:v>
                </c:pt>
                <c:pt idx="11">
                  <c:v>45968</c:v>
                </c:pt>
                <c:pt idx="12">
                  <c:v>45967</c:v>
                </c:pt>
                <c:pt idx="13">
                  <c:v>45966</c:v>
                </c:pt>
                <c:pt idx="14">
                  <c:v>45965</c:v>
                </c:pt>
                <c:pt idx="15">
                  <c:v>45964</c:v>
                </c:pt>
                <c:pt idx="16">
                  <c:v>45963</c:v>
                </c:pt>
                <c:pt idx="17">
                  <c:v>45962</c:v>
                </c:pt>
                <c:pt idx="18">
                  <c:v>45961</c:v>
                </c:pt>
                <c:pt idx="19">
                  <c:v>45960</c:v>
                </c:pt>
                <c:pt idx="20">
                  <c:v>45959</c:v>
                </c:pt>
                <c:pt idx="21">
                  <c:v>45958</c:v>
                </c:pt>
                <c:pt idx="22">
                  <c:v>45957</c:v>
                </c:pt>
                <c:pt idx="23">
                  <c:v>45956</c:v>
                </c:pt>
                <c:pt idx="24">
                  <c:v>45955</c:v>
                </c:pt>
                <c:pt idx="25">
                  <c:v>45954</c:v>
                </c:pt>
                <c:pt idx="26">
                  <c:v>45953</c:v>
                </c:pt>
                <c:pt idx="27">
                  <c:v>45952</c:v>
                </c:pt>
                <c:pt idx="28">
                  <c:v>45951</c:v>
                </c:pt>
                <c:pt idx="29">
                  <c:v>45950</c:v>
                </c:pt>
                <c:pt idx="30">
                  <c:v>45949</c:v>
                </c:pt>
                <c:pt idx="31">
                  <c:v>45948</c:v>
                </c:pt>
                <c:pt idx="32">
                  <c:v>45947</c:v>
                </c:pt>
                <c:pt idx="33">
                  <c:v>45946</c:v>
                </c:pt>
                <c:pt idx="34">
                  <c:v>45945</c:v>
                </c:pt>
                <c:pt idx="35">
                  <c:v>45944</c:v>
                </c:pt>
                <c:pt idx="36">
                  <c:v>45943</c:v>
                </c:pt>
                <c:pt idx="37">
                  <c:v>45942</c:v>
                </c:pt>
                <c:pt idx="38">
                  <c:v>45941</c:v>
                </c:pt>
                <c:pt idx="39">
                  <c:v>45940</c:v>
                </c:pt>
                <c:pt idx="40">
                  <c:v>45939</c:v>
                </c:pt>
                <c:pt idx="41">
                  <c:v>45938</c:v>
                </c:pt>
                <c:pt idx="42">
                  <c:v>45937</c:v>
                </c:pt>
                <c:pt idx="43">
                  <c:v>45936</c:v>
                </c:pt>
                <c:pt idx="44">
                  <c:v>45935</c:v>
                </c:pt>
                <c:pt idx="45">
                  <c:v>45934</c:v>
                </c:pt>
                <c:pt idx="46">
                  <c:v>45933</c:v>
                </c:pt>
                <c:pt idx="47">
                  <c:v>45932</c:v>
                </c:pt>
                <c:pt idx="48">
                  <c:v>45931</c:v>
                </c:pt>
                <c:pt idx="49">
                  <c:v>45930</c:v>
                </c:pt>
                <c:pt idx="50">
                  <c:v>45929</c:v>
                </c:pt>
                <c:pt idx="51">
                  <c:v>45928</c:v>
                </c:pt>
                <c:pt idx="52">
                  <c:v>45927</c:v>
                </c:pt>
                <c:pt idx="53">
                  <c:v>45926</c:v>
                </c:pt>
                <c:pt idx="54">
                  <c:v>45925</c:v>
                </c:pt>
                <c:pt idx="55">
                  <c:v>45924</c:v>
                </c:pt>
                <c:pt idx="56">
                  <c:v>45923</c:v>
                </c:pt>
                <c:pt idx="57">
                  <c:v>45922</c:v>
                </c:pt>
                <c:pt idx="58">
                  <c:v>45921</c:v>
                </c:pt>
                <c:pt idx="59">
                  <c:v>45920</c:v>
                </c:pt>
                <c:pt idx="60">
                  <c:v>45919</c:v>
                </c:pt>
                <c:pt idx="61">
                  <c:v>45918</c:v>
                </c:pt>
                <c:pt idx="62">
                  <c:v>45917</c:v>
                </c:pt>
                <c:pt idx="63">
                  <c:v>45916</c:v>
                </c:pt>
                <c:pt idx="64">
                  <c:v>45915</c:v>
                </c:pt>
                <c:pt idx="65">
                  <c:v>45914</c:v>
                </c:pt>
                <c:pt idx="66">
                  <c:v>45913</c:v>
                </c:pt>
                <c:pt idx="67">
                  <c:v>45912</c:v>
                </c:pt>
                <c:pt idx="68">
                  <c:v>45911</c:v>
                </c:pt>
                <c:pt idx="69">
                  <c:v>45910</c:v>
                </c:pt>
                <c:pt idx="70">
                  <c:v>45909</c:v>
                </c:pt>
                <c:pt idx="71">
                  <c:v>45908</c:v>
                </c:pt>
                <c:pt idx="72">
                  <c:v>45907</c:v>
                </c:pt>
                <c:pt idx="73">
                  <c:v>45906</c:v>
                </c:pt>
                <c:pt idx="74">
                  <c:v>45905</c:v>
                </c:pt>
                <c:pt idx="75">
                  <c:v>45904</c:v>
                </c:pt>
                <c:pt idx="76">
                  <c:v>45903</c:v>
                </c:pt>
                <c:pt idx="77">
                  <c:v>45902</c:v>
                </c:pt>
                <c:pt idx="78">
                  <c:v>45901</c:v>
                </c:pt>
                <c:pt idx="79">
                  <c:v>45900</c:v>
                </c:pt>
                <c:pt idx="80">
                  <c:v>45899</c:v>
                </c:pt>
                <c:pt idx="81">
                  <c:v>45898</c:v>
                </c:pt>
                <c:pt idx="82">
                  <c:v>45897</c:v>
                </c:pt>
                <c:pt idx="83">
                  <c:v>45896</c:v>
                </c:pt>
                <c:pt idx="84">
                  <c:v>45895</c:v>
                </c:pt>
                <c:pt idx="85">
                  <c:v>45894</c:v>
                </c:pt>
                <c:pt idx="86">
                  <c:v>45893</c:v>
                </c:pt>
                <c:pt idx="87">
                  <c:v>45892</c:v>
                </c:pt>
                <c:pt idx="88">
                  <c:v>45891</c:v>
                </c:pt>
                <c:pt idx="89">
                  <c:v>45890</c:v>
                </c:pt>
                <c:pt idx="90">
                  <c:v>45889</c:v>
                </c:pt>
                <c:pt idx="91">
                  <c:v>45888</c:v>
                </c:pt>
                <c:pt idx="92">
                  <c:v>45887</c:v>
                </c:pt>
                <c:pt idx="93">
                  <c:v>45886</c:v>
                </c:pt>
                <c:pt idx="94">
                  <c:v>45885</c:v>
                </c:pt>
                <c:pt idx="95">
                  <c:v>45884</c:v>
                </c:pt>
                <c:pt idx="96">
                  <c:v>45883</c:v>
                </c:pt>
                <c:pt idx="97">
                  <c:v>45882</c:v>
                </c:pt>
                <c:pt idx="98">
                  <c:v>45881</c:v>
                </c:pt>
                <c:pt idx="99">
                  <c:v>45880</c:v>
                </c:pt>
                <c:pt idx="100">
                  <c:v>45879</c:v>
                </c:pt>
                <c:pt idx="101">
                  <c:v>45878</c:v>
                </c:pt>
                <c:pt idx="102">
                  <c:v>45877</c:v>
                </c:pt>
                <c:pt idx="103">
                  <c:v>45876</c:v>
                </c:pt>
                <c:pt idx="104">
                  <c:v>45875</c:v>
                </c:pt>
                <c:pt idx="105">
                  <c:v>45874</c:v>
                </c:pt>
                <c:pt idx="106">
                  <c:v>45873</c:v>
                </c:pt>
                <c:pt idx="107">
                  <c:v>45872</c:v>
                </c:pt>
                <c:pt idx="108">
                  <c:v>45871</c:v>
                </c:pt>
                <c:pt idx="109">
                  <c:v>45870</c:v>
                </c:pt>
                <c:pt idx="110">
                  <c:v>45869</c:v>
                </c:pt>
                <c:pt idx="111">
                  <c:v>45868</c:v>
                </c:pt>
                <c:pt idx="112">
                  <c:v>45867</c:v>
                </c:pt>
                <c:pt idx="113">
                  <c:v>45866</c:v>
                </c:pt>
                <c:pt idx="114">
                  <c:v>45865</c:v>
                </c:pt>
                <c:pt idx="115">
                  <c:v>45864</c:v>
                </c:pt>
                <c:pt idx="116">
                  <c:v>45863</c:v>
                </c:pt>
                <c:pt idx="117">
                  <c:v>45862</c:v>
                </c:pt>
                <c:pt idx="118">
                  <c:v>45861</c:v>
                </c:pt>
                <c:pt idx="119">
                  <c:v>45860</c:v>
                </c:pt>
                <c:pt idx="120">
                  <c:v>45859</c:v>
                </c:pt>
                <c:pt idx="121">
                  <c:v>45858</c:v>
                </c:pt>
                <c:pt idx="122">
                  <c:v>45857</c:v>
                </c:pt>
                <c:pt idx="123">
                  <c:v>45856</c:v>
                </c:pt>
                <c:pt idx="124">
                  <c:v>45855</c:v>
                </c:pt>
                <c:pt idx="125">
                  <c:v>45854</c:v>
                </c:pt>
                <c:pt idx="126">
                  <c:v>45853</c:v>
                </c:pt>
                <c:pt idx="127">
                  <c:v>45852</c:v>
                </c:pt>
                <c:pt idx="128">
                  <c:v>45851</c:v>
                </c:pt>
                <c:pt idx="129">
                  <c:v>45850</c:v>
                </c:pt>
                <c:pt idx="130">
                  <c:v>45849</c:v>
                </c:pt>
                <c:pt idx="131">
                  <c:v>45848</c:v>
                </c:pt>
                <c:pt idx="132">
                  <c:v>45847</c:v>
                </c:pt>
                <c:pt idx="133">
                  <c:v>45846</c:v>
                </c:pt>
                <c:pt idx="134">
                  <c:v>45845</c:v>
                </c:pt>
                <c:pt idx="135">
                  <c:v>45844</c:v>
                </c:pt>
                <c:pt idx="136">
                  <c:v>45843</c:v>
                </c:pt>
                <c:pt idx="137">
                  <c:v>45842</c:v>
                </c:pt>
                <c:pt idx="138">
                  <c:v>45841</c:v>
                </c:pt>
                <c:pt idx="139">
                  <c:v>45840</c:v>
                </c:pt>
                <c:pt idx="140">
                  <c:v>45839</c:v>
                </c:pt>
                <c:pt idx="141">
                  <c:v>45838</c:v>
                </c:pt>
                <c:pt idx="142">
                  <c:v>45837</c:v>
                </c:pt>
                <c:pt idx="143">
                  <c:v>45836</c:v>
                </c:pt>
                <c:pt idx="144">
                  <c:v>45835</c:v>
                </c:pt>
                <c:pt idx="145">
                  <c:v>45834</c:v>
                </c:pt>
                <c:pt idx="146">
                  <c:v>45833</c:v>
                </c:pt>
                <c:pt idx="147">
                  <c:v>45832</c:v>
                </c:pt>
                <c:pt idx="148">
                  <c:v>45831</c:v>
                </c:pt>
                <c:pt idx="149">
                  <c:v>45830</c:v>
                </c:pt>
                <c:pt idx="150">
                  <c:v>45829</c:v>
                </c:pt>
                <c:pt idx="151">
                  <c:v>45828</c:v>
                </c:pt>
                <c:pt idx="152">
                  <c:v>45827</c:v>
                </c:pt>
                <c:pt idx="153">
                  <c:v>45826</c:v>
                </c:pt>
                <c:pt idx="154">
                  <c:v>45825</c:v>
                </c:pt>
                <c:pt idx="155">
                  <c:v>45824</c:v>
                </c:pt>
                <c:pt idx="156">
                  <c:v>45823</c:v>
                </c:pt>
                <c:pt idx="157">
                  <c:v>45822</c:v>
                </c:pt>
                <c:pt idx="158">
                  <c:v>45821</c:v>
                </c:pt>
                <c:pt idx="159">
                  <c:v>45820</c:v>
                </c:pt>
                <c:pt idx="160">
                  <c:v>45819</c:v>
                </c:pt>
                <c:pt idx="161">
                  <c:v>45818</c:v>
                </c:pt>
                <c:pt idx="162">
                  <c:v>45817</c:v>
                </c:pt>
                <c:pt idx="163">
                  <c:v>45816</c:v>
                </c:pt>
                <c:pt idx="164">
                  <c:v>45815</c:v>
                </c:pt>
                <c:pt idx="165">
                  <c:v>45814</c:v>
                </c:pt>
                <c:pt idx="166">
                  <c:v>45813</c:v>
                </c:pt>
                <c:pt idx="167">
                  <c:v>45812</c:v>
                </c:pt>
                <c:pt idx="168">
                  <c:v>45811</c:v>
                </c:pt>
                <c:pt idx="169">
                  <c:v>45810</c:v>
                </c:pt>
                <c:pt idx="170">
                  <c:v>45809</c:v>
                </c:pt>
                <c:pt idx="171">
                  <c:v>45808</c:v>
                </c:pt>
                <c:pt idx="172">
                  <c:v>45807</c:v>
                </c:pt>
                <c:pt idx="173">
                  <c:v>45806</c:v>
                </c:pt>
                <c:pt idx="174">
                  <c:v>45805</c:v>
                </c:pt>
                <c:pt idx="175">
                  <c:v>45804</c:v>
                </c:pt>
                <c:pt idx="176">
                  <c:v>45803</c:v>
                </c:pt>
                <c:pt idx="177">
                  <c:v>45802</c:v>
                </c:pt>
                <c:pt idx="178">
                  <c:v>45801</c:v>
                </c:pt>
                <c:pt idx="179">
                  <c:v>45800</c:v>
                </c:pt>
                <c:pt idx="180">
                  <c:v>45799</c:v>
                </c:pt>
                <c:pt idx="181">
                  <c:v>45798</c:v>
                </c:pt>
                <c:pt idx="182">
                  <c:v>45797</c:v>
                </c:pt>
                <c:pt idx="183">
                  <c:v>45796</c:v>
                </c:pt>
                <c:pt idx="184">
                  <c:v>45795</c:v>
                </c:pt>
                <c:pt idx="185">
                  <c:v>45794</c:v>
                </c:pt>
                <c:pt idx="186">
                  <c:v>45793</c:v>
                </c:pt>
                <c:pt idx="187">
                  <c:v>45792</c:v>
                </c:pt>
                <c:pt idx="188">
                  <c:v>45791</c:v>
                </c:pt>
                <c:pt idx="189">
                  <c:v>45790</c:v>
                </c:pt>
                <c:pt idx="190">
                  <c:v>45789</c:v>
                </c:pt>
                <c:pt idx="191">
                  <c:v>45788</c:v>
                </c:pt>
                <c:pt idx="192">
                  <c:v>45787</c:v>
                </c:pt>
                <c:pt idx="193">
                  <c:v>45786</c:v>
                </c:pt>
                <c:pt idx="194">
                  <c:v>45785</c:v>
                </c:pt>
                <c:pt idx="195">
                  <c:v>45784</c:v>
                </c:pt>
                <c:pt idx="196">
                  <c:v>45783</c:v>
                </c:pt>
                <c:pt idx="197">
                  <c:v>45782</c:v>
                </c:pt>
                <c:pt idx="198">
                  <c:v>45781</c:v>
                </c:pt>
                <c:pt idx="199">
                  <c:v>45780</c:v>
                </c:pt>
                <c:pt idx="200">
                  <c:v>45779</c:v>
                </c:pt>
                <c:pt idx="201">
                  <c:v>45778</c:v>
                </c:pt>
                <c:pt idx="202">
                  <c:v>45777</c:v>
                </c:pt>
                <c:pt idx="203">
                  <c:v>45776</c:v>
                </c:pt>
                <c:pt idx="204">
                  <c:v>45775</c:v>
                </c:pt>
                <c:pt idx="205">
                  <c:v>45774</c:v>
                </c:pt>
                <c:pt idx="206">
                  <c:v>45773</c:v>
                </c:pt>
                <c:pt idx="207">
                  <c:v>45772</c:v>
                </c:pt>
                <c:pt idx="208">
                  <c:v>45771</c:v>
                </c:pt>
                <c:pt idx="209">
                  <c:v>45770</c:v>
                </c:pt>
                <c:pt idx="210">
                  <c:v>45769</c:v>
                </c:pt>
                <c:pt idx="211">
                  <c:v>45768</c:v>
                </c:pt>
                <c:pt idx="212">
                  <c:v>45767</c:v>
                </c:pt>
                <c:pt idx="213">
                  <c:v>45766</c:v>
                </c:pt>
                <c:pt idx="214">
                  <c:v>45765</c:v>
                </c:pt>
                <c:pt idx="215">
                  <c:v>45764</c:v>
                </c:pt>
                <c:pt idx="216">
                  <c:v>45763</c:v>
                </c:pt>
                <c:pt idx="217">
                  <c:v>45762</c:v>
                </c:pt>
                <c:pt idx="218">
                  <c:v>45761</c:v>
                </c:pt>
                <c:pt idx="219">
                  <c:v>45760</c:v>
                </c:pt>
                <c:pt idx="220">
                  <c:v>45759</c:v>
                </c:pt>
                <c:pt idx="221">
                  <c:v>45758</c:v>
                </c:pt>
                <c:pt idx="222">
                  <c:v>45757</c:v>
                </c:pt>
                <c:pt idx="223">
                  <c:v>45756</c:v>
                </c:pt>
                <c:pt idx="224">
                  <c:v>45755</c:v>
                </c:pt>
                <c:pt idx="225">
                  <c:v>45754</c:v>
                </c:pt>
                <c:pt idx="226">
                  <c:v>45753</c:v>
                </c:pt>
                <c:pt idx="227">
                  <c:v>45752</c:v>
                </c:pt>
                <c:pt idx="228">
                  <c:v>45751</c:v>
                </c:pt>
                <c:pt idx="229">
                  <c:v>45750</c:v>
                </c:pt>
                <c:pt idx="230">
                  <c:v>45749</c:v>
                </c:pt>
                <c:pt idx="231">
                  <c:v>45748</c:v>
                </c:pt>
                <c:pt idx="232">
                  <c:v>45747</c:v>
                </c:pt>
                <c:pt idx="233">
                  <c:v>45746</c:v>
                </c:pt>
                <c:pt idx="234">
                  <c:v>45745</c:v>
                </c:pt>
                <c:pt idx="235">
                  <c:v>45744</c:v>
                </c:pt>
                <c:pt idx="236">
                  <c:v>45743</c:v>
                </c:pt>
                <c:pt idx="237">
                  <c:v>45742</c:v>
                </c:pt>
                <c:pt idx="238">
                  <c:v>45741</c:v>
                </c:pt>
                <c:pt idx="239">
                  <c:v>45740</c:v>
                </c:pt>
                <c:pt idx="240">
                  <c:v>45739</c:v>
                </c:pt>
                <c:pt idx="241">
                  <c:v>45738</c:v>
                </c:pt>
                <c:pt idx="242">
                  <c:v>45737</c:v>
                </c:pt>
                <c:pt idx="243">
                  <c:v>45736</c:v>
                </c:pt>
                <c:pt idx="244">
                  <c:v>45735</c:v>
                </c:pt>
                <c:pt idx="245">
                  <c:v>45734</c:v>
                </c:pt>
                <c:pt idx="246">
                  <c:v>45733</c:v>
                </c:pt>
                <c:pt idx="247">
                  <c:v>45732</c:v>
                </c:pt>
                <c:pt idx="248">
                  <c:v>45731</c:v>
                </c:pt>
                <c:pt idx="249">
                  <c:v>45730</c:v>
                </c:pt>
                <c:pt idx="250">
                  <c:v>45729</c:v>
                </c:pt>
                <c:pt idx="251">
                  <c:v>45728</c:v>
                </c:pt>
                <c:pt idx="252">
                  <c:v>45727</c:v>
                </c:pt>
                <c:pt idx="253">
                  <c:v>45726</c:v>
                </c:pt>
                <c:pt idx="254">
                  <c:v>45725</c:v>
                </c:pt>
                <c:pt idx="255">
                  <c:v>45724</c:v>
                </c:pt>
                <c:pt idx="256">
                  <c:v>45723</c:v>
                </c:pt>
                <c:pt idx="257">
                  <c:v>45722</c:v>
                </c:pt>
                <c:pt idx="258">
                  <c:v>45721</c:v>
                </c:pt>
                <c:pt idx="259">
                  <c:v>45720</c:v>
                </c:pt>
                <c:pt idx="260">
                  <c:v>45719</c:v>
                </c:pt>
                <c:pt idx="261">
                  <c:v>45718</c:v>
                </c:pt>
                <c:pt idx="262">
                  <c:v>45717</c:v>
                </c:pt>
                <c:pt idx="263">
                  <c:v>45716</c:v>
                </c:pt>
                <c:pt idx="264">
                  <c:v>45715</c:v>
                </c:pt>
                <c:pt idx="265">
                  <c:v>45714</c:v>
                </c:pt>
                <c:pt idx="266">
                  <c:v>45713</c:v>
                </c:pt>
                <c:pt idx="267">
                  <c:v>45712</c:v>
                </c:pt>
                <c:pt idx="268">
                  <c:v>45711</c:v>
                </c:pt>
                <c:pt idx="269">
                  <c:v>45710</c:v>
                </c:pt>
                <c:pt idx="270">
                  <c:v>45709</c:v>
                </c:pt>
                <c:pt idx="271">
                  <c:v>45708</c:v>
                </c:pt>
                <c:pt idx="272">
                  <c:v>45707</c:v>
                </c:pt>
                <c:pt idx="273">
                  <c:v>45706</c:v>
                </c:pt>
                <c:pt idx="274">
                  <c:v>45705</c:v>
                </c:pt>
                <c:pt idx="275">
                  <c:v>45704</c:v>
                </c:pt>
                <c:pt idx="276">
                  <c:v>45703</c:v>
                </c:pt>
                <c:pt idx="277">
                  <c:v>45702</c:v>
                </c:pt>
                <c:pt idx="278">
                  <c:v>45701</c:v>
                </c:pt>
                <c:pt idx="279">
                  <c:v>45700</c:v>
                </c:pt>
                <c:pt idx="280">
                  <c:v>45699</c:v>
                </c:pt>
                <c:pt idx="281">
                  <c:v>45698</c:v>
                </c:pt>
                <c:pt idx="282">
                  <c:v>45697</c:v>
                </c:pt>
                <c:pt idx="283">
                  <c:v>45696</c:v>
                </c:pt>
                <c:pt idx="284">
                  <c:v>45695</c:v>
                </c:pt>
                <c:pt idx="285">
                  <c:v>45694</c:v>
                </c:pt>
                <c:pt idx="286">
                  <c:v>45693</c:v>
                </c:pt>
                <c:pt idx="287">
                  <c:v>45692</c:v>
                </c:pt>
                <c:pt idx="288">
                  <c:v>45691</c:v>
                </c:pt>
                <c:pt idx="289">
                  <c:v>45690</c:v>
                </c:pt>
                <c:pt idx="290">
                  <c:v>45689</c:v>
                </c:pt>
                <c:pt idx="291">
                  <c:v>45688</c:v>
                </c:pt>
                <c:pt idx="292">
                  <c:v>45687</c:v>
                </c:pt>
                <c:pt idx="293">
                  <c:v>45686</c:v>
                </c:pt>
                <c:pt idx="294">
                  <c:v>45685</c:v>
                </c:pt>
                <c:pt idx="295">
                  <c:v>45684</c:v>
                </c:pt>
                <c:pt idx="296">
                  <c:v>45683</c:v>
                </c:pt>
                <c:pt idx="297">
                  <c:v>45682</c:v>
                </c:pt>
                <c:pt idx="298">
                  <c:v>45681</c:v>
                </c:pt>
                <c:pt idx="299">
                  <c:v>45680</c:v>
                </c:pt>
                <c:pt idx="300">
                  <c:v>45679</c:v>
                </c:pt>
                <c:pt idx="301">
                  <c:v>45678</c:v>
                </c:pt>
                <c:pt idx="302">
                  <c:v>45677</c:v>
                </c:pt>
                <c:pt idx="303">
                  <c:v>45676</c:v>
                </c:pt>
                <c:pt idx="304">
                  <c:v>45675</c:v>
                </c:pt>
                <c:pt idx="305">
                  <c:v>45674</c:v>
                </c:pt>
                <c:pt idx="306">
                  <c:v>45673</c:v>
                </c:pt>
                <c:pt idx="307">
                  <c:v>45672</c:v>
                </c:pt>
                <c:pt idx="308">
                  <c:v>45671</c:v>
                </c:pt>
                <c:pt idx="309">
                  <c:v>45670</c:v>
                </c:pt>
                <c:pt idx="310">
                  <c:v>45669</c:v>
                </c:pt>
                <c:pt idx="311">
                  <c:v>45668</c:v>
                </c:pt>
                <c:pt idx="312">
                  <c:v>45667</c:v>
                </c:pt>
                <c:pt idx="313">
                  <c:v>45666</c:v>
                </c:pt>
                <c:pt idx="314">
                  <c:v>45665</c:v>
                </c:pt>
                <c:pt idx="315">
                  <c:v>45664</c:v>
                </c:pt>
                <c:pt idx="316">
                  <c:v>45663</c:v>
                </c:pt>
                <c:pt idx="317">
                  <c:v>45662</c:v>
                </c:pt>
                <c:pt idx="318">
                  <c:v>45661</c:v>
                </c:pt>
                <c:pt idx="319">
                  <c:v>45660</c:v>
                </c:pt>
                <c:pt idx="320">
                  <c:v>45659</c:v>
                </c:pt>
                <c:pt idx="321">
                  <c:v>45658</c:v>
                </c:pt>
                <c:pt idx="322">
                  <c:v>45657</c:v>
                </c:pt>
                <c:pt idx="323">
                  <c:v>45656</c:v>
                </c:pt>
                <c:pt idx="324">
                  <c:v>45655</c:v>
                </c:pt>
                <c:pt idx="325">
                  <c:v>45654</c:v>
                </c:pt>
                <c:pt idx="326">
                  <c:v>45653</c:v>
                </c:pt>
                <c:pt idx="327">
                  <c:v>45652</c:v>
                </c:pt>
                <c:pt idx="328">
                  <c:v>45651</c:v>
                </c:pt>
                <c:pt idx="329">
                  <c:v>45650</c:v>
                </c:pt>
                <c:pt idx="330">
                  <c:v>45649</c:v>
                </c:pt>
                <c:pt idx="331">
                  <c:v>45648</c:v>
                </c:pt>
                <c:pt idx="332">
                  <c:v>45647</c:v>
                </c:pt>
                <c:pt idx="333">
                  <c:v>45646</c:v>
                </c:pt>
                <c:pt idx="334">
                  <c:v>45645</c:v>
                </c:pt>
                <c:pt idx="335">
                  <c:v>45644</c:v>
                </c:pt>
                <c:pt idx="336">
                  <c:v>45643</c:v>
                </c:pt>
                <c:pt idx="337">
                  <c:v>45642</c:v>
                </c:pt>
                <c:pt idx="338">
                  <c:v>45641</c:v>
                </c:pt>
                <c:pt idx="339">
                  <c:v>45640</c:v>
                </c:pt>
                <c:pt idx="340">
                  <c:v>45639</c:v>
                </c:pt>
                <c:pt idx="341">
                  <c:v>45638</c:v>
                </c:pt>
                <c:pt idx="342">
                  <c:v>45637</c:v>
                </c:pt>
                <c:pt idx="343">
                  <c:v>45636</c:v>
                </c:pt>
                <c:pt idx="344">
                  <c:v>45635</c:v>
                </c:pt>
                <c:pt idx="345">
                  <c:v>45634</c:v>
                </c:pt>
                <c:pt idx="346">
                  <c:v>45633</c:v>
                </c:pt>
                <c:pt idx="347">
                  <c:v>45632</c:v>
                </c:pt>
                <c:pt idx="348">
                  <c:v>45631</c:v>
                </c:pt>
                <c:pt idx="349">
                  <c:v>45630</c:v>
                </c:pt>
                <c:pt idx="350">
                  <c:v>45629</c:v>
                </c:pt>
                <c:pt idx="351">
                  <c:v>45628</c:v>
                </c:pt>
                <c:pt idx="352">
                  <c:v>45627</c:v>
                </c:pt>
                <c:pt idx="353">
                  <c:v>45626</c:v>
                </c:pt>
                <c:pt idx="354">
                  <c:v>45625</c:v>
                </c:pt>
                <c:pt idx="355">
                  <c:v>45624</c:v>
                </c:pt>
                <c:pt idx="356">
                  <c:v>45623</c:v>
                </c:pt>
                <c:pt idx="357">
                  <c:v>45622</c:v>
                </c:pt>
                <c:pt idx="358">
                  <c:v>45621</c:v>
                </c:pt>
                <c:pt idx="359">
                  <c:v>45620</c:v>
                </c:pt>
                <c:pt idx="360">
                  <c:v>45619</c:v>
                </c:pt>
                <c:pt idx="361">
                  <c:v>45618</c:v>
                </c:pt>
                <c:pt idx="362">
                  <c:v>45617</c:v>
                </c:pt>
                <c:pt idx="363">
                  <c:v>45616</c:v>
                </c:pt>
                <c:pt idx="364">
                  <c:v>45615</c:v>
                </c:pt>
                <c:pt idx="365">
                  <c:v>45614</c:v>
                </c:pt>
                <c:pt idx="366">
                  <c:v>45613</c:v>
                </c:pt>
                <c:pt idx="367">
                  <c:v>45612</c:v>
                </c:pt>
                <c:pt idx="368">
                  <c:v>45611</c:v>
                </c:pt>
                <c:pt idx="369">
                  <c:v>45610</c:v>
                </c:pt>
                <c:pt idx="370">
                  <c:v>45609</c:v>
                </c:pt>
                <c:pt idx="371">
                  <c:v>45608</c:v>
                </c:pt>
                <c:pt idx="372">
                  <c:v>45607</c:v>
                </c:pt>
                <c:pt idx="373">
                  <c:v>45606</c:v>
                </c:pt>
                <c:pt idx="374">
                  <c:v>45605</c:v>
                </c:pt>
                <c:pt idx="375">
                  <c:v>45604</c:v>
                </c:pt>
                <c:pt idx="376">
                  <c:v>45603</c:v>
                </c:pt>
                <c:pt idx="377">
                  <c:v>45602</c:v>
                </c:pt>
                <c:pt idx="378">
                  <c:v>45601</c:v>
                </c:pt>
                <c:pt idx="379">
                  <c:v>45600</c:v>
                </c:pt>
                <c:pt idx="380">
                  <c:v>45599</c:v>
                </c:pt>
                <c:pt idx="381">
                  <c:v>45598</c:v>
                </c:pt>
                <c:pt idx="382">
                  <c:v>45597</c:v>
                </c:pt>
                <c:pt idx="383">
                  <c:v>45596</c:v>
                </c:pt>
                <c:pt idx="384">
                  <c:v>45595</c:v>
                </c:pt>
                <c:pt idx="385">
                  <c:v>45594</c:v>
                </c:pt>
                <c:pt idx="386">
                  <c:v>45593</c:v>
                </c:pt>
                <c:pt idx="387">
                  <c:v>45592</c:v>
                </c:pt>
                <c:pt idx="388">
                  <c:v>45591</c:v>
                </c:pt>
                <c:pt idx="389">
                  <c:v>45590</c:v>
                </c:pt>
                <c:pt idx="390">
                  <c:v>45589</c:v>
                </c:pt>
                <c:pt idx="391">
                  <c:v>45588</c:v>
                </c:pt>
                <c:pt idx="392">
                  <c:v>45587</c:v>
                </c:pt>
                <c:pt idx="393">
                  <c:v>45586</c:v>
                </c:pt>
                <c:pt idx="394">
                  <c:v>45585</c:v>
                </c:pt>
                <c:pt idx="395">
                  <c:v>45584</c:v>
                </c:pt>
                <c:pt idx="396">
                  <c:v>45583</c:v>
                </c:pt>
                <c:pt idx="397">
                  <c:v>45582</c:v>
                </c:pt>
                <c:pt idx="398">
                  <c:v>45581</c:v>
                </c:pt>
                <c:pt idx="399">
                  <c:v>45580</c:v>
                </c:pt>
                <c:pt idx="400">
                  <c:v>45579</c:v>
                </c:pt>
                <c:pt idx="401">
                  <c:v>45578</c:v>
                </c:pt>
                <c:pt idx="402">
                  <c:v>45577</c:v>
                </c:pt>
                <c:pt idx="403">
                  <c:v>45576</c:v>
                </c:pt>
                <c:pt idx="404">
                  <c:v>45575</c:v>
                </c:pt>
              </c:numCache>
            </c:numRef>
          </c:cat>
          <c:val>
            <c:numRef>
              <c:f>Dashboard!$E$154:$E$558</c:f>
              <c:numCache>
                <c:formatCode>General</c:formatCode>
                <c:ptCount val="405"/>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111.54</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45979</c:v>
                </c:pt>
                <c:pt idx="1">
                  <c:v>45978</c:v>
                </c:pt>
                <c:pt idx="2">
                  <c:v>45977</c:v>
                </c:pt>
                <c:pt idx="3">
                  <c:v>45976</c:v>
                </c:pt>
                <c:pt idx="4">
                  <c:v>45975</c:v>
                </c:pt>
                <c:pt idx="5">
                  <c:v>45974</c:v>
                </c:pt>
                <c:pt idx="6">
                  <c:v>45973</c:v>
                </c:pt>
                <c:pt idx="7">
                  <c:v>45972</c:v>
                </c:pt>
                <c:pt idx="8">
                  <c:v>45971</c:v>
                </c:pt>
                <c:pt idx="9">
                  <c:v>45970</c:v>
                </c:pt>
                <c:pt idx="10">
                  <c:v>45969</c:v>
                </c:pt>
                <c:pt idx="11">
                  <c:v>45968</c:v>
                </c:pt>
                <c:pt idx="12">
                  <c:v>45967</c:v>
                </c:pt>
                <c:pt idx="13">
                  <c:v>45966</c:v>
                </c:pt>
                <c:pt idx="14">
                  <c:v>45965</c:v>
                </c:pt>
                <c:pt idx="15">
                  <c:v>45964</c:v>
                </c:pt>
                <c:pt idx="16">
                  <c:v>45963</c:v>
                </c:pt>
                <c:pt idx="17">
                  <c:v>45962</c:v>
                </c:pt>
                <c:pt idx="18">
                  <c:v>45961</c:v>
                </c:pt>
                <c:pt idx="19">
                  <c:v>45960</c:v>
                </c:pt>
                <c:pt idx="20">
                  <c:v>45959</c:v>
                </c:pt>
                <c:pt idx="21">
                  <c:v>45958</c:v>
                </c:pt>
                <c:pt idx="22">
                  <c:v>45957</c:v>
                </c:pt>
                <c:pt idx="23">
                  <c:v>45956</c:v>
                </c:pt>
                <c:pt idx="24">
                  <c:v>45955</c:v>
                </c:pt>
                <c:pt idx="25">
                  <c:v>45954</c:v>
                </c:pt>
                <c:pt idx="26">
                  <c:v>45953</c:v>
                </c:pt>
                <c:pt idx="27">
                  <c:v>45952</c:v>
                </c:pt>
                <c:pt idx="28">
                  <c:v>45951</c:v>
                </c:pt>
                <c:pt idx="29">
                  <c:v>45950</c:v>
                </c:pt>
                <c:pt idx="30">
                  <c:v>45949</c:v>
                </c:pt>
                <c:pt idx="31">
                  <c:v>45948</c:v>
                </c:pt>
                <c:pt idx="32">
                  <c:v>45947</c:v>
                </c:pt>
                <c:pt idx="33">
                  <c:v>45946</c:v>
                </c:pt>
                <c:pt idx="34">
                  <c:v>45945</c:v>
                </c:pt>
                <c:pt idx="35">
                  <c:v>45944</c:v>
                </c:pt>
                <c:pt idx="36">
                  <c:v>45943</c:v>
                </c:pt>
                <c:pt idx="37">
                  <c:v>45942</c:v>
                </c:pt>
                <c:pt idx="38">
                  <c:v>45941</c:v>
                </c:pt>
                <c:pt idx="39">
                  <c:v>45940</c:v>
                </c:pt>
                <c:pt idx="40">
                  <c:v>45939</c:v>
                </c:pt>
                <c:pt idx="41">
                  <c:v>45938</c:v>
                </c:pt>
                <c:pt idx="42">
                  <c:v>45937</c:v>
                </c:pt>
                <c:pt idx="43">
                  <c:v>45936</c:v>
                </c:pt>
                <c:pt idx="44">
                  <c:v>45935</c:v>
                </c:pt>
                <c:pt idx="45">
                  <c:v>45934</c:v>
                </c:pt>
                <c:pt idx="46">
                  <c:v>45933</c:v>
                </c:pt>
                <c:pt idx="47">
                  <c:v>45932</c:v>
                </c:pt>
                <c:pt idx="48">
                  <c:v>45931</c:v>
                </c:pt>
                <c:pt idx="49">
                  <c:v>45930</c:v>
                </c:pt>
                <c:pt idx="50">
                  <c:v>45929</c:v>
                </c:pt>
                <c:pt idx="51">
                  <c:v>45928</c:v>
                </c:pt>
                <c:pt idx="52">
                  <c:v>45927</c:v>
                </c:pt>
                <c:pt idx="53">
                  <c:v>45926</c:v>
                </c:pt>
                <c:pt idx="54">
                  <c:v>45925</c:v>
                </c:pt>
                <c:pt idx="55">
                  <c:v>45924</c:v>
                </c:pt>
                <c:pt idx="56">
                  <c:v>45923</c:v>
                </c:pt>
                <c:pt idx="57">
                  <c:v>45922</c:v>
                </c:pt>
                <c:pt idx="58">
                  <c:v>45921</c:v>
                </c:pt>
                <c:pt idx="59">
                  <c:v>45920</c:v>
                </c:pt>
                <c:pt idx="60">
                  <c:v>45919</c:v>
                </c:pt>
                <c:pt idx="61">
                  <c:v>45918</c:v>
                </c:pt>
                <c:pt idx="62">
                  <c:v>45917</c:v>
                </c:pt>
                <c:pt idx="63">
                  <c:v>45916</c:v>
                </c:pt>
                <c:pt idx="64">
                  <c:v>45915</c:v>
                </c:pt>
                <c:pt idx="65">
                  <c:v>45914</c:v>
                </c:pt>
                <c:pt idx="66">
                  <c:v>45913</c:v>
                </c:pt>
                <c:pt idx="67">
                  <c:v>45912</c:v>
                </c:pt>
                <c:pt idx="68">
                  <c:v>45911</c:v>
                </c:pt>
                <c:pt idx="69">
                  <c:v>45910</c:v>
                </c:pt>
                <c:pt idx="70">
                  <c:v>45909</c:v>
                </c:pt>
                <c:pt idx="71">
                  <c:v>45908</c:v>
                </c:pt>
                <c:pt idx="72">
                  <c:v>45907</c:v>
                </c:pt>
                <c:pt idx="73">
                  <c:v>45906</c:v>
                </c:pt>
                <c:pt idx="74">
                  <c:v>45905</c:v>
                </c:pt>
                <c:pt idx="75">
                  <c:v>45904</c:v>
                </c:pt>
                <c:pt idx="76">
                  <c:v>45903</c:v>
                </c:pt>
                <c:pt idx="77">
                  <c:v>45902</c:v>
                </c:pt>
                <c:pt idx="78">
                  <c:v>45901</c:v>
                </c:pt>
                <c:pt idx="79">
                  <c:v>45900</c:v>
                </c:pt>
                <c:pt idx="80">
                  <c:v>45899</c:v>
                </c:pt>
                <c:pt idx="81">
                  <c:v>45898</c:v>
                </c:pt>
                <c:pt idx="82">
                  <c:v>45897</c:v>
                </c:pt>
                <c:pt idx="83">
                  <c:v>45896</c:v>
                </c:pt>
                <c:pt idx="84">
                  <c:v>45895</c:v>
                </c:pt>
                <c:pt idx="85">
                  <c:v>45894</c:v>
                </c:pt>
                <c:pt idx="86">
                  <c:v>45893</c:v>
                </c:pt>
                <c:pt idx="87">
                  <c:v>45892</c:v>
                </c:pt>
                <c:pt idx="88">
                  <c:v>45891</c:v>
                </c:pt>
                <c:pt idx="89">
                  <c:v>45890</c:v>
                </c:pt>
                <c:pt idx="90">
                  <c:v>45889</c:v>
                </c:pt>
                <c:pt idx="91">
                  <c:v>45888</c:v>
                </c:pt>
                <c:pt idx="92">
                  <c:v>45887</c:v>
                </c:pt>
                <c:pt idx="93">
                  <c:v>45886</c:v>
                </c:pt>
                <c:pt idx="94">
                  <c:v>45885</c:v>
                </c:pt>
                <c:pt idx="95">
                  <c:v>45884</c:v>
                </c:pt>
                <c:pt idx="96">
                  <c:v>45883</c:v>
                </c:pt>
                <c:pt idx="97">
                  <c:v>45882</c:v>
                </c:pt>
                <c:pt idx="98">
                  <c:v>45881</c:v>
                </c:pt>
                <c:pt idx="99">
                  <c:v>45880</c:v>
                </c:pt>
                <c:pt idx="100">
                  <c:v>45879</c:v>
                </c:pt>
                <c:pt idx="101">
                  <c:v>45878</c:v>
                </c:pt>
                <c:pt idx="102">
                  <c:v>45877</c:v>
                </c:pt>
                <c:pt idx="103">
                  <c:v>45876</c:v>
                </c:pt>
                <c:pt idx="104">
                  <c:v>45875</c:v>
                </c:pt>
                <c:pt idx="105">
                  <c:v>45874</c:v>
                </c:pt>
                <c:pt idx="106">
                  <c:v>45873</c:v>
                </c:pt>
                <c:pt idx="107">
                  <c:v>45872</c:v>
                </c:pt>
                <c:pt idx="108">
                  <c:v>45871</c:v>
                </c:pt>
                <c:pt idx="109">
                  <c:v>45870</c:v>
                </c:pt>
                <c:pt idx="110">
                  <c:v>45869</c:v>
                </c:pt>
                <c:pt idx="111">
                  <c:v>45868</c:v>
                </c:pt>
                <c:pt idx="112">
                  <c:v>45867</c:v>
                </c:pt>
                <c:pt idx="113">
                  <c:v>45866</c:v>
                </c:pt>
                <c:pt idx="114">
                  <c:v>45865</c:v>
                </c:pt>
                <c:pt idx="115">
                  <c:v>45864</c:v>
                </c:pt>
                <c:pt idx="116">
                  <c:v>45863</c:v>
                </c:pt>
                <c:pt idx="117">
                  <c:v>45862</c:v>
                </c:pt>
                <c:pt idx="118">
                  <c:v>45861</c:v>
                </c:pt>
                <c:pt idx="119">
                  <c:v>45860</c:v>
                </c:pt>
                <c:pt idx="120">
                  <c:v>45859</c:v>
                </c:pt>
                <c:pt idx="121">
                  <c:v>45858</c:v>
                </c:pt>
                <c:pt idx="122">
                  <c:v>45857</c:v>
                </c:pt>
                <c:pt idx="123">
                  <c:v>45856</c:v>
                </c:pt>
                <c:pt idx="124">
                  <c:v>45855</c:v>
                </c:pt>
                <c:pt idx="125">
                  <c:v>45854</c:v>
                </c:pt>
                <c:pt idx="126">
                  <c:v>45853</c:v>
                </c:pt>
                <c:pt idx="127">
                  <c:v>45852</c:v>
                </c:pt>
                <c:pt idx="128">
                  <c:v>45851</c:v>
                </c:pt>
                <c:pt idx="129">
                  <c:v>45850</c:v>
                </c:pt>
                <c:pt idx="130">
                  <c:v>45849</c:v>
                </c:pt>
                <c:pt idx="131">
                  <c:v>45848</c:v>
                </c:pt>
                <c:pt idx="132">
                  <c:v>45847</c:v>
                </c:pt>
                <c:pt idx="133">
                  <c:v>45846</c:v>
                </c:pt>
                <c:pt idx="134">
                  <c:v>45845</c:v>
                </c:pt>
                <c:pt idx="135">
                  <c:v>45844</c:v>
                </c:pt>
                <c:pt idx="136">
                  <c:v>45843</c:v>
                </c:pt>
                <c:pt idx="137">
                  <c:v>45842</c:v>
                </c:pt>
                <c:pt idx="138">
                  <c:v>45841</c:v>
                </c:pt>
                <c:pt idx="139">
                  <c:v>45840</c:v>
                </c:pt>
                <c:pt idx="140">
                  <c:v>45839</c:v>
                </c:pt>
                <c:pt idx="141">
                  <c:v>45838</c:v>
                </c:pt>
                <c:pt idx="142">
                  <c:v>45837</c:v>
                </c:pt>
                <c:pt idx="143">
                  <c:v>45836</c:v>
                </c:pt>
                <c:pt idx="144">
                  <c:v>45835</c:v>
                </c:pt>
                <c:pt idx="145">
                  <c:v>45834</c:v>
                </c:pt>
                <c:pt idx="146">
                  <c:v>45833</c:v>
                </c:pt>
                <c:pt idx="147">
                  <c:v>45832</c:v>
                </c:pt>
                <c:pt idx="148">
                  <c:v>45831</c:v>
                </c:pt>
                <c:pt idx="149">
                  <c:v>45830</c:v>
                </c:pt>
                <c:pt idx="150">
                  <c:v>45829</c:v>
                </c:pt>
                <c:pt idx="151">
                  <c:v>45828</c:v>
                </c:pt>
                <c:pt idx="152">
                  <c:v>45827</c:v>
                </c:pt>
                <c:pt idx="153">
                  <c:v>45826</c:v>
                </c:pt>
                <c:pt idx="154">
                  <c:v>45825</c:v>
                </c:pt>
                <c:pt idx="155">
                  <c:v>45824</c:v>
                </c:pt>
                <c:pt idx="156">
                  <c:v>45823</c:v>
                </c:pt>
                <c:pt idx="157">
                  <c:v>45822</c:v>
                </c:pt>
                <c:pt idx="158">
                  <c:v>45821</c:v>
                </c:pt>
                <c:pt idx="159">
                  <c:v>45820</c:v>
                </c:pt>
                <c:pt idx="160">
                  <c:v>45819</c:v>
                </c:pt>
                <c:pt idx="161">
                  <c:v>45818</c:v>
                </c:pt>
                <c:pt idx="162">
                  <c:v>45817</c:v>
                </c:pt>
                <c:pt idx="163">
                  <c:v>45816</c:v>
                </c:pt>
                <c:pt idx="164">
                  <c:v>45815</c:v>
                </c:pt>
                <c:pt idx="165">
                  <c:v>45814</c:v>
                </c:pt>
                <c:pt idx="166">
                  <c:v>45813</c:v>
                </c:pt>
                <c:pt idx="167">
                  <c:v>45812</c:v>
                </c:pt>
                <c:pt idx="168">
                  <c:v>45811</c:v>
                </c:pt>
                <c:pt idx="169">
                  <c:v>45810</c:v>
                </c:pt>
                <c:pt idx="170">
                  <c:v>45809</c:v>
                </c:pt>
                <c:pt idx="171">
                  <c:v>45808</c:v>
                </c:pt>
                <c:pt idx="172">
                  <c:v>45807</c:v>
                </c:pt>
                <c:pt idx="173">
                  <c:v>45806</c:v>
                </c:pt>
                <c:pt idx="174">
                  <c:v>45805</c:v>
                </c:pt>
                <c:pt idx="175">
                  <c:v>45804</c:v>
                </c:pt>
                <c:pt idx="176">
                  <c:v>45803</c:v>
                </c:pt>
                <c:pt idx="177">
                  <c:v>45802</c:v>
                </c:pt>
                <c:pt idx="178">
                  <c:v>45801</c:v>
                </c:pt>
                <c:pt idx="179">
                  <c:v>45800</c:v>
                </c:pt>
                <c:pt idx="180">
                  <c:v>45799</c:v>
                </c:pt>
                <c:pt idx="181">
                  <c:v>45798</c:v>
                </c:pt>
                <c:pt idx="182">
                  <c:v>45797</c:v>
                </c:pt>
                <c:pt idx="183">
                  <c:v>45796</c:v>
                </c:pt>
                <c:pt idx="184">
                  <c:v>45795</c:v>
                </c:pt>
                <c:pt idx="185">
                  <c:v>45794</c:v>
                </c:pt>
                <c:pt idx="186">
                  <c:v>45793</c:v>
                </c:pt>
                <c:pt idx="187">
                  <c:v>45792</c:v>
                </c:pt>
                <c:pt idx="188">
                  <c:v>45791</c:v>
                </c:pt>
                <c:pt idx="189">
                  <c:v>45790</c:v>
                </c:pt>
                <c:pt idx="190">
                  <c:v>45789</c:v>
                </c:pt>
                <c:pt idx="191">
                  <c:v>45788</c:v>
                </c:pt>
                <c:pt idx="192">
                  <c:v>45787</c:v>
                </c:pt>
                <c:pt idx="193">
                  <c:v>45786</c:v>
                </c:pt>
                <c:pt idx="194">
                  <c:v>45785</c:v>
                </c:pt>
                <c:pt idx="195">
                  <c:v>45784</c:v>
                </c:pt>
                <c:pt idx="196">
                  <c:v>45783</c:v>
                </c:pt>
                <c:pt idx="197">
                  <c:v>45782</c:v>
                </c:pt>
                <c:pt idx="198">
                  <c:v>45781</c:v>
                </c:pt>
                <c:pt idx="199">
                  <c:v>45780</c:v>
                </c:pt>
                <c:pt idx="200">
                  <c:v>45779</c:v>
                </c:pt>
                <c:pt idx="201">
                  <c:v>45778</c:v>
                </c:pt>
                <c:pt idx="202">
                  <c:v>45777</c:v>
                </c:pt>
                <c:pt idx="203">
                  <c:v>45776</c:v>
                </c:pt>
                <c:pt idx="204">
                  <c:v>45775</c:v>
                </c:pt>
                <c:pt idx="205">
                  <c:v>45774</c:v>
                </c:pt>
                <c:pt idx="206">
                  <c:v>45773</c:v>
                </c:pt>
                <c:pt idx="207">
                  <c:v>45772</c:v>
                </c:pt>
                <c:pt idx="208">
                  <c:v>45771</c:v>
                </c:pt>
                <c:pt idx="209">
                  <c:v>45770</c:v>
                </c:pt>
                <c:pt idx="210">
                  <c:v>45769</c:v>
                </c:pt>
                <c:pt idx="211">
                  <c:v>45768</c:v>
                </c:pt>
                <c:pt idx="212">
                  <c:v>45767</c:v>
                </c:pt>
                <c:pt idx="213">
                  <c:v>45766</c:v>
                </c:pt>
                <c:pt idx="214">
                  <c:v>45765</c:v>
                </c:pt>
                <c:pt idx="215">
                  <c:v>45764</c:v>
                </c:pt>
                <c:pt idx="216">
                  <c:v>45763</c:v>
                </c:pt>
                <c:pt idx="217">
                  <c:v>45762</c:v>
                </c:pt>
                <c:pt idx="218">
                  <c:v>45761</c:v>
                </c:pt>
                <c:pt idx="219">
                  <c:v>45760</c:v>
                </c:pt>
                <c:pt idx="220">
                  <c:v>45759</c:v>
                </c:pt>
                <c:pt idx="221">
                  <c:v>45758</c:v>
                </c:pt>
                <c:pt idx="222">
                  <c:v>45757</c:v>
                </c:pt>
                <c:pt idx="223">
                  <c:v>45756</c:v>
                </c:pt>
                <c:pt idx="224">
                  <c:v>45755</c:v>
                </c:pt>
                <c:pt idx="225">
                  <c:v>45754</c:v>
                </c:pt>
                <c:pt idx="226">
                  <c:v>45753</c:v>
                </c:pt>
                <c:pt idx="227">
                  <c:v>45752</c:v>
                </c:pt>
                <c:pt idx="228">
                  <c:v>45751</c:v>
                </c:pt>
                <c:pt idx="229">
                  <c:v>45750</c:v>
                </c:pt>
                <c:pt idx="230">
                  <c:v>45749</c:v>
                </c:pt>
                <c:pt idx="231">
                  <c:v>45748</c:v>
                </c:pt>
                <c:pt idx="232">
                  <c:v>45747</c:v>
                </c:pt>
                <c:pt idx="233">
                  <c:v>45746</c:v>
                </c:pt>
                <c:pt idx="234">
                  <c:v>45745</c:v>
                </c:pt>
                <c:pt idx="235">
                  <c:v>45744</c:v>
                </c:pt>
                <c:pt idx="236">
                  <c:v>45743</c:v>
                </c:pt>
                <c:pt idx="237">
                  <c:v>45742</c:v>
                </c:pt>
                <c:pt idx="238">
                  <c:v>45741</c:v>
                </c:pt>
                <c:pt idx="239">
                  <c:v>45740</c:v>
                </c:pt>
                <c:pt idx="240">
                  <c:v>45739</c:v>
                </c:pt>
                <c:pt idx="241">
                  <c:v>45738</c:v>
                </c:pt>
                <c:pt idx="242">
                  <c:v>45737</c:v>
                </c:pt>
                <c:pt idx="243">
                  <c:v>45736</c:v>
                </c:pt>
                <c:pt idx="244">
                  <c:v>45735</c:v>
                </c:pt>
                <c:pt idx="245">
                  <c:v>45734</c:v>
                </c:pt>
                <c:pt idx="246">
                  <c:v>45733</c:v>
                </c:pt>
                <c:pt idx="247">
                  <c:v>45732</c:v>
                </c:pt>
                <c:pt idx="248">
                  <c:v>45731</c:v>
                </c:pt>
                <c:pt idx="249">
                  <c:v>45730</c:v>
                </c:pt>
                <c:pt idx="250">
                  <c:v>45729</c:v>
                </c:pt>
                <c:pt idx="251">
                  <c:v>45728</c:v>
                </c:pt>
                <c:pt idx="252">
                  <c:v>45727</c:v>
                </c:pt>
                <c:pt idx="253">
                  <c:v>45726</c:v>
                </c:pt>
                <c:pt idx="254">
                  <c:v>45725</c:v>
                </c:pt>
                <c:pt idx="255">
                  <c:v>45724</c:v>
                </c:pt>
                <c:pt idx="256">
                  <c:v>45723</c:v>
                </c:pt>
                <c:pt idx="257">
                  <c:v>45722</c:v>
                </c:pt>
                <c:pt idx="258">
                  <c:v>45721</c:v>
                </c:pt>
                <c:pt idx="259">
                  <c:v>45720</c:v>
                </c:pt>
                <c:pt idx="260">
                  <c:v>45719</c:v>
                </c:pt>
                <c:pt idx="261">
                  <c:v>45718</c:v>
                </c:pt>
                <c:pt idx="262">
                  <c:v>45717</c:v>
                </c:pt>
                <c:pt idx="263">
                  <c:v>45716</c:v>
                </c:pt>
                <c:pt idx="264">
                  <c:v>45715</c:v>
                </c:pt>
                <c:pt idx="265">
                  <c:v>45714</c:v>
                </c:pt>
                <c:pt idx="266">
                  <c:v>45713</c:v>
                </c:pt>
                <c:pt idx="267">
                  <c:v>45712</c:v>
                </c:pt>
                <c:pt idx="268">
                  <c:v>45711</c:v>
                </c:pt>
                <c:pt idx="269">
                  <c:v>45710</c:v>
                </c:pt>
                <c:pt idx="270">
                  <c:v>45709</c:v>
                </c:pt>
                <c:pt idx="271">
                  <c:v>45708</c:v>
                </c:pt>
                <c:pt idx="272">
                  <c:v>45707</c:v>
                </c:pt>
                <c:pt idx="273">
                  <c:v>45706</c:v>
                </c:pt>
                <c:pt idx="274">
                  <c:v>45705</c:v>
                </c:pt>
                <c:pt idx="275">
                  <c:v>45704</c:v>
                </c:pt>
                <c:pt idx="276">
                  <c:v>45703</c:v>
                </c:pt>
                <c:pt idx="277">
                  <c:v>45702</c:v>
                </c:pt>
                <c:pt idx="278">
                  <c:v>45701</c:v>
                </c:pt>
                <c:pt idx="279">
                  <c:v>45700</c:v>
                </c:pt>
                <c:pt idx="280">
                  <c:v>45699</c:v>
                </c:pt>
                <c:pt idx="281">
                  <c:v>45698</c:v>
                </c:pt>
                <c:pt idx="282">
                  <c:v>45697</c:v>
                </c:pt>
                <c:pt idx="283">
                  <c:v>45696</c:v>
                </c:pt>
                <c:pt idx="284">
                  <c:v>45695</c:v>
                </c:pt>
                <c:pt idx="285">
                  <c:v>45694</c:v>
                </c:pt>
                <c:pt idx="286">
                  <c:v>45693</c:v>
                </c:pt>
                <c:pt idx="287">
                  <c:v>45692</c:v>
                </c:pt>
                <c:pt idx="288">
                  <c:v>45691</c:v>
                </c:pt>
                <c:pt idx="289">
                  <c:v>45690</c:v>
                </c:pt>
                <c:pt idx="290">
                  <c:v>45689</c:v>
                </c:pt>
                <c:pt idx="291">
                  <c:v>45688</c:v>
                </c:pt>
                <c:pt idx="292">
                  <c:v>45687</c:v>
                </c:pt>
                <c:pt idx="293">
                  <c:v>45686</c:v>
                </c:pt>
                <c:pt idx="294">
                  <c:v>45685</c:v>
                </c:pt>
                <c:pt idx="295">
                  <c:v>45684</c:v>
                </c:pt>
                <c:pt idx="296">
                  <c:v>45683</c:v>
                </c:pt>
                <c:pt idx="297">
                  <c:v>45682</c:v>
                </c:pt>
                <c:pt idx="298">
                  <c:v>45681</c:v>
                </c:pt>
                <c:pt idx="299">
                  <c:v>45680</c:v>
                </c:pt>
                <c:pt idx="300">
                  <c:v>45679</c:v>
                </c:pt>
                <c:pt idx="301">
                  <c:v>45678</c:v>
                </c:pt>
                <c:pt idx="302">
                  <c:v>45677</c:v>
                </c:pt>
                <c:pt idx="303">
                  <c:v>45676</c:v>
                </c:pt>
                <c:pt idx="304">
                  <c:v>45675</c:v>
                </c:pt>
                <c:pt idx="305">
                  <c:v>45674</c:v>
                </c:pt>
                <c:pt idx="306">
                  <c:v>45673</c:v>
                </c:pt>
                <c:pt idx="307">
                  <c:v>45672</c:v>
                </c:pt>
                <c:pt idx="308">
                  <c:v>45671</c:v>
                </c:pt>
                <c:pt idx="309">
                  <c:v>45670</c:v>
                </c:pt>
                <c:pt idx="310">
                  <c:v>45669</c:v>
                </c:pt>
                <c:pt idx="311">
                  <c:v>45668</c:v>
                </c:pt>
                <c:pt idx="312">
                  <c:v>45667</c:v>
                </c:pt>
                <c:pt idx="313">
                  <c:v>45666</c:v>
                </c:pt>
                <c:pt idx="314">
                  <c:v>45665</c:v>
                </c:pt>
                <c:pt idx="315">
                  <c:v>45664</c:v>
                </c:pt>
                <c:pt idx="316">
                  <c:v>45663</c:v>
                </c:pt>
                <c:pt idx="317">
                  <c:v>45662</c:v>
                </c:pt>
                <c:pt idx="318">
                  <c:v>45661</c:v>
                </c:pt>
                <c:pt idx="319">
                  <c:v>45660</c:v>
                </c:pt>
                <c:pt idx="320">
                  <c:v>45659</c:v>
                </c:pt>
                <c:pt idx="321">
                  <c:v>45658</c:v>
                </c:pt>
                <c:pt idx="322">
                  <c:v>45657</c:v>
                </c:pt>
                <c:pt idx="323">
                  <c:v>45656</c:v>
                </c:pt>
                <c:pt idx="324">
                  <c:v>45655</c:v>
                </c:pt>
                <c:pt idx="325">
                  <c:v>45654</c:v>
                </c:pt>
                <c:pt idx="326">
                  <c:v>45653</c:v>
                </c:pt>
                <c:pt idx="327">
                  <c:v>45652</c:v>
                </c:pt>
                <c:pt idx="328">
                  <c:v>45651</c:v>
                </c:pt>
                <c:pt idx="329">
                  <c:v>45650</c:v>
                </c:pt>
                <c:pt idx="330">
                  <c:v>45649</c:v>
                </c:pt>
                <c:pt idx="331">
                  <c:v>45648</c:v>
                </c:pt>
                <c:pt idx="332">
                  <c:v>45647</c:v>
                </c:pt>
                <c:pt idx="333">
                  <c:v>45646</c:v>
                </c:pt>
                <c:pt idx="334">
                  <c:v>45645</c:v>
                </c:pt>
                <c:pt idx="335">
                  <c:v>45644</c:v>
                </c:pt>
                <c:pt idx="336">
                  <c:v>45643</c:v>
                </c:pt>
                <c:pt idx="337">
                  <c:v>45642</c:v>
                </c:pt>
                <c:pt idx="338">
                  <c:v>45641</c:v>
                </c:pt>
                <c:pt idx="339">
                  <c:v>45640</c:v>
                </c:pt>
                <c:pt idx="340">
                  <c:v>45639</c:v>
                </c:pt>
                <c:pt idx="341">
                  <c:v>45638</c:v>
                </c:pt>
                <c:pt idx="342">
                  <c:v>45637</c:v>
                </c:pt>
                <c:pt idx="343">
                  <c:v>45636</c:v>
                </c:pt>
                <c:pt idx="344">
                  <c:v>45635</c:v>
                </c:pt>
                <c:pt idx="345">
                  <c:v>45634</c:v>
                </c:pt>
                <c:pt idx="346">
                  <c:v>45633</c:v>
                </c:pt>
                <c:pt idx="347">
                  <c:v>45632</c:v>
                </c:pt>
                <c:pt idx="348">
                  <c:v>45631</c:v>
                </c:pt>
                <c:pt idx="349">
                  <c:v>45630</c:v>
                </c:pt>
                <c:pt idx="350">
                  <c:v>45629</c:v>
                </c:pt>
                <c:pt idx="351">
                  <c:v>45628</c:v>
                </c:pt>
                <c:pt idx="352">
                  <c:v>45627</c:v>
                </c:pt>
                <c:pt idx="353">
                  <c:v>45626</c:v>
                </c:pt>
                <c:pt idx="354">
                  <c:v>45625</c:v>
                </c:pt>
                <c:pt idx="355">
                  <c:v>45624</c:v>
                </c:pt>
                <c:pt idx="356">
                  <c:v>45623</c:v>
                </c:pt>
                <c:pt idx="357">
                  <c:v>45622</c:v>
                </c:pt>
                <c:pt idx="358">
                  <c:v>45621</c:v>
                </c:pt>
                <c:pt idx="359">
                  <c:v>45620</c:v>
                </c:pt>
                <c:pt idx="360">
                  <c:v>45619</c:v>
                </c:pt>
                <c:pt idx="361">
                  <c:v>45618</c:v>
                </c:pt>
                <c:pt idx="362">
                  <c:v>45617</c:v>
                </c:pt>
                <c:pt idx="363">
                  <c:v>45616</c:v>
                </c:pt>
                <c:pt idx="364">
                  <c:v>45615</c:v>
                </c:pt>
                <c:pt idx="365">
                  <c:v>45614</c:v>
                </c:pt>
                <c:pt idx="366">
                  <c:v>45613</c:v>
                </c:pt>
                <c:pt idx="367">
                  <c:v>45612</c:v>
                </c:pt>
                <c:pt idx="368">
                  <c:v>45611</c:v>
                </c:pt>
                <c:pt idx="369">
                  <c:v>45610</c:v>
                </c:pt>
                <c:pt idx="370">
                  <c:v>45609</c:v>
                </c:pt>
                <c:pt idx="371">
                  <c:v>45608</c:v>
                </c:pt>
                <c:pt idx="372">
                  <c:v>45607</c:v>
                </c:pt>
                <c:pt idx="373">
                  <c:v>45606</c:v>
                </c:pt>
                <c:pt idx="374">
                  <c:v>45605</c:v>
                </c:pt>
                <c:pt idx="375">
                  <c:v>45604</c:v>
                </c:pt>
                <c:pt idx="376">
                  <c:v>45603</c:v>
                </c:pt>
                <c:pt idx="377">
                  <c:v>45602</c:v>
                </c:pt>
                <c:pt idx="378">
                  <c:v>45601</c:v>
                </c:pt>
                <c:pt idx="379">
                  <c:v>45600</c:v>
                </c:pt>
                <c:pt idx="380">
                  <c:v>45599</c:v>
                </c:pt>
                <c:pt idx="381">
                  <c:v>45598</c:v>
                </c:pt>
                <c:pt idx="382">
                  <c:v>45597</c:v>
                </c:pt>
                <c:pt idx="383">
                  <c:v>45596</c:v>
                </c:pt>
                <c:pt idx="384">
                  <c:v>45595</c:v>
                </c:pt>
                <c:pt idx="385">
                  <c:v>45594</c:v>
                </c:pt>
                <c:pt idx="386">
                  <c:v>45593</c:v>
                </c:pt>
                <c:pt idx="387">
                  <c:v>45592</c:v>
                </c:pt>
                <c:pt idx="388">
                  <c:v>45591</c:v>
                </c:pt>
                <c:pt idx="389">
                  <c:v>45590</c:v>
                </c:pt>
                <c:pt idx="390">
                  <c:v>45589</c:v>
                </c:pt>
                <c:pt idx="391">
                  <c:v>45588</c:v>
                </c:pt>
                <c:pt idx="392">
                  <c:v>45587</c:v>
                </c:pt>
                <c:pt idx="393">
                  <c:v>45586</c:v>
                </c:pt>
                <c:pt idx="394">
                  <c:v>45585</c:v>
                </c:pt>
                <c:pt idx="395">
                  <c:v>45584</c:v>
                </c:pt>
                <c:pt idx="396">
                  <c:v>45583</c:v>
                </c:pt>
                <c:pt idx="397">
                  <c:v>45582</c:v>
                </c:pt>
                <c:pt idx="398">
                  <c:v>45581</c:v>
                </c:pt>
                <c:pt idx="399">
                  <c:v>45580</c:v>
                </c:pt>
                <c:pt idx="400">
                  <c:v>45579</c:v>
                </c:pt>
                <c:pt idx="401">
                  <c:v>45578</c:v>
                </c:pt>
                <c:pt idx="402">
                  <c:v>45577</c:v>
                </c:pt>
                <c:pt idx="403">
                  <c:v>45576</c:v>
                </c:pt>
                <c:pt idx="404">
                  <c:v>45575</c:v>
                </c:pt>
              </c:numCache>
            </c:numRef>
          </c:cat>
          <c:val>
            <c:numRef>
              <c:f>Dashboard!$D$154:$D$558</c:f>
              <c:numCache>
                <c:formatCode>General</c:formatCode>
                <c:ptCount val="405"/>
                <c:pt idx="39">
                  <c:v>111.54</c:v>
                </c:pt>
                <c:pt idx="40">
                  <c:v>111.54</c:v>
                </c:pt>
                <c:pt idx="41">
                  <c:v>113.83</c:v>
                </c:pt>
                <c:pt idx="42">
                  <c:v>113.83</c:v>
                </c:pt>
                <c:pt idx="43">
                  <c:v>113.83</c:v>
                </c:pt>
                <c:pt idx="44">
                  <c:v>113.07</c:v>
                </c:pt>
                <c:pt idx="45">
                  <c:v>110.6</c:v>
                </c:pt>
                <c:pt idx="46">
                  <c:v>116.01</c:v>
                </c:pt>
                <c:pt idx="47">
                  <c:v>115.64</c:v>
                </c:pt>
                <c:pt idx="48">
                  <c:v>115.64</c:v>
                </c:pt>
                <c:pt idx="49">
                  <c:v>115.64</c:v>
                </c:pt>
                <c:pt idx="50">
                  <c:v>115.64</c:v>
                </c:pt>
                <c:pt idx="51">
                  <c:v>115.4</c:v>
                </c:pt>
                <c:pt idx="52">
                  <c:v>116.8</c:v>
                </c:pt>
                <c:pt idx="53">
                  <c:v>114.99</c:v>
                </c:pt>
                <c:pt idx="54">
                  <c:v>115.425</c:v>
                </c:pt>
                <c:pt idx="55">
                  <c:v>116.04</c:v>
                </c:pt>
                <c:pt idx="56">
                  <c:v>116.04</c:v>
                </c:pt>
                <c:pt idx="57">
                  <c:v>116.04</c:v>
                </c:pt>
                <c:pt idx="58">
                  <c:v>113.25</c:v>
                </c:pt>
                <c:pt idx="59">
                  <c:v>114.2</c:v>
                </c:pt>
                <c:pt idx="60">
                  <c:v>110.06</c:v>
                </c:pt>
                <c:pt idx="61">
                  <c:v>108.9</c:v>
                </c:pt>
                <c:pt idx="62">
                  <c:v>110.65</c:v>
                </c:pt>
                <c:pt idx="63">
                  <c:v>110.65</c:v>
                </c:pt>
                <c:pt idx="64">
                  <c:v>110.65</c:v>
                </c:pt>
                <c:pt idx="65">
                  <c:v>107.99</c:v>
                </c:pt>
                <c:pt idx="66">
                  <c:v>109.65</c:v>
                </c:pt>
                <c:pt idx="67">
                  <c:v>107.83</c:v>
                </c:pt>
                <c:pt idx="68">
                  <c:v>107.53</c:v>
                </c:pt>
                <c:pt idx="69">
                  <c:v>107.74</c:v>
                </c:pt>
                <c:pt idx="70">
                  <c:v>107.74</c:v>
                </c:pt>
                <c:pt idx="71">
                  <c:v>107.74</c:v>
                </c:pt>
                <c:pt idx="72">
                  <c:v>105.76</c:v>
                </c:pt>
                <c:pt idx="73">
                  <c:v>104.45</c:v>
                </c:pt>
                <c:pt idx="74">
                  <c:v>105.03</c:v>
                </c:pt>
                <c:pt idx="75">
                  <c:v>103.61</c:v>
                </c:pt>
                <c:pt idx="76">
                  <c:v>107.88</c:v>
                </c:pt>
                <c:pt idx="77">
                  <c:v>107.88</c:v>
                </c:pt>
                <c:pt idx="78">
                  <c:v>107.88</c:v>
                </c:pt>
                <c:pt idx="79">
                  <c:v>111.14</c:v>
                </c:pt>
                <c:pt idx="80">
                  <c:v>111.16</c:v>
                </c:pt>
                <c:pt idx="81">
                  <c:v>108.15</c:v>
                </c:pt>
                <c:pt idx="82">
                  <c:v>104.36</c:v>
                </c:pt>
                <c:pt idx="83">
                  <c:v>104.92</c:v>
                </c:pt>
                <c:pt idx="84">
                  <c:v>104.92</c:v>
                </c:pt>
                <c:pt idx="85">
                  <c:v>104.92</c:v>
                </c:pt>
                <c:pt idx="86">
                  <c:v>105.88</c:v>
                </c:pt>
                <c:pt idx="87">
                  <c:v>119.16</c:v>
                </c:pt>
                <c:pt idx="88">
                  <c:v>104.71</c:v>
                </c:pt>
                <c:pt idx="89">
                  <c:v>106.17</c:v>
                </c:pt>
                <c:pt idx="90">
                  <c:v>105.94</c:v>
                </c:pt>
                <c:pt idx="91">
                  <c:v>105.94</c:v>
                </c:pt>
                <c:pt idx="92">
                  <c:v>105.94</c:v>
                </c:pt>
                <c:pt idx="93">
                  <c:v>106.81</c:v>
                </c:pt>
                <c:pt idx="94">
                  <c:v>104.49</c:v>
                </c:pt>
                <c:pt idx="95">
                  <c:v>102.78</c:v>
                </c:pt>
                <c:pt idx="96">
                  <c:v>101.98</c:v>
                </c:pt>
                <c:pt idx="97">
                  <c:v>100.52</c:v>
                </c:pt>
                <c:pt idx="98">
                  <c:v>100.52</c:v>
                </c:pt>
                <c:pt idx="99">
                  <c:v>100.52</c:v>
                </c:pt>
                <c:pt idx="100">
                  <c:v>100.74</c:v>
                </c:pt>
                <c:pt idx="101">
                  <c:v>101.61</c:v>
                </c:pt>
                <c:pt idx="102">
                  <c:v>102.37</c:v>
                </c:pt>
                <c:pt idx="103">
                  <c:v>101.16</c:v>
                </c:pt>
                <c:pt idx="104">
                  <c:v>102.9</c:v>
                </c:pt>
                <c:pt idx="105">
                  <c:v>102.9</c:v>
                </c:pt>
                <c:pt idx="106">
                  <c:v>102.9</c:v>
                </c:pt>
                <c:pt idx="107">
                  <c:v>102.9</c:v>
                </c:pt>
                <c:pt idx="108">
                  <c:v>103.17</c:v>
                </c:pt>
                <c:pt idx="109">
                  <c:v>101.88</c:v>
                </c:pt>
                <c:pt idx="110">
                  <c:v>99.63</c:v>
                </c:pt>
                <c:pt idx="111">
                  <c:v>99.16</c:v>
                </c:pt>
                <c:pt idx="112">
                  <c:v>99.16</c:v>
                </c:pt>
                <c:pt idx="113">
                  <c:v>99.16</c:v>
                </c:pt>
                <c:pt idx="114">
                  <c:v>98.58</c:v>
                </c:pt>
                <c:pt idx="115">
                  <c:v>99.34</c:v>
                </c:pt>
                <c:pt idx="116">
                  <c:v>101.86</c:v>
                </c:pt>
                <c:pt idx="117">
                  <c:v>101.55</c:v>
                </c:pt>
                <c:pt idx="118">
                  <c:v>102.1</c:v>
                </c:pt>
                <c:pt idx="119">
                  <c:v>102.1</c:v>
                </c:pt>
                <c:pt idx="120">
                  <c:v>102.1</c:v>
                </c:pt>
                <c:pt idx="121">
                  <c:v>103.07</c:v>
                </c:pt>
                <c:pt idx="122">
                  <c:v>103.07</c:v>
                </c:pt>
                <c:pt idx="123">
                  <c:v>100.61</c:v>
                </c:pt>
                <c:pt idx="124">
                  <c:v>100.21</c:v>
                </c:pt>
                <c:pt idx="125">
                  <c:v>96.38</c:v>
                </c:pt>
                <c:pt idx="126">
                  <c:v>96.38</c:v>
                </c:pt>
                <c:pt idx="127">
                  <c:v>96.38</c:v>
                </c:pt>
                <c:pt idx="128">
                  <c:v>94.83</c:v>
                </c:pt>
                <c:pt idx="129">
                  <c:v>92.66</c:v>
                </c:pt>
                <c:pt idx="130">
                  <c:v>96.1</c:v>
                </c:pt>
                <c:pt idx="131">
                  <c:v>97.55</c:v>
                </c:pt>
                <c:pt idx="132">
                  <c:v>98.13</c:v>
                </c:pt>
                <c:pt idx="133">
                  <c:v>98.13</c:v>
                </c:pt>
                <c:pt idx="134">
                  <c:v>98.13</c:v>
                </c:pt>
                <c:pt idx="135">
                  <c:v>95.67</c:v>
                </c:pt>
                <c:pt idx="136">
                  <c:v>95.4</c:v>
                </c:pt>
                <c:pt idx="137">
                  <c:v>97.19</c:v>
                </c:pt>
                <c:pt idx="138">
                  <c:v>96.91</c:v>
                </c:pt>
                <c:pt idx="139">
                  <c:v>95.93</c:v>
                </c:pt>
                <c:pt idx="140">
                  <c:v>95.93</c:v>
                </c:pt>
                <c:pt idx="141">
                  <c:v>95.93</c:v>
                </c:pt>
                <c:pt idx="142">
                  <c:v>94.07</c:v>
                </c:pt>
                <c:pt idx="143">
                  <c:v>93.45</c:v>
                </c:pt>
                <c:pt idx="144">
                  <c:v>95.52</c:v>
                </c:pt>
                <c:pt idx="145">
                  <c:v>95.1</c:v>
                </c:pt>
                <c:pt idx="146">
                  <c:v>95.1</c:v>
                </c:pt>
                <c:pt idx="147">
                  <c:v>95.1</c:v>
                </c:pt>
                <c:pt idx="148">
                  <c:v>95.1</c:v>
                </c:pt>
                <c:pt idx="149">
                  <c:v>95.01</c:v>
                </c:pt>
                <c:pt idx="150">
                  <c:v>96.77</c:v>
                </c:pt>
                <c:pt idx="151">
                  <c:v>96.36</c:v>
                </c:pt>
                <c:pt idx="152">
                  <c:v>97.17</c:v>
                </c:pt>
                <c:pt idx="153">
                  <c:v>99.64</c:v>
                </c:pt>
                <c:pt idx="154">
                  <c:v>99.64</c:v>
                </c:pt>
                <c:pt idx="155">
                  <c:v>99.64</c:v>
                </c:pt>
                <c:pt idx="156">
                  <c:v>97.01</c:v>
                </c:pt>
                <c:pt idx="157">
                  <c:v>94.3</c:v>
                </c:pt>
                <c:pt idx="158">
                  <c:v>93.95</c:v>
                </c:pt>
                <c:pt idx="159">
                  <c:v>92.67</c:v>
                </c:pt>
                <c:pt idx="160">
                  <c:v>91.23</c:v>
                </c:pt>
                <c:pt idx="161">
                  <c:v>91.23</c:v>
                </c:pt>
                <c:pt idx="162">
                  <c:v>91.23</c:v>
                </c:pt>
                <c:pt idx="163">
                  <c:v>90.73</c:v>
                </c:pt>
                <c:pt idx="164">
                  <c:v>95.55</c:v>
                </c:pt>
                <c:pt idx="165">
                  <c:v>96.87</c:v>
                </c:pt>
                <c:pt idx="166">
                  <c:v>92.8</c:v>
                </c:pt>
                <c:pt idx="167">
                  <c:v>92.91</c:v>
                </c:pt>
                <c:pt idx="168">
                  <c:v>92.91</c:v>
                </c:pt>
                <c:pt idx="169">
                  <c:v>92.91</c:v>
                </c:pt>
                <c:pt idx="170">
                  <c:v>92.48</c:v>
                </c:pt>
                <c:pt idx="171">
                  <c:v>93.37</c:v>
                </c:pt>
                <c:pt idx="172">
                  <c:v>96.84</c:v>
                </c:pt>
                <c:pt idx="173">
                  <c:v>95.5</c:v>
                </c:pt>
                <c:pt idx="174">
                  <c:v>94.81</c:v>
                </c:pt>
                <c:pt idx="175">
                  <c:v>94.81</c:v>
                </c:pt>
                <c:pt idx="176">
                  <c:v>94.81</c:v>
                </c:pt>
                <c:pt idx="177">
                  <c:v>92.68</c:v>
                </c:pt>
                <c:pt idx="178">
                  <c:v>93.3</c:v>
                </c:pt>
                <c:pt idx="179">
                  <c:v>93.1</c:v>
                </c:pt>
                <c:pt idx="180">
                  <c:v>90.17</c:v>
                </c:pt>
                <c:pt idx="181">
                  <c:v>91.49</c:v>
                </c:pt>
                <c:pt idx="182">
                  <c:v>91.49</c:v>
                </c:pt>
                <c:pt idx="183">
                  <c:v>91.49</c:v>
                </c:pt>
                <c:pt idx="184">
                  <c:v>91.49</c:v>
                </c:pt>
                <c:pt idx="185">
                  <c:v>92.5</c:v>
                </c:pt>
                <c:pt idx="186">
                  <c:v>96.55</c:v>
                </c:pt>
                <c:pt idx="187">
                  <c:v>98.75</c:v>
                </c:pt>
                <c:pt idx="188">
                  <c:v>98.99</c:v>
                </c:pt>
                <c:pt idx="189">
                  <c:v>98.99</c:v>
                </c:pt>
                <c:pt idx="190">
                  <c:v>98.99</c:v>
                </c:pt>
                <c:pt idx="191">
                  <c:v>94.68</c:v>
                </c:pt>
                <c:pt idx="192">
                  <c:v>92.58</c:v>
                </c:pt>
                <c:pt idx="193">
                  <c:v>90.33</c:v>
                </c:pt>
                <c:pt idx="194">
                  <c:v>93.45</c:v>
                </c:pt>
                <c:pt idx="195">
                  <c:v>92.29</c:v>
                </c:pt>
                <c:pt idx="196">
                  <c:v>92.29</c:v>
                </c:pt>
                <c:pt idx="197">
                  <c:v>92.29</c:v>
                </c:pt>
                <c:pt idx="198">
                  <c:v>92.97</c:v>
                </c:pt>
                <c:pt idx="199">
                  <c:v>93.08</c:v>
                </c:pt>
                <c:pt idx="200">
                  <c:v>91.4</c:v>
                </c:pt>
                <c:pt idx="201">
                  <c:v>90.9</c:v>
                </c:pt>
                <c:pt idx="202">
                  <c:v>91.01</c:v>
                </c:pt>
                <c:pt idx="203">
                  <c:v>91.01</c:v>
                </c:pt>
                <c:pt idx="204">
                  <c:v>91.01</c:v>
                </c:pt>
                <c:pt idx="205">
                  <c:v>92.21</c:v>
                </c:pt>
                <c:pt idx="206">
                  <c:v>92.8</c:v>
                </c:pt>
                <c:pt idx="207">
                  <c:v>94.03</c:v>
                </c:pt>
                <c:pt idx="208">
                  <c:v>93.2</c:v>
                </c:pt>
                <c:pt idx="209">
                  <c:v>89.2</c:v>
                </c:pt>
                <c:pt idx="210">
                  <c:v>89.2</c:v>
                </c:pt>
                <c:pt idx="211">
                  <c:v>89.2</c:v>
                </c:pt>
                <c:pt idx="212">
                  <c:v>88.72</c:v>
                </c:pt>
                <c:pt idx="213">
                  <c:v>89.39</c:v>
                </c:pt>
                <c:pt idx="214">
                  <c:v>87.97</c:v>
                </c:pt>
                <c:pt idx="215">
                  <c:v>91.7</c:v>
                </c:pt>
                <c:pt idx="216">
                  <c:v>83.03</c:v>
                </c:pt>
                <c:pt idx="217">
                  <c:v>83.03</c:v>
                </c:pt>
                <c:pt idx="218">
                  <c:v>83.03</c:v>
                </c:pt>
                <c:pt idx="219">
                  <c:v>80.87</c:v>
                </c:pt>
                <c:pt idx="220">
                  <c:v>86.46</c:v>
                </c:pt>
                <c:pt idx="221">
                  <c:v>87.63</c:v>
                </c:pt>
                <c:pt idx="222">
                  <c:v>87.37</c:v>
                </c:pt>
                <c:pt idx="223">
                  <c:v>87.18</c:v>
                </c:pt>
                <c:pt idx="224">
                  <c:v>87.18</c:v>
                </c:pt>
                <c:pt idx="225">
                  <c:v>87.18</c:v>
                </c:pt>
                <c:pt idx="226">
                  <c:v>82.65</c:v>
                </c:pt>
                <c:pt idx="227">
                  <c:v>84.19</c:v>
                </c:pt>
                <c:pt idx="228">
                  <c:v>88.54</c:v>
                </c:pt>
                <c:pt idx="229">
                  <c:v>90.46</c:v>
                </c:pt>
                <c:pt idx="230">
                  <c:v>90.39</c:v>
                </c:pt>
                <c:pt idx="231">
                  <c:v>90.39</c:v>
                </c:pt>
                <c:pt idx="232">
                  <c:v>90.39</c:v>
                </c:pt>
                <c:pt idx="233">
                  <c:v>88.78</c:v>
                </c:pt>
                <c:pt idx="234">
                  <c:v>87.89</c:v>
                </c:pt>
                <c:pt idx="235">
                  <c:v>88.07</c:v>
                </c:pt>
                <c:pt idx="236">
                  <c:v>89.34</c:v>
                </c:pt>
                <c:pt idx="237">
                  <c:v>91.04</c:v>
                </c:pt>
                <c:pt idx="238">
                  <c:v>91.04</c:v>
                </c:pt>
                <c:pt idx="239">
                  <c:v>91.04</c:v>
                </c:pt>
                <c:pt idx="240">
                  <c:v>90.11</c:v>
                </c:pt>
                <c:pt idx="241">
                  <c:v>92.04</c:v>
                </c:pt>
                <c:pt idx="242">
                  <c:v>90.96</c:v>
                </c:pt>
                <c:pt idx="243">
                  <c:v>95.1</c:v>
                </c:pt>
                <c:pt idx="244">
                  <c:v>95.1</c:v>
                </c:pt>
                <c:pt idx="245">
                  <c:v>95.1</c:v>
                </c:pt>
                <c:pt idx="246">
                  <c:v>95.1</c:v>
                </c:pt>
                <c:pt idx="247">
                  <c:v>108.6</c:v>
                </c:pt>
                <c:pt idx="248">
                  <c:v>106.15</c:v>
                </c:pt>
                <c:pt idx="249">
                  <c:v>113.98</c:v>
                </c:pt>
                <c:pt idx="250">
                  <c:v>109.41</c:v>
                </c:pt>
                <c:pt idx="251">
                  <c:v>108.3</c:v>
                </c:pt>
                <c:pt idx="252">
                  <c:v>108.3</c:v>
                </c:pt>
                <c:pt idx="253">
                  <c:v>108.3</c:v>
                </c:pt>
                <c:pt idx="254">
                  <c:v>108.77</c:v>
                </c:pt>
                <c:pt idx="255">
                  <c:v>106.78</c:v>
                </c:pt>
                <c:pt idx="256">
                  <c:v>107.64</c:v>
                </c:pt>
                <c:pt idx="257">
                  <c:v>106.7</c:v>
                </c:pt>
                <c:pt idx="258">
                  <c:v>107.9</c:v>
                </c:pt>
                <c:pt idx="259">
                  <c:v>107.9</c:v>
                </c:pt>
                <c:pt idx="260">
                  <c:v>107.9</c:v>
                </c:pt>
                <c:pt idx="261">
                  <c:v>115.8</c:v>
                </c:pt>
                <c:pt idx="262">
                  <c:v>112.38</c:v>
                </c:pt>
                <c:pt idx="263">
                  <c:v>111.21</c:v>
                </c:pt>
                <c:pt idx="264">
                  <c:v>109.38</c:v>
                </c:pt>
                <c:pt idx="265">
                  <c:v>106.7</c:v>
                </c:pt>
                <c:pt idx="266">
                  <c:v>106.7</c:v>
                </c:pt>
                <c:pt idx="267">
                  <c:v>106.7</c:v>
                </c:pt>
                <c:pt idx="268">
                  <c:v>110.48</c:v>
                </c:pt>
                <c:pt idx="269">
                  <c:v>112.03</c:v>
                </c:pt>
                <c:pt idx="270">
                  <c:v>114.23</c:v>
                </c:pt>
                <c:pt idx="271">
                  <c:v>113.63</c:v>
                </c:pt>
                <c:pt idx="272">
                  <c:v>113.63</c:v>
                </c:pt>
                <c:pt idx="273">
                  <c:v>113.63</c:v>
                </c:pt>
                <c:pt idx="274">
                  <c:v>113.63</c:v>
                </c:pt>
                <c:pt idx="275">
                  <c:v>111.91</c:v>
                </c:pt>
                <c:pt idx="276">
                  <c:v>112.51</c:v>
                </c:pt>
                <c:pt idx="277">
                  <c:v>109.97</c:v>
                </c:pt>
                <c:pt idx="278">
                  <c:v>107</c:v>
                </c:pt>
                <c:pt idx="279">
                  <c:v>101.93</c:v>
                </c:pt>
                <c:pt idx="280">
                  <c:v>101.93</c:v>
                </c:pt>
                <c:pt idx="281">
                  <c:v>101.93</c:v>
                </c:pt>
                <c:pt idx="282">
                  <c:v>104.73</c:v>
                </c:pt>
                <c:pt idx="283">
                  <c:v>104.73</c:v>
                </c:pt>
                <c:pt idx="284">
                  <c:v>103.68</c:v>
                </c:pt>
                <c:pt idx="285">
                  <c:v>104.75</c:v>
                </c:pt>
                <c:pt idx="286">
                  <c:v>107.54</c:v>
                </c:pt>
                <c:pt idx="287">
                  <c:v>107.54</c:v>
                </c:pt>
                <c:pt idx="288">
                  <c:v>107.54</c:v>
                </c:pt>
                <c:pt idx="289">
                  <c:v>105.63</c:v>
                </c:pt>
                <c:pt idx="290">
                  <c:v>102.92</c:v>
                </c:pt>
                <c:pt idx="291">
                  <c:v>102.92</c:v>
                </c:pt>
                <c:pt idx="292">
                  <c:v>102.03</c:v>
                </c:pt>
                <c:pt idx="293">
                  <c:v>101.14</c:v>
                </c:pt>
                <c:pt idx="294">
                  <c:v>101.14</c:v>
                </c:pt>
                <c:pt idx="295">
                  <c:v>101.14</c:v>
                </c:pt>
                <c:pt idx="296">
                  <c:v>102.07</c:v>
                </c:pt>
                <c:pt idx="297">
                  <c:v>102.75</c:v>
                </c:pt>
                <c:pt idx="298">
                  <c:v>102.75</c:v>
                </c:pt>
                <c:pt idx="299">
                  <c:v>100.59</c:v>
                </c:pt>
                <c:pt idx="300">
                  <c:v>102.89</c:v>
                </c:pt>
                <c:pt idx="301">
                  <c:v>102.89</c:v>
                </c:pt>
                <c:pt idx="302">
                  <c:v>102.89</c:v>
                </c:pt>
                <c:pt idx="303">
                  <c:v>104.37</c:v>
                </c:pt>
                <c:pt idx="304">
                  <c:v>103.53</c:v>
                </c:pt>
                <c:pt idx="305">
                  <c:v>106.66</c:v>
                </c:pt>
                <c:pt idx="306">
                  <c:v>112.24</c:v>
                </c:pt>
                <c:pt idx="307">
                  <c:v>108.12</c:v>
                </c:pt>
                <c:pt idx="308">
                  <c:v>108.12</c:v>
                </c:pt>
                <c:pt idx="309">
                  <c:v>108.12</c:v>
                </c:pt>
                <c:pt idx="310">
                  <c:v>105.89</c:v>
                </c:pt>
                <c:pt idx="311">
                  <c:v>105.76</c:v>
                </c:pt>
                <c:pt idx="312">
                  <c:v>104.2</c:v>
                </c:pt>
                <c:pt idx="313">
                  <c:v>101.79</c:v>
                </c:pt>
                <c:pt idx="314">
                  <c:v>99.22</c:v>
                </c:pt>
                <c:pt idx="315">
                  <c:v>99.22</c:v>
                </c:pt>
                <c:pt idx="316">
                  <c:v>99.22</c:v>
                </c:pt>
                <c:pt idx="317">
                  <c:v>97.3</c:v>
                </c:pt>
                <c:pt idx="318">
                  <c:v>97.25</c:v>
                </c:pt>
                <c:pt idx="319">
                  <c:v>98.64</c:v>
                </c:pt>
                <c:pt idx="320">
                  <c:v>98.14</c:v>
                </c:pt>
                <c:pt idx="321">
                  <c:v>97.61</c:v>
                </c:pt>
                <c:pt idx="322">
                  <c:v>97.61</c:v>
                </c:pt>
                <c:pt idx="323">
                  <c:v>97.61</c:v>
                </c:pt>
                <c:pt idx="324">
                  <c:v>97.15</c:v>
                </c:pt>
                <c:pt idx="325">
                  <c:v>97.15</c:v>
                </c:pt>
                <c:pt idx="326">
                  <c:v>96.62</c:v>
                </c:pt>
                <c:pt idx="327">
                  <c:v>96.49</c:v>
                </c:pt>
                <c:pt idx="328">
                  <c:v>95.96</c:v>
                </c:pt>
                <c:pt idx="329">
                  <c:v>95.96</c:v>
                </c:pt>
                <c:pt idx="330">
                  <c:v>95.96</c:v>
                </c:pt>
                <c:pt idx="331">
                  <c:v>95.78</c:v>
                </c:pt>
                <c:pt idx="332">
                  <c:v>94.78</c:v>
                </c:pt>
                <c:pt idx="333">
                  <c:v>95.14</c:v>
                </c:pt>
                <c:pt idx="334">
                  <c:v>93.97</c:v>
                </c:pt>
                <c:pt idx="335">
                  <c:v>90.43</c:v>
                </c:pt>
                <c:pt idx="336">
                  <c:v>90.43</c:v>
                </c:pt>
                <c:pt idx="337">
                  <c:v>90.43</c:v>
                </c:pt>
                <c:pt idx="338">
                  <c:v>90.44</c:v>
                </c:pt>
                <c:pt idx="339">
                  <c:v>91.29</c:v>
                </c:pt>
                <c:pt idx="340">
                  <c:v>92.86</c:v>
                </c:pt>
                <c:pt idx="341">
                  <c:v>91.03</c:v>
                </c:pt>
                <c:pt idx="342">
                  <c:v>90.95</c:v>
                </c:pt>
                <c:pt idx="343">
                  <c:v>90.95</c:v>
                </c:pt>
                <c:pt idx="344">
                  <c:v>90.95</c:v>
                </c:pt>
                <c:pt idx="345">
                  <c:v>89.37</c:v>
                </c:pt>
                <c:pt idx="346">
                  <c:v>90.71</c:v>
                </c:pt>
                <c:pt idx="347">
                  <c:v>88.71</c:v>
                </c:pt>
                <c:pt idx="348">
                  <c:v>87.31</c:v>
                </c:pt>
                <c:pt idx="349">
                  <c:v>87.11</c:v>
                </c:pt>
                <c:pt idx="350">
                  <c:v>87.11</c:v>
                </c:pt>
                <c:pt idx="351">
                  <c:v>87.11</c:v>
                </c:pt>
                <c:pt idx="352">
                  <c:v>87.78</c:v>
                </c:pt>
                <c:pt idx="353">
                  <c:v>89</c:v>
                </c:pt>
                <c:pt idx="354">
                  <c:v>90.2</c:v>
                </c:pt>
                <c:pt idx="355">
                  <c:v>90.16</c:v>
                </c:pt>
                <c:pt idx="356">
                  <c:v>89.43</c:v>
                </c:pt>
                <c:pt idx="357">
                  <c:v>89.43</c:v>
                </c:pt>
                <c:pt idx="358">
                  <c:v>89.43</c:v>
                </c:pt>
                <c:pt idx="359">
                  <c:v>90.17</c:v>
                </c:pt>
                <c:pt idx="360">
                  <c:v>88.46</c:v>
                </c:pt>
                <c:pt idx="361">
                  <c:v>88.56</c:v>
                </c:pt>
                <c:pt idx="362">
                  <c:v>91.16</c:v>
                </c:pt>
                <c:pt idx="363">
                  <c:v>92.76</c:v>
                </c:pt>
                <c:pt idx="364">
                  <c:v>92.76</c:v>
                </c:pt>
                <c:pt idx="365">
                  <c:v>92.76</c:v>
                </c:pt>
                <c:pt idx="366">
                  <c:v>94.4</c:v>
                </c:pt>
                <c:pt idx="367">
                  <c:v>94.16</c:v>
                </c:pt>
                <c:pt idx="368">
                  <c:v>92.22</c:v>
                </c:pt>
                <c:pt idx="369">
                  <c:v>90.56</c:v>
                </c:pt>
                <c:pt idx="370">
                  <c:v>90.45</c:v>
                </c:pt>
                <c:pt idx="371">
                  <c:v>90.45</c:v>
                </c:pt>
                <c:pt idx="372">
                  <c:v>90.45</c:v>
                </c:pt>
                <c:pt idx="373">
                  <c:v>89.5</c:v>
                </c:pt>
                <c:pt idx="374">
                  <c:v>89.9</c:v>
                </c:pt>
                <c:pt idx="375">
                  <c:v>87.4</c:v>
                </c:pt>
                <c:pt idx="376">
                  <c:v>86.49</c:v>
                </c:pt>
                <c:pt idx="377">
                  <c:v>84.57</c:v>
                </c:pt>
                <c:pt idx="378">
                  <c:v>84.57</c:v>
                </c:pt>
                <c:pt idx="379">
                  <c:v>84.57</c:v>
                </c:pt>
                <c:pt idx="380">
                  <c:v>79.62</c:v>
                </c:pt>
                <c:pt idx="381">
                  <c:v>75.41</c:v>
                </c:pt>
                <c:pt idx="382">
                  <c:v>76.84</c:v>
                </c:pt>
                <c:pt idx="383">
                  <c:v>74.84</c:v>
                </c:pt>
                <c:pt idx="384">
                  <c:v>74.650000000000006</c:v>
                </c:pt>
                <c:pt idx="385">
                  <c:v>74.650000000000006</c:v>
                </c:pt>
                <c:pt idx="386">
                  <c:v>74.650000000000006</c:v>
                </c:pt>
                <c:pt idx="387">
                  <c:v>73.25</c:v>
                </c:pt>
                <c:pt idx="388">
                  <c:v>73.14</c:v>
                </c:pt>
                <c:pt idx="389">
                  <c:v>74.900000000000006</c:v>
                </c:pt>
                <c:pt idx="390">
                  <c:v>74.61</c:v>
                </c:pt>
                <c:pt idx="391">
                  <c:v>74.73</c:v>
                </c:pt>
                <c:pt idx="392">
                  <c:v>74.73</c:v>
                </c:pt>
                <c:pt idx="393">
                  <c:v>74.73</c:v>
                </c:pt>
                <c:pt idx="394">
                  <c:v>73.69</c:v>
                </c:pt>
                <c:pt idx="395">
                  <c:v>71.319999999999993</c:v>
                </c:pt>
                <c:pt idx="396">
                  <c:v>70.95</c:v>
                </c:pt>
                <c:pt idx="397">
                  <c:v>70.11</c:v>
                </c:pt>
                <c:pt idx="398">
                  <c:v>69.38</c:v>
                </c:pt>
                <c:pt idx="399">
                  <c:v>69.38</c:v>
                </c:pt>
                <c:pt idx="400">
                  <c:v>69.38</c:v>
                </c:pt>
                <c:pt idx="401">
                  <c:v>69.349999999999994</c:v>
                </c:pt>
                <c:pt idx="402">
                  <c:v>69.040000000000006</c:v>
                </c:pt>
                <c:pt idx="403">
                  <c:v>69.290000000000006</c:v>
                </c:pt>
                <c:pt idx="404">
                  <c:v>68.45</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Sensitivity!$AJ$28:$AJ$34</c:f>
              <c:numCache>
                <c:formatCode>General</c:formatCode>
                <c:ptCount val="7"/>
                <c:pt idx="0">
                  <c:v>-45.59</c:v>
                </c:pt>
                <c:pt idx="1">
                  <c:v>-45.59</c:v>
                </c:pt>
                <c:pt idx="2">
                  <c:v>-45.59</c:v>
                </c:pt>
                <c:pt idx="3">
                  <c:v>-45.59</c:v>
                </c:pt>
                <c:pt idx="4">
                  <c:v>-45.59</c:v>
                </c:pt>
                <c:pt idx="5">
                  <c:v>-45.59</c:v>
                </c:pt>
                <c:pt idx="6">
                  <c:v>-45.59</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Sensitivity!$AK$28:$AK$34</c:f>
              <c:numCache>
                <c:formatCode>General</c:formatCode>
                <c:ptCount val="7"/>
                <c:pt idx="0">
                  <c:v>-45.59</c:v>
                </c:pt>
                <c:pt idx="1">
                  <c:v>-45.59</c:v>
                </c:pt>
                <c:pt idx="2">
                  <c:v>-45.59</c:v>
                </c:pt>
                <c:pt idx="3">
                  <c:v>-45.59</c:v>
                </c:pt>
                <c:pt idx="4">
                  <c:v>-45.59</c:v>
                </c:pt>
                <c:pt idx="5">
                  <c:v>-45.59</c:v>
                </c:pt>
                <c:pt idx="6">
                  <c:v>-45.59</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0.36678873350991714</c:v>
                </c:pt>
                <c:pt idx="1">
                  <c:v>0.48001130958397886</c:v>
                </c:pt>
                <c:pt idx="2">
                  <c:v>0.19751987507053542</c:v>
                </c:pt>
                <c:pt idx="3">
                  <c:v>0.29220077440929743</c:v>
                </c:pt>
                <c:pt idx="4">
                  <c:v>0.41123863436982316</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45940</c:v>
                </c:pt>
                <c:pt idx="1">
                  <c:v>45939</c:v>
                </c:pt>
                <c:pt idx="2">
                  <c:v>45938</c:v>
                </c:pt>
                <c:pt idx="3">
                  <c:v>45937</c:v>
                </c:pt>
                <c:pt idx="4">
                  <c:v>45936</c:v>
                </c:pt>
                <c:pt idx="5">
                  <c:v>45935</c:v>
                </c:pt>
                <c:pt idx="6">
                  <c:v>45934</c:v>
                </c:pt>
                <c:pt idx="7">
                  <c:v>45933</c:v>
                </c:pt>
                <c:pt idx="8">
                  <c:v>45932</c:v>
                </c:pt>
                <c:pt idx="9">
                  <c:v>45931</c:v>
                </c:pt>
                <c:pt idx="10">
                  <c:v>45930</c:v>
                </c:pt>
                <c:pt idx="11">
                  <c:v>45929</c:v>
                </c:pt>
                <c:pt idx="12">
                  <c:v>45928</c:v>
                </c:pt>
                <c:pt idx="13">
                  <c:v>45927</c:v>
                </c:pt>
                <c:pt idx="14">
                  <c:v>45926</c:v>
                </c:pt>
                <c:pt idx="15">
                  <c:v>45925</c:v>
                </c:pt>
                <c:pt idx="16">
                  <c:v>45924</c:v>
                </c:pt>
                <c:pt idx="17">
                  <c:v>45923</c:v>
                </c:pt>
                <c:pt idx="18">
                  <c:v>45922</c:v>
                </c:pt>
                <c:pt idx="19">
                  <c:v>45921</c:v>
                </c:pt>
                <c:pt idx="20">
                  <c:v>45920</c:v>
                </c:pt>
                <c:pt idx="21">
                  <c:v>45919</c:v>
                </c:pt>
                <c:pt idx="22">
                  <c:v>45918</c:v>
                </c:pt>
                <c:pt idx="23">
                  <c:v>45917</c:v>
                </c:pt>
                <c:pt idx="24">
                  <c:v>45916</c:v>
                </c:pt>
                <c:pt idx="25">
                  <c:v>45915</c:v>
                </c:pt>
                <c:pt idx="26">
                  <c:v>45914</c:v>
                </c:pt>
                <c:pt idx="27">
                  <c:v>45913</c:v>
                </c:pt>
                <c:pt idx="28">
                  <c:v>45912</c:v>
                </c:pt>
                <c:pt idx="29">
                  <c:v>45911</c:v>
                </c:pt>
                <c:pt idx="30">
                  <c:v>45910</c:v>
                </c:pt>
                <c:pt idx="31">
                  <c:v>45909</c:v>
                </c:pt>
                <c:pt idx="32">
                  <c:v>45908</c:v>
                </c:pt>
                <c:pt idx="33">
                  <c:v>45907</c:v>
                </c:pt>
                <c:pt idx="34">
                  <c:v>45906</c:v>
                </c:pt>
                <c:pt idx="35">
                  <c:v>45905</c:v>
                </c:pt>
                <c:pt idx="36">
                  <c:v>45904</c:v>
                </c:pt>
                <c:pt idx="37">
                  <c:v>45903</c:v>
                </c:pt>
                <c:pt idx="38">
                  <c:v>45902</c:v>
                </c:pt>
                <c:pt idx="39">
                  <c:v>45901</c:v>
                </c:pt>
                <c:pt idx="40">
                  <c:v>45900</c:v>
                </c:pt>
                <c:pt idx="41">
                  <c:v>45899</c:v>
                </c:pt>
                <c:pt idx="42">
                  <c:v>45898</c:v>
                </c:pt>
                <c:pt idx="43">
                  <c:v>45897</c:v>
                </c:pt>
                <c:pt idx="44">
                  <c:v>45896</c:v>
                </c:pt>
                <c:pt idx="45">
                  <c:v>45895</c:v>
                </c:pt>
                <c:pt idx="46">
                  <c:v>45894</c:v>
                </c:pt>
                <c:pt idx="47">
                  <c:v>45893</c:v>
                </c:pt>
                <c:pt idx="48">
                  <c:v>45892</c:v>
                </c:pt>
                <c:pt idx="49">
                  <c:v>45891</c:v>
                </c:pt>
                <c:pt idx="50">
                  <c:v>45890</c:v>
                </c:pt>
                <c:pt idx="51">
                  <c:v>45889</c:v>
                </c:pt>
                <c:pt idx="52">
                  <c:v>45888</c:v>
                </c:pt>
                <c:pt idx="53">
                  <c:v>45887</c:v>
                </c:pt>
                <c:pt idx="54">
                  <c:v>45886</c:v>
                </c:pt>
                <c:pt idx="55">
                  <c:v>45885</c:v>
                </c:pt>
                <c:pt idx="56">
                  <c:v>45884</c:v>
                </c:pt>
                <c:pt idx="57">
                  <c:v>45883</c:v>
                </c:pt>
                <c:pt idx="58">
                  <c:v>45882</c:v>
                </c:pt>
                <c:pt idx="59">
                  <c:v>45881</c:v>
                </c:pt>
                <c:pt idx="60">
                  <c:v>45880</c:v>
                </c:pt>
                <c:pt idx="61">
                  <c:v>45879</c:v>
                </c:pt>
                <c:pt idx="62">
                  <c:v>45878</c:v>
                </c:pt>
                <c:pt idx="63">
                  <c:v>45877</c:v>
                </c:pt>
                <c:pt idx="64">
                  <c:v>45876</c:v>
                </c:pt>
                <c:pt idx="65">
                  <c:v>45875</c:v>
                </c:pt>
                <c:pt idx="66">
                  <c:v>45874</c:v>
                </c:pt>
                <c:pt idx="67">
                  <c:v>45873</c:v>
                </c:pt>
                <c:pt idx="68">
                  <c:v>45872</c:v>
                </c:pt>
                <c:pt idx="69">
                  <c:v>45871</c:v>
                </c:pt>
                <c:pt idx="70">
                  <c:v>45870</c:v>
                </c:pt>
                <c:pt idx="71">
                  <c:v>45869</c:v>
                </c:pt>
                <c:pt idx="72">
                  <c:v>45868</c:v>
                </c:pt>
                <c:pt idx="73">
                  <c:v>45867</c:v>
                </c:pt>
                <c:pt idx="74">
                  <c:v>45866</c:v>
                </c:pt>
                <c:pt idx="75">
                  <c:v>45865</c:v>
                </c:pt>
                <c:pt idx="76">
                  <c:v>45864</c:v>
                </c:pt>
                <c:pt idx="77">
                  <c:v>45863</c:v>
                </c:pt>
                <c:pt idx="78">
                  <c:v>45862</c:v>
                </c:pt>
                <c:pt idx="79">
                  <c:v>45861</c:v>
                </c:pt>
                <c:pt idx="80">
                  <c:v>45860</c:v>
                </c:pt>
                <c:pt idx="81">
                  <c:v>45859</c:v>
                </c:pt>
                <c:pt idx="82">
                  <c:v>45858</c:v>
                </c:pt>
                <c:pt idx="83">
                  <c:v>45857</c:v>
                </c:pt>
                <c:pt idx="84">
                  <c:v>45856</c:v>
                </c:pt>
                <c:pt idx="85">
                  <c:v>45855</c:v>
                </c:pt>
                <c:pt idx="86">
                  <c:v>45854</c:v>
                </c:pt>
                <c:pt idx="87">
                  <c:v>45853</c:v>
                </c:pt>
                <c:pt idx="88">
                  <c:v>45852</c:v>
                </c:pt>
                <c:pt idx="89">
                  <c:v>45851</c:v>
                </c:pt>
                <c:pt idx="90">
                  <c:v>45850</c:v>
                </c:pt>
                <c:pt idx="91">
                  <c:v>45849</c:v>
                </c:pt>
                <c:pt idx="92">
                  <c:v>45848</c:v>
                </c:pt>
                <c:pt idx="93">
                  <c:v>45847</c:v>
                </c:pt>
                <c:pt idx="94">
                  <c:v>45846</c:v>
                </c:pt>
                <c:pt idx="95">
                  <c:v>45845</c:v>
                </c:pt>
                <c:pt idx="96">
                  <c:v>45844</c:v>
                </c:pt>
                <c:pt idx="97">
                  <c:v>45843</c:v>
                </c:pt>
                <c:pt idx="98">
                  <c:v>45842</c:v>
                </c:pt>
                <c:pt idx="99">
                  <c:v>45841</c:v>
                </c:pt>
                <c:pt idx="100">
                  <c:v>45840</c:v>
                </c:pt>
                <c:pt idx="101">
                  <c:v>45839</c:v>
                </c:pt>
                <c:pt idx="102">
                  <c:v>45838</c:v>
                </c:pt>
                <c:pt idx="103">
                  <c:v>45837</c:v>
                </c:pt>
                <c:pt idx="104">
                  <c:v>45836</c:v>
                </c:pt>
                <c:pt idx="105">
                  <c:v>45835</c:v>
                </c:pt>
                <c:pt idx="106">
                  <c:v>45834</c:v>
                </c:pt>
                <c:pt idx="107">
                  <c:v>45833</c:v>
                </c:pt>
                <c:pt idx="108">
                  <c:v>45832</c:v>
                </c:pt>
                <c:pt idx="109">
                  <c:v>45831</c:v>
                </c:pt>
                <c:pt idx="110">
                  <c:v>45830</c:v>
                </c:pt>
                <c:pt idx="111">
                  <c:v>45829</c:v>
                </c:pt>
                <c:pt idx="112">
                  <c:v>45828</c:v>
                </c:pt>
                <c:pt idx="113">
                  <c:v>45827</c:v>
                </c:pt>
                <c:pt idx="114">
                  <c:v>45826</c:v>
                </c:pt>
                <c:pt idx="115">
                  <c:v>45825</c:v>
                </c:pt>
                <c:pt idx="116">
                  <c:v>45824</c:v>
                </c:pt>
                <c:pt idx="117">
                  <c:v>45823</c:v>
                </c:pt>
                <c:pt idx="118">
                  <c:v>45822</c:v>
                </c:pt>
                <c:pt idx="119">
                  <c:v>45821</c:v>
                </c:pt>
                <c:pt idx="120">
                  <c:v>45820</c:v>
                </c:pt>
                <c:pt idx="121">
                  <c:v>45819</c:v>
                </c:pt>
                <c:pt idx="122">
                  <c:v>45818</c:v>
                </c:pt>
                <c:pt idx="123">
                  <c:v>45817</c:v>
                </c:pt>
                <c:pt idx="124">
                  <c:v>45816</c:v>
                </c:pt>
                <c:pt idx="125">
                  <c:v>45815</c:v>
                </c:pt>
                <c:pt idx="126">
                  <c:v>45814</c:v>
                </c:pt>
                <c:pt idx="127">
                  <c:v>45813</c:v>
                </c:pt>
                <c:pt idx="128">
                  <c:v>45812</c:v>
                </c:pt>
                <c:pt idx="129">
                  <c:v>45811</c:v>
                </c:pt>
                <c:pt idx="130">
                  <c:v>45810</c:v>
                </c:pt>
                <c:pt idx="131">
                  <c:v>45809</c:v>
                </c:pt>
                <c:pt idx="132">
                  <c:v>45808</c:v>
                </c:pt>
                <c:pt idx="133">
                  <c:v>45807</c:v>
                </c:pt>
                <c:pt idx="134">
                  <c:v>45806</c:v>
                </c:pt>
                <c:pt idx="135">
                  <c:v>45805</c:v>
                </c:pt>
                <c:pt idx="136">
                  <c:v>45804</c:v>
                </c:pt>
                <c:pt idx="137">
                  <c:v>45803</c:v>
                </c:pt>
                <c:pt idx="138">
                  <c:v>45802</c:v>
                </c:pt>
                <c:pt idx="139">
                  <c:v>45801</c:v>
                </c:pt>
                <c:pt idx="140">
                  <c:v>45800</c:v>
                </c:pt>
                <c:pt idx="141">
                  <c:v>45799</c:v>
                </c:pt>
                <c:pt idx="142">
                  <c:v>45798</c:v>
                </c:pt>
                <c:pt idx="143">
                  <c:v>45797</c:v>
                </c:pt>
                <c:pt idx="144">
                  <c:v>45796</c:v>
                </c:pt>
                <c:pt idx="145">
                  <c:v>45795</c:v>
                </c:pt>
                <c:pt idx="146">
                  <c:v>45794</c:v>
                </c:pt>
                <c:pt idx="147">
                  <c:v>45793</c:v>
                </c:pt>
                <c:pt idx="148">
                  <c:v>45792</c:v>
                </c:pt>
                <c:pt idx="149">
                  <c:v>45791</c:v>
                </c:pt>
                <c:pt idx="150">
                  <c:v>45790</c:v>
                </c:pt>
                <c:pt idx="151">
                  <c:v>45789</c:v>
                </c:pt>
                <c:pt idx="152">
                  <c:v>45788</c:v>
                </c:pt>
                <c:pt idx="153">
                  <c:v>45787</c:v>
                </c:pt>
                <c:pt idx="154">
                  <c:v>45786</c:v>
                </c:pt>
                <c:pt idx="155">
                  <c:v>45785</c:v>
                </c:pt>
                <c:pt idx="156">
                  <c:v>45784</c:v>
                </c:pt>
                <c:pt idx="157">
                  <c:v>45783</c:v>
                </c:pt>
                <c:pt idx="158">
                  <c:v>45782</c:v>
                </c:pt>
                <c:pt idx="159">
                  <c:v>45781</c:v>
                </c:pt>
                <c:pt idx="160">
                  <c:v>45780</c:v>
                </c:pt>
                <c:pt idx="161">
                  <c:v>45779</c:v>
                </c:pt>
                <c:pt idx="162">
                  <c:v>45778</c:v>
                </c:pt>
                <c:pt idx="163">
                  <c:v>45777</c:v>
                </c:pt>
                <c:pt idx="164">
                  <c:v>45776</c:v>
                </c:pt>
                <c:pt idx="165">
                  <c:v>45775</c:v>
                </c:pt>
                <c:pt idx="166">
                  <c:v>45774</c:v>
                </c:pt>
                <c:pt idx="167">
                  <c:v>45773</c:v>
                </c:pt>
                <c:pt idx="168">
                  <c:v>45772</c:v>
                </c:pt>
                <c:pt idx="169">
                  <c:v>45771</c:v>
                </c:pt>
                <c:pt idx="170">
                  <c:v>45770</c:v>
                </c:pt>
                <c:pt idx="171">
                  <c:v>45769</c:v>
                </c:pt>
                <c:pt idx="172">
                  <c:v>45768</c:v>
                </c:pt>
                <c:pt idx="173">
                  <c:v>45767</c:v>
                </c:pt>
                <c:pt idx="174">
                  <c:v>45766</c:v>
                </c:pt>
                <c:pt idx="175">
                  <c:v>45765</c:v>
                </c:pt>
                <c:pt idx="176">
                  <c:v>45764</c:v>
                </c:pt>
                <c:pt idx="177">
                  <c:v>45763</c:v>
                </c:pt>
                <c:pt idx="178">
                  <c:v>45762</c:v>
                </c:pt>
                <c:pt idx="179">
                  <c:v>45761</c:v>
                </c:pt>
                <c:pt idx="180">
                  <c:v>45760</c:v>
                </c:pt>
                <c:pt idx="181">
                  <c:v>45759</c:v>
                </c:pt>
                <c:pt idx="182">
                  <c:v>45758</c:v>
                </c:pt>
                <c:pt idx="183">
                  <c:v>45757</c:v>
                </c:pt>
                <c:pt idx="184">
                  <c:v>45756</c:v>
                </c:pt>
                <c:pt idx="185">
                  <c:v>45755</c:v>
                </c:pt>
                <c:pt idx="186">
                  <c:v>45754</c:v>
                </c:pt>
                <c:pt idx="187">
                  <c:v>45753</c:v>
                </c:pt>
                <c:pt idx="188">
                  <c:v>45752</c:v>
                </c:pt>
                <c:pt idx="189">
                  <c:v>45751</c:v>
                </c:pt>
                <c:pt idx="190">
                  <c:v>45750</c:v>
                </c:pt>
                <c:pt idx="191">
                  <c:v>45749</c:v>
                </c:pt>
                <c:pt idx="192">
                  <c:v>45748</c:v>
                </c:pt>
                <c:pt idx="193">
                  <c:v>45747</c:v>
                </c:pt>
                <c:pt idx="194">
                  <c:v>45746</c:v>
                </c:pt>
                <c:pt idx="195">
                  <c:v>45745</c:v>
                </c:pt>
                <c:pt idx="196">
                  <c:v>45744</c:v>
                </c:pt>
                <c:pt idx="197">
                  <c:v>45743</c:v>
                </c:pt>
                <c:pt idx="198">
                  <c:v>45742</c:v>
                </c:pt>
                <c:pt idx="199">
                  <c:v>45741</c:v>
                </c:pt>
                <c:pt idx="200">
                  <c:v>45740</c:v>
                </c:pt>
                <c:pt idx="201">
                  <c:v>45739</c:v>
                </c:pt>
                <c:pt idx="202">
                  <c:v>45738</c:v>
                </c:pt>
                <c:pt idx="203">
                  <c:v>45737</c:v>
                </c:pt>
                <c:pt idx="204">
                  <c:v>45736</c:v>
                </c:pt>
                <c:pt idx="205">
                  <c:v>45735</c:v>
                </c:pt>
                <c:pt idx="206">
                  <c:v>45734</c:v>
                </c:pt>
                <c:pt idx="207">
                  <c:v>45733</c:v>
                </c:pt>
                <c:pt idx="208">
                  <c:v>45732</c:v>
                </c:pt>
                <c:pt idx="209">
                  <c:v>45731</c:v>
                </c:pt>
                <c:pt idx="210">
                  <c:v>45730</c:v>
                </c:pt>
                <c:pt idx="211">
                  <c:v>45729</c:v>
                </c:pt>
                <c:pt idx="212">
                  <c:v>45728</c:v>
                </c:pt>
                <c:pt idx="213">
                  <c:v>45727</c:v>
                </c:pt>
                <c:pt idx="214">
                  <c:v>45726</c:v>
                </c:pt>
                <c:pt idx="215">
                  <c:v>45725</c:v>
                </c:pt>
                <c:pt idx="216">
                  <c:v>45724</c:v>
                </c:pt>
                <c:pt idx="217">
                  <c:v>45723</c:v>
                </c:pt>
                <c:pt idx="218">
                  <c:v>45722</c:v>
                </c:pt>
                <c:pt idx="219">
                  <c:v>45721</c:v>
                </c:pt>
                <c:pt idx="220">
                  <c:v>45720</c:v>
                </c:pt>
                <c:pt idx="221">
                  <c:v>45719</c:v>
                </c:pt>
                <c:pt idx="222">
                  <c:v>45718</c:v>
                </c:pt>
                <c:pt idx="223">
                  <c:v>45717</c:v>
                </c:pt>
                <c:pt idx="224">
                  <c:v>45716</c:v>
                </c:pt>
                <c:pt idx="225">
                  <c:v>45715</c:v>
                </c:pt>
                <c:pt idx="226">
                  <c:v>45714</c:v>
                </c:pt>
                <c:pt idx="227">
                  <c:v>45713</c:v>
                </c:pt>
                <c:pt idx="228">
                  <c:v>45712</c:v>
                </c:pt>
                <c:pt idx="229">
                  <c:v>45711</c:v>
                </c:pt>
                <c:pt idx="230">
                  <c:v>45710</c:v>
                </c:pt>
                <c:pt idx="231">
                  <c:v>45709</c:v>
                </c:pt>
                <c:pt idx="232">
                  <c:v>45708</c:v>
                </c:pt>
                <c:pt idx="233">
                  <c:v>45707</c:v>
                </c:pt>
                <c:pt idx="234">
                  <c:v>45706</c:v>
                </c:pt>
                <c:pt idx="235">
                  <c:v>45705</c:v>
                </c:pt>
                <c:pt idx="236">
                  <c:v>45704</c:v>
                </c:pt>
                <c:pt idx="237">
                  <c:v>45703</c:v>
                </c:pt>
                <c:pt idx="238">
                  <c:v>45702</c:v>
                </c:pt>
                <c:pt idx="239">
                  <c:v>45701</c:v>
                </c:pt>
                <c:pt idx="240">
                  <c:v>45700</c:v>
                </c:pt>
                <c:pt idx="241">
                  <c:v>45699</c:v>
                </c:pt>
                <c:pt idx="242">
                  <c:v>45698</c:v>
                </c:pt>
                <c:pt idx="243">
                  <c:v>45697</c:v>
                </c:pt>
                <c:pt idx="244">
                  <c:v>45696</c:v>
                </c:pt>
                <c:pt idx="245">
                  <c:v>45695</c:v>
                </c:pt>
                <c:pt idx="246">
                  <c:v>45694</c:v>
                </c:pt>
                <c:pt idx="247">
                  <c:v>45693</c:v>
                </c:pt>
                <c:pt idx="248">
                  <c:v>45692</c:v>
                </c:pt>
                <c:pt idx="249">
                  <c:v>45691</c:v>
                </c:pt>
                <c:pt idx="250">
                  <c:v>45690</c:v>
                </c:pt>
                <c:pt idx="251">
                  <c:v>45689</c:v>
                </c:pt>
                <c:pt idx="252">
                  <c:v>45688</c:v>
                </c:pt>
                <c:pt idx="253">
                  <c:v>45687</c:v>
                </c:pt>
                <c:pt idx="254">
                  <c:v>45686</c:v>
                </c:pt>
                <c:pt idx="255">
                  <c:v>45685</c:v>
                </c:pt>
                <c:pt idx="256">
                  <c:v>45684</c:v>
                </c:pt>
                <c:pt idx="257">
                  <c:v>45683</c:v>
                </c:pt>
                <c:pt idx="258">
                  <c:v>45682</c:v>
                </c:pt>
                <c:pt idx="259">
                  <c:v>45681</c:v>
                </c:pt>
                <c:pt idx="260">
                  <c:v>45680</c:v>
                </c:pt>
                <c:pt idx="261">
                  <c:v>45679</c:v>
                </c:pt>
                <c:pt idx="262">
                  <c:v>45678</c:v>
                </c:pt>
                <c:pt idx="263">
                  <c:v>45677</c:v>
                </c:pt>
                <c:pt idx="264">
                  <c:v>45676</c:v>
                </c:pt>
                <c:pt idx="265">
                  <c:v>45675</c:v>
                </c:pt>
                <c:pt idx="266">
                  <c:v>45674</c:v>
                </c:pt>
                <c:pt idx="267">
                  <c:v>45673</c:v>
                </c:pt>
                <c:pt idx="268">
                  <c:v>45672</c:v>
                </c:pt>
                <c:pt idx="269">
                  <c:v>45671</c:v>
                </c:pt>
                <c:pt idx="270">
                  <c:v>45670</c:v>
                </c:pt>
                <c:pt idx="271">
                  <c:v>45669</c:v>
                </c:pt>
                <c:pt idx="272">
                  <c:v>45668</c:v>
                </c:pt>
                <c:pt idx="273">
                  <c:v>45667</c:v>
                </c:pt>
                <c:pt idx="274">
                  <c:v>45666</c:v>
                </c:pt>
                <c:pt idx="275">
                  <c:v>45665</c:v>
                </c:pt>
                <c:pt idx="276">
                  <c:v>45664</c:v>
                </c:pt>
                <c:pt idx="277">
                  <c:v>45663</c:v>
                </c:pt>
                <c:pt idx="278">
                  <c:v>45662</c:v>
                </c:pt>
                <c:pt idx="279">
                  <c:v>45661</c:v>
                </c:pt>
                <c:pt idx="280">
                  <c:v>45660</c:v>
                </c:pt>
                <c:pt idx="281">
                  <c:v>45659</c:v>
                </c:pt>
                <c:pt idx="282">
                  <c:v>45658</c:v>
                </c:pt>
                <c:pt idx="283">
                  <c:v>45657</c:v>
                </c:pt>
                <c:pt idx="284">
                  <c:v>45656</c:v>
                </c:pt>
                <c:pt idx="285">
                  <c:v>45655</c:v>
                </c:pt>
                <c:pt idx="286">
                  <c:v>45654</c:v>
                </c:pt>
                <c:pt idx="287">
                  <c:v>45653</c:v>
                </c:pt>
                <c:pt idx="288">
                  <c:v>45652</c:v>
                </c:pt>
                <c:pt idx="289">
                  <c:v>45651</c:v>
                </c:pt>
                <c:pt idx="290">
                  <c:v>45650</c:v>
                </c:pt>
                <c:pt idx="291">
                  <c:v>45649</c:v>
                </c:pt>
                <c:pt idx="292">
                  <c:v>45648</c:v>
                </c:pt>
                <c:pt idx="293">
                  <c:v>45647</c:v>
                </c:pt>
                <c:pt idx="294">
                  <c:v>45646</c:v>
                </c:pt>
                <c:pt idx="295">
                  <c:v>45645</c:v>
                </c:pt>
                <c:pt idx="296">
                  <c:v>45644</c:v>
                </c:pt>
                <c:pt idx="297">
                  <c:v>45643</c:v>
                </c:pt>
                <c:pt idx="298">
                  <c:v>45642</c:v>
                </c:pt>
                <c:pt idx="299">
                  <c:v>45641</c:v>
                </c:pt>
                <c:pt idx="300">
                  <c:v>45640</c:v>
                </c:pt>
                <c:pt idx="301">
                  <c:v>45639</c:v>
                </c:pt>
                <c:pt idx="302">
                  <c:v>45638</c:v>
                </c:pt>
                <c:pt idx="303">
                  <c:v>45637</c:v>
                </c:pt>
                <c:pt idx="304">
                  <c:v>45636</c:v>
                </c:pt>
                <c:pt idx="305">
                  <c:v>45635</c:v>
                </c:pt>
                <c:pt idx="306">
                  <c:v>45634</c:v>
                </c:pt>
                <c:pt idx="307">
                  <c:v>45633</c:v>
                </c:pt>
                <c:pt idx="308">
                  <c:v>45632</c:v>
                </c:pt>
                <c:pt idx="309">
                  <c:v>45631</c:v>
                </c:pt>
                <c:pt idx="310">
                  <c:v>45630</c:v>
                </c:pt>
                <c:pt idx="311">
                  <c:v>45629</c:v>
                </c:pt>
                <c:pt idx="312">
                  <c:v>45628</c:v>
                </c:pt>
                <c:pt idx="313">
                  <c:v>45627</c:v>
                </c:pt>
                <c:pt idx="314">
                  <c:v>45626</c:v>
                </c:pt>
                <c:pt idx="315">
                  <c:v>45625</c:v>
                </c:pt>
                <c:pt idx="316">
                  <c:v>45624</c:v>
                </c:pt>
                <c:pt idx="317">
                  <c:v>45623</c:v>
                </c:pt>
                <c:pt idx="318">
                  <c:v>45622</c:v>
                </c:pt>
                <c:pt idx="319">
                  <c:v>45621</c:v>
                </c:pt>
                <c:pt idx="320">
                  <c:v>45620</c:v>
                </c:pt>
                <c:pt idx="321">
                  <c:v>45619</c:v>
                </c:pt>
                <c:pt idx="322">
                  <c:v>45618</c:v>
                </c:pt>
                <c:pt idx="323">
                  <c:v>45617</c:v>
                </c:pt>
                <c:pt idx="324">
                  <c:v>45616</c:v>
                </c:pt>
                <c:pt idx="325">
                  <c:v>45615</c:v>
                </c:pt>
                <c:pt idx="326">
                  <c:v>45614</c:v>
                </c:pt>
                <c:pt idx="327">
                  <c:v>45613</c:v>
                </c:pt>
                <c:pt idx="328">
                  <c:v>45612</c:v>
                </c:pt>
                <c:pt idx="329">
                  <c:v>45611</c:v>
                </c:pt>
                <c:pt idx="330">
                  <c:v>45610</c:v>
                </c:pt>
                <c:pt idx="331">
                  <c:v>45609</c:v>
                </c:pt>
                <c:pt idx="332">
                  <c:v>45608</c:v>
                </c:pt>
                <c:pt idx="333">
                  <c:v>45607</c:v>
                </c:pt>
                <c:pt idx="334">
                  <c:v>45606</c:v>
                </c:pt>
                <c:pt idx="335">
                  <c:v>45605</c:v>
                </c:pt>
                <c:pt idx="336">
                  <c:v>45604</c:v>
                </c:pt>
                <c:pt idx="337">
                  <c:v>45603</c:v>
                </c:pt>
                <c:pt idx="338">
                  <c:v>45602</c:v>
                </c:pt>
                <c:pt idx="339">
                  <c:v>45601</c:v>
                </c:pt>
                <c:pt idx="340">
                  <c:v>45600</c:v>
                </c:pt>
                <c:pt idx="341">
                  <c:v>45599</c:v>
                </c:pt>
                <c:pt idx="342">
                  <c:v>45598</c:v>
                </c:pt>
                <c:pt idx="343">
                  <c:v>45597</c:v>
                </c:pt>
                <c:pt idx="344">
                  <c:v>45596</c:v>
                </c:pt>
                <c:pt idx="345">
                  <c:v>45595</c:v>
                </c:pt>
                <c:pt idx="346">
                  <c:v>45594</c:v>
                </c:pt>
                <c:pt idx="347">
                  <c:v>45593</c:v>
                </c:pt>
                <c:pt idx="348">
                  <c:v>45592</c:v>
                </c:pt>
                <c:pt idx="349">
                  <c:v>45591</c:v>
                </c:pt>
                <c:pt idx="350">
                  <c:v>45590</c:v>
                </c:pt>
                <c:pt idx="351">
                  <c:v>45589</c:v>
                </c:pt>
                <c:pt idx="352">
                  <c:v>45588</c:v>
                </c:pt>
                <c:pt idx="353">
                  <c:v>45587</c:v>
                </c:pt>
                <c:pt idx="354">
                  <c:v>45586</c:v>
                </c:pt>
                <c:pt idx="355">
                  <c:v>45585</c:v>
                </c:pt>
                <c:pt idx="356">
                  <c:v>45584</c:v>
                </c:pt>
                <c:pt idx="357">
                  <c:v>45583</c:v>
                </c:pt>
                <c:pt idx="358">
                  <c:v>45582</c:v>
                </c:pt>
                <c:pt idx="359">
                  <c:v>45581</c:v>
                </c:pt>
                <c:pt idx="360">
                  <c:v>45580</c:v>
                </c:pt>
                <c:pt idx="361">
                  <c:v>45579</c:v>
                </c:pt>
                <c:pt idx="362">
                  <c:v>45578</c:v>
                </c:pt>
                <c:pt idx="363">
                  <c:v>45577</c:v>
                </c:pt>
                <c:pt idx="364">
                  <c:v>45576</c:v>
                </c:pt>
                <c:pt idx="365">
                  <c:v>45575</c:v>
                </c:pt>
                <c:pt idx="366">
                  <c:v>45574</c:v>
                </c:pt>
                <c:pt idx="367">
                  <c:v>45573</c:v>
                </c:pt>
                <c:pt idx="368">
                  <c:v>45572</c:v>
                </c:pt>
                <c:pt idx="369">
                  <c:v>45571</c:v>
                </c:pt>
                <c:pt idx="370">
                  <c:v>45570</c:v>
                </c:pt>
                <c:pt idx="371">
                  <c:v>45569</c:v>
                </c:pt>
                <c:pt idx="372">
                  <c:v>45568</c:v>
                </c:pt>
                <c:pt idx="373">
                  <c:v>45567</c:v>
                </c:pt>
                <c:pt idx="374">
                  <c:v>45566</c:v>
                </c:pt>
                <c:pt idx="375">
                  <c:v>45565</c:v>
                </c:pt>
                <c:pt idx="376">
                  <c:v>45564</c:v>
                </c:pt>
                <c:pt idx="377">
                  <c:v>45563</c:v>
                </c:pt>
                <c:pt idx="378">
                  <c:v>45562</c:v>
                </c:pt>
                <c:pt idx="379">
                  <c:v>45561</c:v>
                </c:pt>
                <c:pt idx="380">
                  <c:v>45560</c:v>
                </c:pt>
                <c:pt idx="381">
                  <c:v>45559</c:v>
                </c:pt>
                <c:pt idx="382">
                  <c:v>45558</c:v>
                </c:pt>
                <c:pt idx="383">
                  <c:v>45557</c:v>
                </c:pt>
                <c:pt idx="384">
                  <c:v>45556</c:v>
                </c:pt>
                <c:pt idx="385">
                  <c:v>45555</c:v>
                </c:pt>
                <c:pt idx="386">
                  <c:v>45554</c:v>
                </c:pt>
                <c:pt idx="387">
                  <c:v>45553</c:v>
                </c:pt>
                <c:pt idx="388">
                  <c:v>45552</c:v>
                </c:pt>
                <c:pt idx="389">
                  <c:v>45551</c:v>
                </c:pt>
                <c:pt idx="390">
                  <c:v>45550</c:v>
                </c:pt>
                <c:pt idx="391">
                  <c:v>45549</c:v>
                </c:pt>
                <c:pt idx="392">
                  <c:v>45548</c:v>
                </c:pt>
                <c:pt idx="393">
                  <c:v>45547</c:v>
                </c:pt>
                <c:pt idx="394">
                  <c:v>45546</c:v>
                </c:pt>
                <c:pt idx="395">
                  <c:v>45545</c:v>
                </c:pt>
                <c:pt idx="396">
                  <c:v>45544</c:v>
                </c:pt>
                <c:pt idx="397">
                  <c:v>45543</c:v>
                </c:pt>
                <c:pt idx="398">
                  <c:v>45542</c:v>
                </c:pt>
                <c:pt idx="399">
                  <c:v>45541</c:v>
                </c:pt>
                <c:pt idx="400">
                  <c:v>45540</c:v>
                </c:pt>
                <c:pt idx="401">
                  <c:v>45539</c:v>
                </c:pt>
                <c:pt idx="402">
                  <c:v>45538</c:v>
                </c:pt>
                <c:pt idx="403">
                  <c:v>45537</c:v>
                </c:pt>
                <c:pt idx="404">
                  <c:v>45536</c:v>
                </c:pt>
                <c:pt idx="405">
                  <c:v>45535</c:v>
                </c:pt>
                <c:pt idx="406">
                  <c:v>45534</c:v>
                </c:pt>
                <c:pt idx="407">
                  <c:v>45533</c:v>
                </c:pt>
                <c:pt idx="408">
                  <c:v>45532</c:v>
                </c:pt>
                <c:pt idx="409">
                  <c:v>45531</c:v>
                </c:pt>
                <c:pt idx="410">
                  <c:v>45530</c:v>
                </c:pt>
                <c:pt idx="411">
                  <c:v>45529</c:v>
                </c:pt>
                <c:pt idx="412">
                  <c:v>45528</c:v>
                </c:pt>
                <c:pt idx="413">
                  <c:v>45527</c:v>
                </c:pt>
                <c:pt idx="414">
                  <c:v>45526</c:v>
                </c:pt>
                <c:pt idx="415">
                  <c:v>45525</c:v>
                </c:pt>
                <c:pt idx="416">
                  <c:v>45524</c:v>
                </c:pt>
                <c:pt idx="417">
                  <c:v>45523</c:v>
                </c:pt>
                <c:pt idx="418">
                  <c:v>45522</c:v>
                </c:pt>
                <c:pt idx="419">
                  <c:v>45521</c:v>
                </c:pt>
                <c:pt idx="420">
                  <c:v>45520</c:v>
                </c:pt>
                <c:pt idx="421">
                  <c:v>45519</c:v>
                </c:pt>
                <c:pt idx="422">
                  <c:v>45518</c:v>
                </c:pt>
                <c:pt idx="423">
                  <c:v>45517</c:v>
                </c:pt>
                <c:pt idx="424">
                  <c:v>45516</c:v>
                </c:pt>
                <c:pt idx="425">
                  <c:v>45515</c:v>
                </c:pt>
                <c:pt idx="426">
                  <c:v>45514</c:v>
                </c:pt>
                <c:pt idx="427">
                  <c:v>45513</c:v>
                </c:pt>
                <c:pt idx="428">
                  <c:v>45512</c:v>
                </c:pt>
                <c:pt idx="429">
                  <c:v>45511</c:v>
                </c:pt>
                <c:pt idx="430">
                  <c:v>45510</c:v>
                </c:pt>
                <c:pt idx="431">
                  <c:v>45509</c:v>
                </c:pt>
                <c:pt idx="432">
                  <c:v>45508</c:v>
                </c:pt>
                <c:pt idx="433">
                  <c:v>45507</c:v>
                </c:pt>
                <c:pt idx="434">
                  <c:v>45506</c:v>
                </c:pt>
                <c:pt idx="435">
                  <c:v>45505</c:v>
                </c:pt>
                <c:pt idx="436">
                  <c:v>45504</c:v>
                </c:pt>
                <c:pt idx="437">
                  <c:v>45503</c:v>
                </c:pt>
                <c:pt idx="438">
                  <c:v>45502</c:v>
                </c:pt>
                <c:pt idx="439">
                  <c:v>45501</c:v>
                </c:pt>
                <c:pt idx="440">
                  <c:v>45500</c:v>
                </c:pt>
                <c:pt idx="441">
                  <c:v>45499</c:v>
                </c:pt>
                <c:pt idx="442">
                  <c:v>45498</c:v>
                </c:pt>
                <c:pt idx="443">
                  <c:v>45497</c:v>
                </c:pt>
                <c:pt idx="444">
                  <c:v>45496</c:v>
                </c:pt>
                <c:pt idx="445">
                  <c:v>45495</c:v>
                </c:pt>
                <c:pt idx="446">
                  <c:v>45494</c:v>
                </c:pt>
                <c:pt idx="447">
                  <c:v>45493</c:v>
                </c:pt>
                <c:pt idx="448">
                  <c:v>45492</c:v>
                </c:pt>
                <c:pt idx="449">
                  <c:v>45491</c:v>
                </c:pt>
                <c:pt idx="450">
                  <c:v>45490</c:v>
                </c:pt>
                <c:pt idx="451">
                  <c:v>45489</c:v>
                </c:pt>
                <c:pt idx="452">
                  <c:v>45488</c:v>
                </c:pt>
                <c:pt idx="453">
                  <c:v>45487</c:v>
                </c:pt>
                <c:pt idx="454">
                  <c:v>45486</c:v>
                </c:pt>
                <c:pt idx="455">
                  <c:v>45485</c:v>
                </c:pt>
                <c:pt idx="456">
                  <c:v>45484</c:v>
                </c:pt>
                <c:pt idx="457">
                  <c:v>45483</c:v>
                </c:pt>
                <c:pt idx="458">
                  <c:v>45482</c:v>
                </c:pt>
                <c:pt idx="459">
                  <c:v>45481</c:v>
                </c:pt>
                <c:pt idx="460">
                  <c:v>45480</c:v>
                </c:pt>
                <c:pt idx="461">
                  <c:v>45479</c:v>
                </c:pt>
                <c:pt idx="462">
                  <c:v>45478</c:v>
                </c:pt>
                <c:pt idx="463">
                  <c:v>45477</c:v>
                </c:pt>
                <c:pt idx="464">
                  <c:v>45476</c:v>
                </c:pt>
                <c:pt idx="465">
                  <c:v>45475</c:v>
                </c:pt>
                <c:pt idx="466">
                  <c:v>45474</c:v>
                </c:pt>
                <c:pt idx="467">
                  <c:v>45473</c:v>
                </c:pt>
                <c:pt idx="468">
                  <c:v>45472</c:v>
                </c:pt>
                <c:pt idx="469">
                  <c:v>45471</c:v>
                </c:pt>
                <c:pt idx="470">
                  <c:v>45470</c:v>
                </c:pt>
                <c:pt idx="471">
                  <c:v>45469</c:v>
                </c:pt>
                <c:pt idx="472">
                  <c:v>45468</c:v>
                </c:pt>
                <c:pt idx="473">
                  <c:v>45467</c:v>
                </c:pt>
                <c:pt idx="474">
                  <c:v>45466</c:v>
                </c:pt>
                <c:pt idx="475">
                  <c:v>45465</c:v>
                </c:pt>
                <c:pt idx="476">
                  <c:v>45464</c:v>
                </c:pt>
                <c:pt idx="477">
                  <c:v>45463</c:v>
                </c:pt>
                <c:pt idx="478">
                  <c:v>45462</c:v>
                </c:pt>
                <c:pt idx="479">
                  <c:v>45461</c:v>
                </c:pt>
                <c:pt idx="480">
                  <c:v>45460</c:v>
                </c:pt>
                <c:pt idx="481">
                  <c:v>45459</c:v>
                </c:pt>
                <c:pt idx="482">
                  <c:v>45458</c:v>
                </c:pt>
                <c:pt idx="483">
                  <c:v>45457</c:v>
                </c:pt>
                <c:pt idx="484">
                  <c:v>45456</c:v>
                </c:pt>
                <c:pt idx="485">
                  <c:v>45455</c:v>
                </c:pt>
                <c:pt idx="486">
                  <c:v>45454</c:v>
                </c:pt>
                <c:pt idx="487">
                  <c:v>45453</c:v>
                </c:pt>
                <c:pt idx="488">
                  <c:v>45452</c:v>
                </c:pt>
                <c:pt idx="489">
                  <c:v>45451</c:v>
                </c:pt>
                <c:pt idx="490">
                  <c:v>45450</c:v>
                </c:pt>
                <c:pt idx="491">
                  <c:v>45449</c:v>
                </c:pt>
                <c:pt idx="492">
                  <c:v>45448</c:v>
                </c:pt>
                <c:pt idx="493">
                  <c:v>45447</c:v>
                </c:pt>
                <c:pt idx="494">
                  <c:v>45446</c:v>
                </c:pt>
                <c:pt idx="495">
                  <c:v>45445</c:v>
                </c:pt>
                <c:pt idx="496">
                  <c:v>45444</c:v>
                </c:pt>
                <c:pt idx="497">
                  <c:v>45443</c:v>
                </c:pt>
                <c:pt idx="498">
                  <c:v>45442</c:v>
                </c:pt>
                <c:pt idx="499">
                  <c:v>45441</c:v>
                </c:pt>
                <c:pt idx="500">
                  <c:v>45440</c:v>
                </c:pt>
                <c:pt idx="501">
                  <c:v>45439</c:v>
                </c:pt>
                <c:pt idx="502">
                  <c:v>45438</c:v>
                </c:pt>
                <c:pt idx="503">
                  <c:v>45437</c:v>
                </c:pt>
                <c:pt idx="504">
                  <c:v>45436</c:v>
                </c:pt>
                <c:pt idx="505">
                  <c:v>45435</c:v>
                </c:pt>
                <c:pt idx="506">
                  <c:v>45434</c:v>
                </c:pt>
                <c:pt idx="507">
                  <c:v>45433</c:v>
                </c:pt>
                <c:pt idx="508">
                  <c:v>45432</c:v>
                </c:pt>
                <c:pt idx="509">
                  <c:v>45431</c:v>
                </c:pt>
                <c:pt idx="510">
                  <c:v>45430</c:v>
                </c:pt>
                <c:pt idx="511">
                  <c:v>45429</c:v>
                </c:pt>
                <c:pt idx="512">
                  <c:v>45428</c:v>
                </c:pt>
                <c:pt idx="513">
                  <c:v>45427</c:v>
                </c:pt>
                <c:pt idx="514">
                  <c:v>45426</c:v>
                </c:pt>
                <c:pt idx="515">
                  <c:v>45425</c:v>
                </c:pt>
                <c:pt idx="516">
                  <c:v>45424</c:v>
                </c:pt>
                <c:pt idx="517">
                  <c:v>45423</c:v>
                </c:pt>
                <c:pt idx="518">
                  <c:v>45422</c:v>
                </c:pt>
                <c:pt idx="519">
                  <c:v>45421</c:v>
                </c:pt>
                <c:pt idx="520">
                  <c:v>45420</c:v>
                </c:pt>
                <c:pt idx="521">
                  <c:v>45419</c:v>
                </c:pt>
                <c:pt idx="522">
                  <c:v>45418</c:v>
                </c:pt>
                <c:pt idx="523">
                  <c:v>45417</c:v>
                </c:pt>
                <c:pt idx="524">
                  <c:v>45416</c:v>
                </c:pt>
                <c:pt idx="525">
                  <c:v>45415</c:v>
                </c:pt>
                <c:pt idx="526">
                  <c:v>45414</c:v>
                </c:pt>
                <c:pt idx="527">
                  <c:v>45413</c:v>
                </c:pt>
                <c:pt idx="528">
                  <c:v>45412</c:v>
                </c:pt>
                <c:pt idx="529">
                  <c:v>45411</c:v>
                </c:pt>
                <c:pt idx="530">
                  <c:v>45410</c:v>
                </c:pt>
                <c:pt idx="531">
                  <c:v>45409</c:v>
                </c:pt>
                <c:pt idx="532">
                  <c:v>45408</c:v>
                </c:pt>
                <c:pt idx="533">
                  <c:v>45407</c:v>
                </c:pt>
                <c:pt idx="534">
                  <c:v>45406</c:v>
                </c:pt>
                <c:pt idx="535">
                  <c:v>45405</c:v>
                </c:pt>
                <c:pt idx="536">
                  <c:v>45404</c:v>
                </c:pt>
                <c:pt idx="537">
                  <c:v>45403</c:v>
                </c:pt>
                <c:pt idx="538">
                  <c:v>45402</c:v>
                </c:pt>
                <c:pt idx="539">
                  <c:v>45401</c:v>
                </c:pt>
                <c:pt idx="540">
                  <c:v>45400</c:v>
                </c:pt>
                <c:pt idx="541">
                  <c:v>45399</c:v>
                </c:pt>
                <c:pt idx="542">
                  <c:v>45398</c:v>
                </c:pt>
                <c:pt idx="543">
                  <c:v>45397</c:v>
                </c:pt>
                <c:pt idx="544">
                  <c:v>45396</c:v>
                </c:pt>
                <c:pt idx="545">
                  <c:v>45395</c:v>
                </c:pt>
                <c:pt idx="546">
                  <c:v>45394</c:v>
                </c:pt>
                <c:pt idx="547">
                  <c:v>45393</c:v>
                </c:pt>
                <c:pt idx="548">
                  <c:v>45392</c:v>
                </c:pt>
                <c:pt idx="549">
                  <c:v>45391</c:v>
                </c:pt>
                <c:pt idx="550">
                  <c:v>45390</c:v>
                </c:pt>
                <c:pt idx="551">
                  <c:v>45389</c:v>
                </c:pt>
                <c:pt idx="552">
                  <c:v>45388</c:v>
                </c:pt>
                <c:pt idx="553">
                  <c:v>45387</c:v>
                </c:pt>
                <c:pt idx="554">
                  <c:v>45386</c:v>
                </c:pt>
                <c:pt idx="555">
                  <c:v>45385</c:v>
                </c:pt>
                <c:pt idx="556">
                  <c:v>45384</c:v>
                </c:pt>
                <c:pt idx="557">
                  <c:v>45383</c:v>
                </c:pt>
                <c:pt idx="558">
                  <c:v>45382</c:v>
                </c:pt>
                <c:pt idx="559">
                  <c:v>45381</c:v>
                </c:pt>
                <c:pt idx="560">
                  <c:v>45380</c:v>
                </c:pt>
                <c:pt idx="561">
                  <c:v>45379</c:v>
                </c:pt>
                <c:pt idx="562">
                  <c:v>45378</c:v>
                </c:pt>
                <c:pt idx="563">
                  <c:v>45377</c:v>
                </c:pt>
                <c:pt idx="564">
                  <c:v>45376</c:v>
                </c:pt>
                <c:pt idx="565">
                  <c:v>45375</c:v>
                </c:pt>
                <c:pt idx="566">
                  <c:v>45374</c:v>
                </c:pt>
                <c:pt idx="567">
                  <c:v>45373</c:v>
                </c:pt>
                <c:pt idx="568">
                  <c:v>45372</c:v>
                </c:pt>
                <c:pt idx="569">
                  <c:v>45371</c:v>
                </c:pt>
                <c:pt idx="570">
                  <c:v>45370</c:v>
                </c:pt>
                <c:pt idx="571">
                  <c:v>45369</c:v>
                </c:pt>
                <c:pt idx="572">
                  <c:v>45368</c:v>
                </c:pt>
                <c:pt idx="573">
                  <c:v>45367</c:v>
                </c:pt>
                <c:pt idx="574">
                  <c:v>45366</c:v>
                </c:pt>
                <c:pt idx="575">
                  <c:v>45365</c:v>
                </c:pt>
                <c:pt idx="576">
                  <c:v>45364</c:v>
                </c:pt>
                <c:pt idx="577">
                  <c:v>45363</c:v>
                </c:pt>
                <c:pt idx="578">
                  <c:v>45362</c:v>
                </c:pt>
                <c:pt idx="579">
                  <c:v>45361</c:v>
                </c:pt>
                <c:pt idx="580">
                  <c:v>45360</c:v>
                </c:pt>
                <c:pt idx="581">
                  <c:v>45359</c:v>
                </c:pt>
                <c:pt idx="582">
                  <c:v>45358</c:v>
                </c:pt>
                <c:pt idx="583">
                  <c:v>45357</c:v>
                </c:pt>
                <c:pt idx="584">
                  <c:v>45356</c:v>
                </c:pt>
                <c:pt idx="585">
                  <c:v>45355</c:v>
                </c:pt>
                <c:pt idx="586">
                  <c:v>45354</c:v>
                </c:pt>
                <c:pt idx="587">
                  <c:v>45353</c:v>
                </c:pt>
                <c:pt idx="588">
                  <c:v>45352</c:v>
                </c:pt>
                <c:pt idx="589">
                  <c:v>45351</c:v>
                </c:pt>
                <c:pt idx="590">
                  <c:v>45350</c:v>
                </c:pt>
                <c:pt idx="591">
                  <c:v>45349</c:v>
                </c:pt>
                <c:pt idx="592">
                  <c:v>45348</c:v>
                </c:pt>
                <c:pt idx="593">
                  <c:v>45347</c:v>
                </c:pt>
                <c:pt idx="594">
                  <c:v>45346</c:v>
                </c:pt>
                <c:pt idx="595">
                  <c:v>45345</c:v>
                </c:pt>
                <c:pt idx="596">
                  <c:v>45344</c:v>
                </c:pt>
                <c:pt idx="597">
                  <c:v>45343</c:v>
                </c:pt>
                <c:pt idx="598">
                  <c:v>45342</c:v>
                </c:pt>
                <c:pt idx="599">
                  <c:v>45341</c:v>
                </c:pt>
                <c:pt idx="600">
                  <c:v>45340</c:v>
                </c:pt>
                <c:pt idx="601">
                  <c:v>45339</c:v>
                </c:pt>
                <c:pt idx="602">
                  <c:v>45338</c:v>
                </c:pt>
                <c:pt idx="603">
                  <c:v>45337</c:v>
                </c:pt>
                <c:pt idx="604">
                  <c:v>45336</c:v>
                </c:pt>
                <c:pt idx="605">
                  <c:v>45335</c:v>
                </c:pt>
                <c:pt idx="606">
                  <c:v>45334</c:v>
                </c:pt>
                <c:pt idx="607">
                  <c:v>45333</c:v>
                </c:pt>
                <c:pt idx="608">
                  <c:v>45332</c:v>
                </c:pt>
                <c:pt idx="609">
                  <c:v>45331</c:v>
                </c:pt>
                <c:pt idx="610">
                  <c:v>45330</c:v>
                </c:pt>
                <c:pt idx="611">
                  <c:v>45329</c:v>
                </c:pt>
                <c:pt idx="612">
                  <c:v>45328</c:v>
                </c:pt>
                <c:pt idx="613">
                  <c:v>45327</c:v>
                </c:pt>
                <c:pt idx="614">
                  <c:v>45326</c:v>
                </c:pt>
                <c:pt idx="615">
                  <c:v>45325</c:v>
                </c:pt>
                <c:pt idx="616">
                  <c:v>45324</c:v>
                </c:pt>
                <c:pt idx="617">
                  <c:v>45323</c:v>
                </c:pt>
                <c:pt idx="618">
                  <c:v>45322</c:v>
                </c:pt>
                <c:pt idx="619">
                  <c:v>45321</c:v>
                </c:pt>
                <c:pt idx="620">
                  <c:v>45320</c:v>
                </c:pt>
                <c:pt idx="621">
                  <c:v>45319</c:v>
                </c:pt>
                <c:pt idx="622">
                  <c:v>45318</c:v>
                </c:pt>
                <c:pt idx="623">
                  <c:v>45317</c:v>
                </c:pt>
                <c:pt idx="624">
                  <c:v>45316</c:v>
                </c:pt>
                <c:pt idx="625">
                  <c:v>45315</c:v>
                </c:pt>
                <c:pt idx="626">
                  <c:v>45314</c:v>
                </c:pt>
                <c:pt idx="627">
                  <c:v>45313</c:v>
                </c:pt>
                <c:pt idx="628">
                  <c:v>45312</c:v>
                </c:pt>
                <c:pt idx="629">
                  <c:v>45311</c:v>
                </c:pt>
                <c:pt idx="630">
                  <c:v>45310</c:v>
                </c:pt>
                <c:pt idx="631">
                  <c:v>45309</c:v>
                </c:pt>
                <c:pt idx="632">
                  <c:v>45308</c:v>
                </c:pt>
                <c:pt idx="633">
                  <c:v>45307</c:v>
                </c:pt>
                <c:pt idx="634">
                  <c:v>45306</c:v>
                </c:pt>
                <c:pt idx="635">
                  <c:v>45305</c:v>
                </c:pt>
                <c:pt idx="636">
                  <c:v>45304</c:v>
                </c:pt>
                <c:pt idx="637">
                  <c:v>45303</c:v>
                </c:pt>
                <c:pt idx="638">
                  <c:v>45302</c:v>
                </c:pt>
                <c:pt idx="639">
                  <c:v>45301</c:v>
                </c:pt>
                <c:pt idx="640">
                  <c:v>45300</c:v>
                </c:pt>
                <c:pt idx="641">
                  <c:v>45299</c:v>
                </c:pt>
                <c:pt idx="642">
                  <c:v>45298</c:v>
                </c:pt>
                <c:pt idx="643">
                  <c:v>45297</c:v>
                </c:pt>
                <c:pt idx="644">
                  <c:v>45296</c:v>
                </c:pt>
                <c:pt idx="645">
                  <c:v>45295</c:v>
                </c:pt>
                <c:pt idx="646">
                  <c:v>45294</c:v>
                </c:pt>
                <c:pt idx="647">
                  <c:v>45293</c:v>
                </c:pt>
                <c:pt idx="648">
                  <c:v>45292</c:v>
                </c:pt>
                <c:pt idx="649">
                  <c:v>45291</c:v>
                </c:pt>
                <c:pt idx="650">
                  <c:v>45290</c:v>
                </c:pt>
                <c:pt idx="651">
                  <c:v>45289</c:v>
                </c:pt>
                <c:pt idx="652">
                  <c:v>45288</c:v>
                </c:pt>
                <c:pt idx="653">
                  <c:v>45287</c:v>
                </c:pt>
                <c:pt idx="654">
                  <c:v>45286</c:v>
                </c:pt>
                <c:pt idx="655">
                  <c:v>45285</c:v>
                </c:pt>
                <c:pt idx="656">
                  <c:v>45284</c:v>
                </c:pt>
                <c:pt idx="657">
                  <c:v>45283</c:v>
                </c:pt>
                <c:pt idx="658">
                  <c:v>45282</c:v>
                </c:pt>
                <c:pt idx="659">
                  <c:v>45281</c:v>
                </c:pt>
                <c:pt idx="660">
                  <c:v>45280</c:v>
                </c:pt>
                <c:pt idx="661">
                  <c:v>45279</c:v>
                </c:pt>
                <c:pt idx="662">
                  <c:v>45278</c:v>
                </c:pt>
                <c:pt idx="663">
                  <c:v>45277</c:v>
                </c:pt>
                <c:pt idx="664">
                  <c:v>45276</c:v>
                </c:pt>
                <c:pt idx="665">
                  <c:v>45275</c:v>
                </c:pt>
                <c:pt idx="666">
                  <c:v>45274</c:v>
                </c:pt>
                <c:pt idx="667">
                  <c:v>45273</c:v>
                </c:pt>
                <c:pt idx="668">
                  <c:v>45272</c:v>
                </c:pt>
                <c:pt idx="669">
                  <c:v>45271</c:v>
                </c:pt>
                <c:pt idx="670">
                  <c:v>45270</c:v>
                </c:pt>
                <c:pt idx="671">
                  <c:v>45269</c:v>
                </c:pt>
                <c:pt idx="672">
                  <c:v>45268</c:v>
                </c:pt>
                <c:pt idx="673">
                  <c:v>45267</c:v>
                </c:pt>
                <c:pt idx="674">
                  <c:v>45266</c:v>
                </c:pt>
                <c:pt idx="675">
                  <c:v>45265</c:v>
                </c:pt>
                <c:pt idx="676">
                  <c:v>45264</c:v>
                </c:pt>
                <c:pt idx="677">
                  <c:v>45263</c:v>
                </c:pt>
                <c:pt idx="678">
                  <c:v>45262</c:v>
                </c:pt>
                <c:pt idx="679">
                  <c:v>45261</c:v>
                </c:pt>
                <c:pt idx="680">
                  <c:v>45260</c:v>
                </c:pt>
                <c:pt idx="681">
                  <c:v>45259</c:v>
                </c:pt>
                <c:pt idx="682">
                  <c:v>45258</c:v>
                </c:pt>
                <c:pt idx="683">
                  <c:v>45257</c:v>
                </c:pt>
                <c:pt idx="684">
                  <c:v>45256</c:v>
                </c:pt>
                <c:pt idx="685">
                  <c:v>45255</c:v>
                </c:pt>
                <c:pt idx="686">
                  <c:v>45254</c:v>
                </c:pt>
                <c:pt idx="687">
                  <c:v>45253</c:v>
                </c:pt>
                <c:pt idx="688">
                  <c:v>45252</c:v>
                </c:pt>
                <c:pt idx="689">
                  <c:v>45251</c:v>
                </c:pt>
                <c:pt idx="690">
                  <c:v>45250</c:v>
                </c:pt>
                <c:pt idx="691">
                  <c:v>45249</c:v>
                </c:pt>
                <c:pt idx="692">
                  <c:v>45248</c:v>
                </c:pt>
                <c:pt idx="693">
                  <c:v>45247</c:v>
                </c:pt>
                <c:pt idx="694">
                  <c:v>45246</c:v>
                </c:pt>
                <c:pt idx="695">
                  <c:v>45245</c:v>
                </c:pt>
                <c:pt idx="696">
                  <c:v>45244</c:v>
                </c:pt>
                <c:pt idx="697">
                  <c:v>45243</c:v>
                </c:pt>
                <c:pt idx="698">
                  <c:v>45242</c:v>
                </c:pt>
                <c:pt idx="699">
                  <c:v>45241</c:v>
                </c:pt>
                <c:pt idx="700">
                  <c:v>45240</c:v>
                </c:pt>
                <c:pt idx="701">
                  <c:v>45239</c:v>
                </c:pt>
                <c:pt idx="702">
                  <c:v>45238</c:v>
                </c:pt>
                <c:pt idx="703">
                  <c:v>45237</c:v>
                </c:pt>
                <c:pt idx="704">
                  <c:v>45236</c:v>
                </c:pt>
                <c:pt idx="705">
                  <c:v>45235</c:v>
                </c:pt>
                <c:pt idx="706">
                  <c:v>45234</c:v>
                </c:pt>
                <c:pt idx="707">
                  <c:v>45233</c:v>
                </c:pt>
                <c:pt idx="708">
                  <c:v>45232</c:v>
                </c:pt>
                <c:pt idx="709">
                  <c:v>45231</c:v>
                </c:pt>
                <c:pt idx="710">
                  <c:v>45230</c:v>
                </c:pt>
                <c:pt idx="711">
                  <c:v>45229</c:v>
                </c:pt>
                <c:pt idx="712">
                  <c:v>45228</c:v>
                </c:pt>
                <c:pt idx="713">
                  <c:v>45227</c:v>
                </c:pt>
                <c:pt idx="714">
                  <c:v>45226</c:v>
                </c:pt>
                <c:pt idx="715">
                  <c:v>45225</c:v>
                </c:pt>
                <c:pt idx="716">
                  <c:v>45224</c:v>
                </c:pt>
                <c:pt idx="717">
                  <c:v>45223</c:v>
                </c:pt>
                <c:pt idx="718">
                  <c:v>45222</c:v>
                </c:pt>
                <c:pt idx="719">
                  <c:v>45221</c:v>
                </c:pt>
                <c:pt idx="720">
                  <c:v>45220</c:v>
                </c:pt>
                <c:pt idx="721">
                  <c:v>45219</c:v>
                </c:pt>
                <c:pt idx="722">
                  <c:v>45218</c:v>
                </c:pt>
                <c:pt idx="723">
                  <c:v>45217</c:v>
                </c:pt>
                <c:pt idx="724">
                  <c:v>45216</c:v>
                </c:pt>
                <c:pt idx="725">
                  <c:v>45215</c:v>
                </c:pt>
                <c:pt idx="726">
                  <c:v>45214</c:v>
                </c:pt>
                <c:pt idx="727">
                  <c:v>45213</c:v>
                </c:pt>
                <c:pt idx="728">
                  <c:v>45212</c:v>
                </c:pt>
                <c:pt idx="729">
                  <c:v>45211</c:v>
                </c:pt>
                <c:pt idx="730">
                  <c:v>45210</c:v>
                </c:pt>
                <c:pt idx="731">
                  <c:v>45209</c:v>
                </c:pt>
                <c:pt idx="732">
                  <c:v>45208</c:v>
                </c:pt>
                <c:pt idx="733">
                  <c:v>45207</c:v>
                </c:pt>
                <c:pt idx="734">
                  <c:v>45206</c:v>
                </c:pt>
                <c:pt idx="735">
                  <c:v>45205</c:v>
                </c:pt>
                <c:pt idx="736">
                  <c:v>45204</c:v>
                </c:pt>
                <c:pt idx="737">
                  <c:v>45203</c:v>
                </c:pt>
                <c:pt idx="738">
                  <c:v>45202</c:v>
                </c:pt>
                <c:pt idx="739">
                  <c:v>45201</c:v>
                </c:pt>
                <c:pt idx="740">
                  <c:v>45200</c:v>
                </c:pt>
                <c:pt idx="741">
                  <c:v>45199</c:v>
                </c:pt>
                <c:pt idx="742">
                  <c:v>45198</c:v>
                </c:pt>
                <c:pt idx="743">
                  <c:v>45197</c:v>
                </c:pt>
                <c:pt idx="744">
                  <c:v>45196</c:v>
                </c:pt>
                <c:pt idx="745">
                  <c:v>45195</c:v>
                </c:pt>
                <c:pt idx="746">
                  <c:v>45194</c:v>
                </c:pt>
                <c:pt idx="747">
                  <c:v>45193</c:v>
                </c:pt>
                <c:pt idx="748">
                  <c:v>45192</c:v>
                </c:pt>
                <c:pt idx="749">
                  <c:v>45191</c:v>
                </c:pt>
                <c:pt idx="750">
                  <c:v>45190</c:v>
                </c:pt>
                <c:pt idx="751">
                  <c:v>45189</c:v>
                </c:pt>
                <c:pt idx="752">
                  <c:v>45188</c:v>
                </c:pt>
                <c:pt idx="753">
                  <c:v>45187</c:v>
                </c:pt>
                <c:pt idx="754">
                  <c:v>45186</c:v>
                </c:pt>
                <c:pt idx="755">
                  <c:v>45185</c:v>
                </c:pt>
                <c:pt idx="756">
                  <c:v>45184</c:v>
                </c:pt>
                <c:pt idx="757">
                  <c:v>45183</c:v>
                </c:pt>
                <c:pt idx="758">
                  <c:v>45182</c:v>
                </c:pt>
                <c:pt idx="759">
                  <c:v>45181</c:v>
                </c:pt>
                <c:pt idx="760">
                  <c:v>45180</c:v>
                </c:pt>
                <c:pt idx="761">
                  <c:v>45179</c:v>
                </c:pt>
                <c:pt idx="762">
                  <c:v>45178</c:v>
                </c:pt>
                <c:pt idx="763">
                  <c:v>45177</c:v>
                </c:pt>
                <c:pt idx="764">
                  <c:v>45176</c:v>
                </c:pt>
                <c:pt idx="765">
                  <c:v>45175</c:v>
                </c:pt>
                <c:pt idx="766">
                  <c:v>45174</c:v>
                </c:pt>
                <c:pt idx="767">
                  <c:v>45173</c:v>
                </c:pt>
                <c:pt idx="768">
                  <c:v>45172</c:v>
                </c:pt>
                <c:pt idx="769">
                  <c:v>45171</c:v>
                </c:pt>
                <c:pt idx="770">
                  <c:v>45170</c:v>
                </c:pt>
                <c:pt idx="771">
                  <c:v>45169</c:v>
                </c:pt>
                <c:pt idx="772">
                  <c:v>45168</c:v>
                </c:pt>
                <c:pt idx="773">
                  <c:v>45167</c:v>
                </c:pt>
                <c:pt idx="774">
                  <c:v>45166</c:v>
                </c:pt>
                <c:pt idx="775">
                  <c:v>45165</c:v>
                </c:pt>
                <c:pt idx="776">
                  <c:v>45164</c:v>
                </c:pt>
                <c:pt idx="777">
                  <c:v>45163</c:v>
                </c:pt>
                <c:pt idx="778">
                  <c:v>45162</c:v>
                </c:pt>
                <c:pt idx="779">
                  <c:v>45161</c:v>
                </c:pt>
                <c:pt idx="780">
                  <c:v>45160</c:v>
                </c:pt>
                <c:pt idx="781">
                  <c:v>45159</c:v>
                </c:pt>
                <c:pt idx="782">
                  <c:v>45158</c:v>
                </c:pt>
                <c:pt idx="783">
                  <c:v>45157</c:v>
                </c:pt>
                <c:pt idx="784">
                  <c:v>45156</c:v>
                </c:pt>
                <c:pt idx="785">
                  <c:v>45155</c:v>
                </c:pt>
                <c:pt idx="786">
                  <c:v>45154</c:v>
                </c:pt>
                <c:pt idx="787">
                  <c:v>45153</c:v>
                </c:pt>
                <c:pt idx="788">
                  <c:v>45152</c:v>
                </c:pt>
                <c:pt idx="789">
                  <c:v>45151</c:v>
                </c:pt>
                <c:pt idx="790">
                  <c:v>45150</c:v>
                </c:pt>
                <c:pt idx="791">
                  <c:v>45149</c:v>
                </c:pt>
                <c:pt idx="792">
                  <c:v>45148</c:v>
                </c:pt>
                <c:pt idx="793">
                  <c:v>45147</c:v>
                </c:pt>
                <c:pt idx="794">
                  <c:v>45146</c:v>
                </c:pt>
                <c:pt idx="795">
                  <c:v>45145</c:v>
                </c:pt>
                <c:pt idx="796">
                  <c:v>45144</c:v>
                </c:pt>
                <c:pt idx="797">
                  <c:v>45143</c:v>
                </c:pt>
                <c:pt idx="798">
                  <c:v>45142</c:v>
                </c:pt>
                <c:pt idx="799">
                  <c:v>45141</c:v>
                </c:pt>
                <c:pt idx="800">
                  <c:v>45140</c:v>
                </c:pt>
                <c:pt idx="801">
                  <c:v>45139</c:v>
                </c:pt>
                <c:pt idx="802">
                  <c:v>45138</c:v>
                </c:pt>
                <c:pt idx="803">
                  <c:v>45137</c:v>
                </c:pt>
                <c:pt idx="804">
                  <c:v>45136</c:v>
                </c:pt>
                <c:pt idx="805">
                  <c:v>45135</c:v>
                </c:pt>
                <c:pt idx="806">
                  <c:v>45134</c:v>
                </c:pt>
                <c:pt idx="807">
                  <c:v>45133</c:v>
                </c:pt>
                <c:pt idx="808">
                  <c:v>45132</c:v>
                </c:pt>
                <c:pt idx="809">
                  <c:v>45131</c:v>
                </c:pt>
                <c:pt idx="810">
                  <c:v>45130</c:v>
                </c:pt>
                <c:pt idx="811">
                  <c:v>45129</c:v>
                </c:pt>
                <c:pt idx="812">
                  <c:v>45128</c:v>
                </c:pt>
                <c:pt idx="813">
                  <c:v>45127</c:v>
                </c:pt>
                <c:pt idx="814">
                  <c:v>45126</c:v>
                </c:pt>
                <c:pt idx="815">
                  <c:v>45125</c:v>
                </c:pt>
                <c:pt idx="816">
                  <c:v>45124</c:v>
                </c:pt>
                <c:pt idx="817">
                  <c:v>45123</c:v>
                </c:pt>
                <c:pt idx="818">
                  <c:v>45122</c:v>
                </c:pt>
                <c:pt idx="819">
                  <c:v>45121</c:v>
                </c:pt>
                <c:pt idx="820">
                  <c:v>45120</c:v>
                </c:pt>
                <c:pt idx="821">
                  <c:v>45119</c:v>
                </c:pt>
                <c:pt idx="822">
                  <c:v>45118</c:v>
                </c:pt>
                <c:pt idx="823">
                  <c:v>45117</c:v>
                </c:pt>
                <c:pt idx="824">
                  <c:v>45116</c:v>
                </c:pt>
                <c:pt idx="825">
                  <c:v>45115</c:v>
                </c:pt>
                <c:pt idx="826">
                  <c:v>45114</c:v>
                </c:pt>
                <c:pt idx="827">
                  <c:v>45113</c:v>
                </c:pt>
                <c:pt idx="828">
                  <c:v>45112</c:v>
                </c:pt>
                <c:pt idx="829">
                  <c:v>45111</c:v>
                </c:pt>
                <c:pt idx="830">
                  <c:v>45110</c:v>
                </c:pt>
                <c:pt idx="831">
                  <c:v>45109</c:v>
                </c:pt>
                <c:pt idx="832">
                  <c:v>45108</c:v>
                </c:pt>
                <c:pt idx="833">
                  <c:v>45107</c:v>
                </c:pt>
                <c:pt idx="834">
                  <c:v>45106</c:v>
                </c:pt>
                <c:pt idx="835">
                  <c:v>45105</c:v>
                </c:pt>
                <c:pt idx="836">
                  <c:v>45104</c:v>
                </c:pt>
                <c:pt idx="837">
                  <c:v>45103</c:v>
                </c:pt>
                <c:pt idx="838">
                  <c:v>45102</c:v>
                </c:pt>
                <c:pt idx="839">
                  <c:v>45101</c:v>
                </c:pt>
                <c:pt idx="840">
                  <c:v>45100</c:v>
                </c:pt>
                <c:pt idx="841">
                  <c:v>45099</c:v>
                </c:pt>
                <c:pt idx="842">
                  <c:v>45098</c:v>
                </c:pt>
                <c:pt idx="843">
                  <c:v>45097</c:v>
                </c:pt>
                <c:pt idx="844">
                  <c:v>45096</c:v>
                </c:pt>
                <c:pt idx="845">
                  <c:v>45095</c:v>
                </c:pt>
                <c:pt idx="846">
                  <c:v>45094</c:v>
                </c:pt>
                <c:pt idx="847">
                  <c:v>45093</c:v>
                </c:pt>
                <c:pt idx="848">
                  <c:v>45092</c:v>
                </c:pt>
                <c:pt idx="849">
                  <c:v>45091</c:v>
                </c:pt>
                <c:pt idx="850">
                  <c:v>45090</c:v>
                </c:pt>
                <c:pt idx="851">
                  <c:v>45089</c:v>
                </c:pt>
                <c:pt idx="852">
                  <c:v>45088</c:v>
                </c:pt>
                <c:pt idx="853">
                  <c:v>45087</c:v>
                </c:pt>
                <c:pt idx="854">
                  <c:v>45086</c:v>
                </c:pt>
                <c:pt idx="855">
                  <c:v>45085</c:v>
                </c:pt>
                <c:pt idx="856">
                  <c:v>45084</c:v>
                </c:pt>
                <c:pt idx="857">
                  <c:v>45083</c:v>
                </c:pt>
                <c:pt idx="858">
                  <c:v>45082</c:v>
                </c:pt>
                <c:pt idx="859">
                  <c:v>45081</c:v>
                </c:pt>
                <c:pt idx="860">
                  <c:v>45080</c:v>
                </c:pt>
                <c:pt idx="861">
                  <c:v>45079</c:v>
                </c:pt>
                <c:pt idx="862">
                  <c:v>45078</c:v>
                </c:pt>
                <c:pt idx="863">
                  <c:v>45077</c:v>
                </c:pt>
                <c:pt idx="864">
                  <c:v>45076</c:v>
                </c:pt>
                <c:pt idx="865">
                  <c:v>45075</c:v>
                </c:pt>
                <c:pt idx="866">
                  <c:v>45074</c:v>
                </c:pt>
                <c:pt idx="867">
                  <c:v>45073</c:v>
                </c:pt>
                <c:pt idx="868">
                  <c:v>45072</c:v>
                </c:pt>
                <c:pt idx="869">
                  <c:v>45071</c:v>
                </c:pt>
                <c:pt idx="870">
                  <c:v>45070</c:v>
                </c:pt>
                <c:pt idx="871">
                  <c:v>45069</c:v>
                </c:pt>
                <c:pt idx="872">
                  <c:v>45068</c:v>
                </c:pt>
                <c:pt idx="873">
                  <c:v>45067</c:v>
                </c:pt>
                <c:pt idx="874">
                  <c:v>45066</c:v>
                </c:pt>
                <c:pt idx="875">
                  <c:v>45065</c:v>
                </c:pt>
                <c:pt idx="876">
                  <c:v>45064</c:v>
                </c:pt>
                <c:pt idx="877">
                  <c:v>45063</c:v>
                </c:pt>
                <c:pt idx="878">
                  <c:v>45062</c:v>
                </c:pt>
                <c:pt idx="879">
                  <c:v>45061</c:v>
                </c:pt>
                <c:pt idx="880">
                  <c:v>45060</c:v>
                </c:pt>
                <c:pt idx="881">
                  <c:v>45059</c:v>
                </c:pt>
                <c:pt idx="882">
                  <c:v>45058</c:v>
                </c:pt>
                <c:pt idx="883">
                  <c:v>45057</c:v>
                </c:pt>
                <c:pt idx="884">
                  <c:v>45056</c:v>
                </c:pt>
                <c:pt idx="885">
                  <c:v>45055</c:v>
                </c:pt>
                <c:pt idx="886">
                  <c:v>45054</c:v>
                </c:pt>
                <c:pt idx="887">
                  <c:v>45053</c:v>
                </c:pt>
                <c:pt idx="888">
                  <c:v>45052</c:v>
                </c:pt>
                <c:pt idx="889">
                  <c:v>45051</c:v>
                </c:pt>
                <c:pt idx="890">
                  <c:v>45050</c:v>
                </c:pt>
                <c:pt idx="891">
                  <c:v>45049</c:v>
                </c:pt>
                <c:pt idx="892">
                  <c:v>45048</c:v>
                </c:pt>
                <c:pt idx="893">
                  <c:v>45047</c:v>
                </c:pt>
                <c:pt idx="894">
                  <c:v>45046</c:v>
                </c:pt>
                <c:pt idx="895">
                  <c:v>45045</c:v>
                </c:pt>
                <c:pt idx="896">
                  <c:v>45044</c:v>
                </c:pt>
                <c:pt idx="897">
                  <c:v>45043</c:v>
                </c:pt>
                <c:pt idx="898">
                  <c:v>45042</c:v>
                </c:pt>
                <c:pt idx="899">
                  <c:v>45041</c:v>
                </c:pt>
                <c:pt idx="900">
                  <c:v>45040</c:v>
                </c:pt>
                <c:pt idx="901">
                  <c:v>45039</c:v>
                </c:pt>
                <c:pt idx="902">
                  <c:v>45038</c:v>
                </c:pt>
                <c:pt idx="903">
                  <c:v>45037</c:v>
                </c:pt>
                <c:pt idx="904">
                  <c:v>45036</c:v>
                </c:pt>
                <c:pt idx="905">
                  <c:v>45035</c:v>
                </c:pt>
                <c:pt idx="906">
                  <c:v>45034</c:v>
                </c:pt>
                <c:pt idx="907">
                  <c:v>45033</c:v>
                </c:pt>
                <c:pt idx="908">
                  <c:v>45032</c:v>
                </c:pt>
                <c:pt idx="909">
                  <c:v>45031</c:v>
                </c:pt>
                <c:pt idx="910">
                  <c:v>45030</c:v>
                </c:pt>
                <c:pt idx="911">
                  <c:v>45029</c:v>
                </c:pt>
                <c:pt idx="912">
                  <c:v>45028</c:v>
                </c:pt>
                <c:pt idx="913">
                  <c:v>45027</c:v>
                </c:pt>
                <c:pt idx="914">
                  <c:v>45026</c:v>
                </c:pt>
                <c:pt idx="915">
                  <c:v>45025</c:v>
                </c:pt>
                <c:pt idx="916">
                  <c:v>45024</c:v>
                </c:pt>
                <c:pt idx="917">
                  <c:v>45023</c:v>
                </c:pt>
                <c:pt idx="918">
                  <c:v>45022</c:v>
                </c:pt>
                <c:pt idx="919">
                  <c:v>45021</c:v>
                </c:pt>
                <c:pt idx="920">
                  <c:v>45020</c:v>
                </c:pt>
                <c:pt idx="921">
                  <c:v>45019</c:v>
                </c:pt>
                <c:pt idx="922">
                  <c:v>45018</c:v>
                </c:pt>
                <c:pt idx="923">
                  <c:v>45017</c:v>
                </c:pt>
                <c:pt idx="924">
                  <c:v>45016</c:v>
                </c:pt>
                <c:pt idx="925">
                  <c:v>45015</c:v>
                </c:pt>
                <c:pt idx="926">
                  <c:v>45014</c:v>
                </c:pt>
                <c:pt idx="927">
                  <c:v>45013</c:v>
                </c:pt>
                <c:pt idx="928">
                  <c:v>45012</c:v>
                </c:pt>
                <c:pt idx="929">
                  <c:v>45011</c:v>
                </c:pt>
                <c:pt idx="930">
                  <c:v>45010</c:v>
                </c:pt>
                <c:pt idx="931">
                  <c:v>45009</c:v>
                </c:pt>
                <c:pt idx="932">
                  <c:v>45008</c:v>
                </c:pt>
                <c:pt idx="933">
                  <c:v>45007</c:v>
                </c:pt>
                <c:pt idx="934">
                  <c:v>45006</c:v>
                </c:pt>
                <c:pt idx="935">
                  <c:v>45005</c:v>
                </c:pt>
                <c:pt idx="936">
                  <c:v>45004</c:v>
                </c:pt>
                <c:pt idx="937">
                  <c:v>45003</c:v>
                </c:pt>
                <c:pt idx="938">
                  <c:v>45002</c:v>
                </c:pt>
                <c:pt idx="939">
                  <c:v>45001</c:v>
                </c:pt>
                <c:pt idx="940">
                  <c:v>45000</c:v>
                </c:pt>
                <c:pt idx="941">
                  <c:v>44999</c:v>
                </c:pt>
                <c:pt idx="942">
                  <c:v>44998</c:v>
                </c:pt>
                <c:pt idx="943">
                  <c:v>44997</c:v>
                </c:pt>
                <c:pt idx="944">
                  <c:v>44996</c:v>
                </c:pt>
                <c:pt idx="945">
                  <c:v>44995</c:v>
                </c:pt>
                <c:pt idx="946">
                  <c:v>44994</c:v>
                </c:pt>
                <c:pt idx="947">
                  <c:v>44993</c:v>
                </c:pt>
                <c:pt idx="948">
                  <c:v>44992</c:v>
                </c:pt>
                <c:pt idx="949">
                  <c:v>44991</c:v>
                </c:pt>
                <c:pt idx="950">
                  <c:v>44990</c:v>
                </c:pt>
                <c:pt idx="951">
                  <c:v>44989</c:v>
                </c:pt>
                <c:pt idx="952">
                  <c:v>44988</c:v>
                </c:pt>
                <c:pt idx="953">
                  <c:v>44987</c:v>
                </c:pt>
                <c:pt idx="954">
                  <c:v>44986</c:v>
                </c:pt>
                <c:pt idx="955">
                  <c:v>44985</c:v>
                </c:pt>
                <c:pt idx="956">
                  <c:v>44984</c:v>
                </c:pt>
                <c:pt idx="957">
                  <c:v>44983</c:v>
                </c:pt>
                <c:pt idx="958">
                  <c:v>44982</c:v>
                </c:pt>
                <c:pt idx="959">
                  <c:v>44981</c:v>
                </c:pt>
                <c:pt idx="960">
                  <c:v>44980</c:v>
                </c:pt>
                <c:pt idx="961">
                  <c:v>44979</c:v>
                </c:pt>
                <c:pt idx="962">
                  <c:v>44978</c:v>
                </c:pt>
                <c:pt idx="963">
                  <c:v>44977</c:v>
                </c:pt>
                <c:pt idx="964">
                  <c:v>44976</c:v>
                </c:pt>
                <c:pt idx="965">
                  <c:v>44975</c:v>
                </c:pt>
                <c:pt idx="966">
                  <c:v>44974</c:v>
                </c:pt>
                <c:pt idx="967">
                  <c:v>44973</c:v>
                </c:pt>
                <c:pt idx="968">
                  <c:v>44972</c:v>
                </c:pt>
                <c:pt idx="969">
                  <c:v>44971</c:v>
                </c:pt>
                <c:pt idx="970">
                  <c:v>44970</c:v>
                </c:pt>
                <c:pt idx="971">
                  <c:v>44969</c:v>
                </c:pt>
                <c:pt idx="972">
                  <c:v>44968</c:v>
                </c:pt>
                <c:pt idx="973">
                  <c:v>44967</c:v>
                </c:pt>
                <c:pt idx="974">
                  <c:v>44966</c:v>
                </c:pt>
                <c:pt idx="975">
                  <c:v>44965</c:v>
                </c:pt>
                <c:pt idx="976">
                  <c:v>44964</c:v>
                </c:pt>
                <c:pt idx="977">
                  <c:v>44963</c:v>
                </c:pt>
                <c:pt idx="978">
                  <c:v>44962</c:v>
                </c:pt>
                <c:pt idx="979">
                  <c:v>44961</c:v>
                </c:pt>
                <c:pt idx="980">
                  <c:v>44960</c:v>
                </c:pt>
                <c:pt idx="981">
                  <c:v>44959</c:v>
                </c:pt>
                <c:pt idx="982">
                  <c:v>44958</c:v>
                </c:pt>
                <c:pt idx="983">
                  <c:v>44957</c:v>
                </c:pt>
                <c:pt idx="984">
                  <c:v>44956</c:v>
                </c:pt>
                <c:pt idx="985">
                  <c:v>44955</c:v>
                </c:pt>
                <c:pt idx="986">
                  <c:v>44954</c:v>
                </c:pt>
                <c:pt idx="987">
                  <c:v>44953</c:v>
                </c:pt>
                <c:pt idx="988">
                  <c:v>44952</c:v>
                </c:pt>
                <c:pt idx="989">
                  <c:v>44951</c:v>
                </c:pt>
                <c:pt idx="990">
                  <c:v>44950</c:v>
                </c:pt>
                <c:pt idx="991">
                  <c:v>44949</c:v>
                </c:pt>
                <c:pt idx="992">
                  <c:v>44948</c:v>
                </c:pt>
                <c:pt idx="993">
                  <c:v>44947</c:v>
                </c:pt>
                <c:pt idx="994">
                  <c:v>44946</c:v>
                </c:pt>
                <c:pt idx="995">
                  <c:v>44945</c:v>
                </c:pt>
                <c:pt idx="996">
                  <c:v>44944</c:v>
                </c:pt>
                <c:pt idx="997">
                  <c:v>44943</c:v>
                </c:pt>
                <c:pt idx="998">
                  <c:v>44942</c:v>
                </c:pt>
                <c:pt idx="999">
                  <c:v>44941</c:v>
                </c:pt>
                <c:pt idx="1000">
                  <c:v>44940</c:v>
                </c:pt>
                <c:pt idx="1001">
                  <c:v>44939</c:v>
                </c:pt>
                <c:pt idx="1002">
                  <c:v>44938</c:v>
                </c:pt>
                <c:pt idx="1003">
                  <c:v>44937</c:v>
                </c:pt>
                <c:pt idx="1004">
                  <c:v>44936</c:v>
                </c:pt>
                <c:pt idx="1005">
                  <c:v>44935</c:v>
                </c:pt>
                <c:pt idx="1006">
                  <c:v>44934</c:v>
                </c:pt>
                <c:pt idx="1007">
                  <c:v>44933</c:v>
                </c:pt>
                <c:pt idx="1008">
                  <c:v>44932</c:v>
                </c:pt>
                <c:pt idx="1009">
                  <c:v>44931</c:v>
                </c:pt>
                <c:pt idx="1010">
                  <c:v>44930</c:v>
                </c:pt>
                <c:pt idx="1011">
                  <c:v>44929</c:v>
                </c:pt>
                <c:pt idx="1012">
                  <c:v>44928</c:v>
                </c:pt>
                <c:pt idx="1013">
                  <c:v>44927</c:v>
                </c:pt>
                <c:pt idx="1014">
                  <c:v>44926</c:v>
                </c:pt>
                <c:pt idx="1015">
                  <c:v>44925</c:v>
                </c:pt>
                <c:pt idx="1016">
                  <c:v>44924</c:v>
                </c:pt>
                <c:pt idx="1017">
                  <c:v>44923</c:v>
                </c:pt>
                <c:pt idx="1018">
                  <c:v>44922</c:v>
                </c:pt>
                <c:pt idx="1019">
                  <c:v>44921</c:v>
                </c:pt>
                <c:pt idx="1020">
                  <c:v>44920</c:v>
                </c:pt>
                <c:pt idx="1021">
                  <c:v>44919</c:v>
                </c:pt>
                <c:pt idx="1022">
                  <c:v>44918</c:v>
                </c:pt>
                <c:pt idx="1023">
                  <c:v>44917</c:v>
                </c:pt>
                <c:pt idx="1024">
                  <c:v>44916</c:v>
                </c:pt>
                <c:pt idx="1025">
                  <c:v>44915</c:v>
                </c:pt>
                <c:pt idx="1026">
                  <c:v>44914</c:v>
                </c:pt>
                <c:pt idx="1027">
                  <c:v>44913</c:v>
                </c:pt>
                <c:pt idx="1028">
                  <c:v>44912</c:v>
                </c:pt>
                <c:pt idx="1029">
                  <c:v>44911</c:v>
                </c:pt>
                <c:pt idx="1030">
                  <c:v>44910</c:v>
                </c:pt>
                <c:pt idx="1031">
                  <c:v>44909</c:v>
                </c:pt>
                <c:pt idx="1032">
                  <c:v>44908</c:v>
                </c:pt>
                <c:pt idx="1033">
                  <c:v>44907</c:v>
                </c:pt>
                <c:pt idx="1034">
                  <c:v>44906</c:v>
                </c:pt>
                <c:pt idx="1035">
                  <c:v>44905</c:v>
                </c:pt>
                <c:pt idx="1036">
                  <c:v>44904</c:v>
                </c:pt>
                <c:pt idx="1037">
                  <c:v>44903</c:v>
                </c:pt>
                <c:pt idx="1038">
                  <c:v>44902</c:v>
                </c:pt>
                <c:pt idx="1039">
                  <c:v>44901</c:v>
                </c:pt>
                <c:pt idx="1040">
                  <c:v>44900</c:v>
                </c:pt>
                <c:pt idx="1041">
                  <c:v>44899</c:v>
                </c:pt>
                <c:pt idx="1042">
                  <c:v>44898</c:v>
                </c:pt>
                <c:pt idx="1043">
                  <c:v>44897</c:v>
                </c:pt>
                <c:pt idx="1044">
                  <c:v>44896</c:v>
                </c:pt>
              </c:numCache>
            </c:numRef>
          </c:cat>
          <c:val>
            <c:numRef>
              <c:f>'Stock Data'!$AO$4:$AO$1048</c:f>
              <c:numCache>
                <c:formatCode>#,##0.00_);\(#,##0.00\)</c:formatCode>
                <c:ptCount val="1045"/>
                <c:pt idx="0">
                  <c:v>2</c:v>
                </c:pt>
                <c:pt idx="1">
                  <c:v>598320</c:v>
                </c:pt>
                <c:pt idx="2">
                  <c:v>720534</c:v>
                </c:pt>
                <c:pt idx="3">
                  <c:v>720534</c:v>
                </c:pt>
                <c:pt idx="4">
                  <c:v>720534</c:v>
                </c:pt>
                <c:pt idx="5">
                  <c:v>678303</c:v>
                </c:pt>
                <c:pt idx="6">
                  <c:v>922523</c:v>
                </c:pt>
                <c:pt idx="7">
                  <c:v>768032</c:v>
                </c:pt>
                <c:pt idx="8">
                  <c:v>544427</c:v>
                </c:pt>
                <c:pt idx="9">
                  <c:v>544427</c:v>
                </c:pt>
                <c:pt idx="10">
                  <c:v>544427</c:v>
                </c:pt>
                <c:pt idx="11">
                  <c:v>544427</c:v>
                </c:pt>
                <c:pt idx="12">
                  <c:v>470919</c:v>
                </c:pt>
                <c:pt idx="13">
                  <c:v>493502</c:v>
                </c:pt>
                <c:pt idx="14">
                  <c:v>676211</c:v>
                </c:pt>
                <c:pt idx="15">
                  <c:v>585355</c:v>
                </c:pt>
                <c:pt idx="16">
                  <c:v>740641</c:v>
                </c:pt>
                <c:pt idx="17">
                  <c:v>740641</c:v>
                </c:pt>
                <c:pt idx="18">
                  <c:v>740641</c:v>
                </c:pt>
                <c:pt idx="19">
                  <c:v>700776</c:v>
                </c:pt>
                <c:pt idx="20">
                  <c:v>803294</c:v>
                </c:pt>
                <c:pt idx="21">
                  <c:v>558742</c:v>
                </c:pt>
                <c:pt idx="22">
                  <c:v>832727</c:v>
                </c:pt>
                <c:pt idx="23">
                  <c:v>1086165</c:v>
                </c:pt>
                <c:pt idx="24">
                  <c:v>1086165</c:v>
                </c:pt>
                <c:pt idx="25">
                  <c:v>1086165</c:v>
                </c:pt>
                <c:pt idx="26">
                  <c:v>490006</c:v>
                </c:pt>
                <c:pt idx="27">
                  <c:v>1052453</c:v>
                </c:pt>
                <c:pt idx="28">
                  <c:v>455226</c:v>
                </c:pt>
                <c:pt idx="29">
                  <c:v>749732</c:v>
                </c:pt>
                <c:pt idx="30">
                  <c:v>723771</c:v>
                </c:pt>
                <c:pt idx="31">
                  <c:v>723771</c:v>
                </c:pt>
                <c:pt idx="32">
                  <c:v>723771</c:v>
                </c:pt>
                <c:pt idx="33">
                  <c:v>572733</c:v>
                </c:pt>
                <c:pt idx="34">
                  <c:v>694462</c:v>
                </c:pt>
                <c:pt idx="35">
                  <c:v>864535</c:v>
                </c:pt>
                <c:pt idx="36">
                  <c:v>1295835</c:v>
                </c:pt>
                <c:pt idx="37">
                  <c:v>927144</c:v>
                </c:pt>
                <c:pt idx="38">
                  <c:v>927144</c:v>
                </c:pt>
                <c:pt idx="39">
                  <c:v>927144</c:v>
                </c:pt>
                <c:pt idx="40">
                  <c:v>857321</c:v>
                </c:pt>
                <c:pt idx="41">
                  <c:v>1475920</c:v>
                </c:pt>
                <c:pt idx="42">
                  <c:v>1113038</c:v>
                </c:pt>
                <c:pt idx="43">
                  <c:v>1122077</c:v>
                </c:pt>
                <c:pt idx="44">
                  <c:v>1320132</c:v>
                </c:pt>
                <c:pt idx="45">
                  <c:v>1320132</c:v>
                </c:pt>
                <c:pt idx="46">
                  <c:v>1320132</c:v>
                </c:pt>
                <c:pt idx="47">
                  <c:v>1658779</c:v>
                </c:pt>
                <c:pt idx="48">
                  <c:v>3855694</c:v>
                </c:pt>
                <c:pt idx="49">
                  <c:v>1078859</c:v>
                </c:pt>
                <c:pt idx="50">
                  <c:v>878586</c:v>
                </c:pt>
                <c:pt idx="51">
                  <c:v>713107</c:v>
                </c:pt>
                <c:pt idx="52">
                  <c:v>713107</c:v>
                </c:pt>
                <c:pt idx="53">
                  <c:v>713107</c:v>
                </c:pt>
                <c:pt idx="54">
                  <c:v>1111492</c:v>
                </c:pt>
                <c:pt idx="55">
                  <c:v>775211</c:v>
                </c:pt>
                <c:pt idx="56">
                  <c:v>896674</c:v>
                </c:pt>
                <c:pt idx="57">
                  <c:v>443203</c:v>
                </c:pt>
                <c:pt idx="58">
                  <c:v>701500</c:v>
                </c:pt>
                <c:pt idx="59">
                  <c:v>701500</c:v>
                </c:pt>
                <c:pt idx="60">
                  <c:v>701500</c:v>
                </c:pt>
                <c:pt idx="61">
                  <c:v>507225</c:v>
                </c:pt>
                <c:pt idx="62">
                  <c:v>519730</c:v>
                </c:pt>
                <c:pt idx="63">
                  <c:v>555429</c:v>
                </c:pt>
                <c:pt idx="64">
                  <c:v>739900</c:v>
                </c:pt>
                <c:pt idx="65">
                  <c:v>433063</c:v>
                </c:pt>
                <c:pt idx="66">
                  <c:v>433063</c:v>
                </c:pt>
                <c:pt idx="67">
                  <c:v>433063</c:v>
                </c:pt>
                <c:pt idx="68">
                  <c:v>433063</c:v>
                </c:pt>
                <c:pt idx="69">
                  <c:v>907204</c:v>
                </c:pt>
                <c:pt idx="70">
                  <c:v>881886</c:v>
                </c:pt>
                <c:pt idx="71">
                  <c:v>924155</c:v>
                </c:pt>
                <c:pt idx="72">
                  <c:v>1849394</c:v>
                </c:pt>
                <c:pt idx="73">
                  <c:v>1849394</c:v>
                </c:pt>
                <c:pt idx="74">
                  <c:v>1849394</c:v>
                </c:pt>
                <c:pt idx="75">
                  <c:v>559247</c:v>
                </c:pt>
                <c:pt idx="76">
                  <c:v>751101</c:v>
                </c:pt>
                <c:pt idx="77">
                  <c:v>801570</c:v>
                </c:pt>
                <c:pt idx="78">
                  <c:v>741222</c:v>
                </c:pt>
                <c:pt idx="79">
                  <c:v>1419838</c:v>
                </c:pt>
                <c:pt idx="80">
                  <c:v>1419838</c:v>
                </c:pt>
                <c:pt idx="81">
                  <c:v>1419838</c:v>
                </c:pt>
                <c:pt idx="82">
                  <c:v>783656</c:v>
                </c:pt>
                <c:pt idx="83">
                  <c:v>783656</c:v>
                </c:pt>
                <c:pt idx="84">
                  <c:v>613667</c:v>
                </c:pt>
                <c:pt idx="85">
                  <c:v>884476</c:v>
                </c:pt>
                <c:pt idx="86">
                  <c:v>642562</c:v>
                </c:pt>
                <c:pt idx="87">
                  <c:v>642562</c:v>
                </c:pt>
                <c:pt idx="88">
                  <c:v>642562</c:v>
                </c:pt>
                <c:pt idx="89">
                  <c:v>543950</c:v>
                </c:pt>
                <c:pt idx="90">
                  <c:v>864858</c:v>
                </c:pt>
                <c:pt idx="91">
                  <c:v>704456</c:v>
                </c:pt>
                <c:pt idx="92">
                  <c:v>501308</c:v>
                </c:pt>
                <c:pt idx="93">
                  <c:v>494053</c:v>
                </c:pt>
                <c:pt idx="94">
                  <c:v>494053</c:v>
                </c:pt>
                <c:pt idx="95">
                  <c:v>494053</c:v>
                </c:pt>
                <c:pt idx="96">
                  <c:v>523608</c:v>
                </c:pt>
                <c:pt idx="97">
                  <c:v>520958</c:v>
                </c:pt>
                <c:pt idx="98">
                  <c:v>822463</c:v>
                </c:pt>
                <c:pt idx="99">
                  <c:v>681909</c:v>
                </c:pt>
                <c:pt idx="100">
                  <c:v>861067</c:v>
                </c:pt>
                <c:pt idx="101">
                  <c:v>861067</c:v>
                </c:pt>
                <c:pt idx="102">
                  <c:v>861067</c:v>
                </c:pt>
                <c:pt idx="103">
                  <c:v>555040</c:v>
                </c:pt>
                <c:pt idx="104">
                  <c:v>489857</c:v>
                </c:pt>
                <c:pt idx="105">
                  <c:v>550086</c:v>
                </c:pt>
                <c:pt idx="106">
                  <c:v>496460</c:v>
                </c:pt>
                <c:pt idx="107">
                  <c:v>496460</c:v>
                </c:pt>
                <c:pt idx="108">
                  <c:v>496460</c:v>
                </c:pt>
                <c:pt idx="109">
                  <c:v>496460</c:v>
                </c:pt>
                <c:pt idx="110">
                  <c:v>584469</c:v>
                </c:pt>
                <c:pt idx="111">
                  <c:v>697994</c:v>
                </c:pt>
                <c:pt idx="112">
                  <c:v>752984</c:v>
                </c:pt>
                <c:pt idx="113">
                  <c:v>990005</c:v>
                </c:pt>
                <c:pt idx="114">
                  <c:v>849403</c:v>
                </c:pt>
                <c:pt idx="115">
                  <c:v>849403</c:v>
                </c:pt>
                <c:pt idx="116">
                  <c:v>849403</c:v>
                </c:pt>
                <c:pt idx="117">
                  <c:v>1145584</c:v>
                </c:pt>
                <c:pt idx="118">
                  <c:v>773782</c:v>
                </c:pt>
                <c:pt idx="119">
                  <c:v>774914</c:v>
                </c:pt>
                <c:pt idx="120">
                  <c:v>831490</c:v>
                </c:pt>
                <c:pt idx="121">
                  <c:v>574716</c:v>
                </c:pt>
                <c:pt idx="122">
                  <c:v>574716</c:v>
                </c:pt>
                <c:pt idx="123">
                  <c:v>574716</c:v>
                </c:pt>
                <c:pt idx="124">
                  <c:v>1291116</c:v>
                </c:pt>
                <c:pt idx="125">
                  <c:v>673118</c:v>
                </c:pt>
                <c:pt idx="126">
                  <c:v>1433147</c:v>
                </c:pt>
                <c:pt idx="127">
                  <c:v>909446</c:v>
                </c:pt>
                <c:pt idx="128">
                  <c:v>748683</c:v>
                </c:pt>
                <c:pt idx="129">
                  <c:v>748683</c:v>
                </c:pt>
                <c:pt idx="130">
                  <c:v>748683</c:v>
                </c:pt>
                <c:pt idx="131">
                  <c:v>998456</c:v>
                </c:pt>
                <c:pt idx="132">
                  <c:v>1209155</c:v>
                </c:pt>
                <c:pt idx="133">
                  <c:v>936915</c:v>
                </c:pt>
                <c:pt idx="134">
                  <c:v>982706</c:v>
                </c:pt>
                <c:pt idx="135">
                  <c:v>775620</c:v>
                </c:pt>
                <c:pt idx="136">
                  <c:v>775620</c:v>
                </c:pt>
                <c:pt idx="137">
                  <c:v>775620</c:v>
                </c:pt>
                <c:pt idx="138">
                  <c:v>844748</c:v>
                </c:pt>
                <c:pt idx="139">
                  <c:v>1363855</c:v>
                </c:pt>
                <c:pt idx="140">
                  <c:v>1240133</c:v>
                </c:pt>
                <c:pt idx="141">
                  <c:v>1130211</c:v>
                </c:pt>
                <c:pt idx="142">
                  <c:v>1949090</c:v>
                </c:pt>
                <c:pt idx="143">
                  <c:v>1949090</c:v>
                </c:pt>
                <c:pt idx="144">
                  <c:v>1949090</c:v>
                </c:pt>
                <c:pt idx="145">
                  <c:v>1949090</c:v>
                </c:pt>
                <c:pt idx="146">
                  <c:v>3306710</c:v>
                </c:pt>
                <c:pt idx="147">
                  <c:v>621989</c:v>
                </c:pt>
                <c:pt idx="148">
                  <c:v>1035915</c:v>
                </c:pt>
                <c:pt idx="149">
                  <c:v>1275280</c:v>
                </c:pt>
                <c:pt idx="150">
                  <c:v>1275280</c:v>
                </c:pt>
                <c:pt idx="151">
                  <c:v>1275280</c:v>
                </c:pt>
                <c:pt idx="152">
                  <c:v>1490730</c:v>
                </c:pt>
                <c:pt idx="153">
                  <c:v>2818256</c:v>
                </c:pt>
                <c:pt idx="154">
                  <c:v>2090841</c:v>
                </c:pt>
                <c:pt idx="155">
                  <c:v>1515588</c:v>
                </c:pt>
                <c:pt idx="156">
                  <c:v>1222513</c:v>
                </c:pt>
                <c:pt idx="157">
                  <c:v>1222513</c:v>
                </c:pt>
                <c:pt idx="158">
                  <c:v>1222513</c:v>
                </c:pt>
                <c:pt idx="159">
                  <c:v>833333</c:v>
                </c:pt>
                <c:pt idx="160">
                  <c:v>713829</c:v>
                </c:pt>
                <c:pt idx="161">
                  <c:v>955007</c:v>
                </c:pt>
                <c:pt idx="162">
                  <c:v>770128</c:v>
                </c:pt>
                <c:pt idx="163">
                  <c:v>544201</c:v>
                </c:pt>
                <c:pt idx="164">
                  <c:v>544201</c:v>
                </c:pt>
                <c:pt idx="165">
                  <c:v>544201</c:v>
                </c:pt>
                <c:pt idx="166">
                  <c:v>556391</c:v>
                </c:pt>
                <c:pt idx="167">
                  <c:v>751635</c:v>
                </c:pt>
                <c:pt idx="168">
                  <c:v>914105</c:v>
                </c:pt>
                <c:pt idx="169">
                  <c:v>766530</c:v>
                </c:pt>
                <c:pt idx="170">
                  <c:v>1669303</c:v>
                </c:pt>
                <c:pt idx="171">
                  <c:v>1669303</c:v>
                </c:pt>
                <c:pt idx="172">
                  <c:v>1669303</c:v>
                </c:pt>
                <c:pt idx="173">
                  <c:v>878182</c:v>
                </c:pt>
                <c:pt idx="174">
                  <c:v>982313</c:v>
                </c:pt>
                <c:pt idx="175">
                  <c:v>1070859</c:v>
                </c:pt>
                <c:pt idx="176">
                  <c:v>1685847</c:v>
                </c:pt>
                <c:pt idx="177">
                  <c:v>801229</c:v>
                </c:pt>
                <c:pt idx="178">
                  <c:v>801229</c:v>
                </c:pt>
                <c:pt idx="179">
                  <c:v>801229</c:v>
                </c:pt>
                <c:pt idx="180">
                  <c:v>1125297</c:v>
                </c:pt>
                <c:pt idx="181">
                  <c:v>1241553</c:v>
                </c:pt>
                <c:pt idx="182">
                  <c:v>640766</c:v>
                </c:pt>
                <c:pt idx="183">
                  <c:v>1018949</c:v>
                </c:pt>
                <c:pt idx="184">
                  <c:v>1149636</c:v>
                </c:pt>
                <c:pt idx="185">
                  <c:v>1149636</c:v>
                </c:pt>
                <c:pt idx="186">
                  <c:v>1149636</c:v>
                </c:pt>
                <c:pt idx="187">
                  <c:v>1692933</c:v>
                </c:pt>
                <c:pt idx="188">
                  <c:v>1020896</c:v>
                </c:pt>
                <c:pt idx="189">
                  <c:v>973026</c:v>
                </c:pt>
                <c:pt idx="190">
                  <c:v>780302</c:v>
                </c:pt>
                <c:pt idx="191">
                  <c:v>1191557</c:v>
                </c:pt>
                <c:pt idx="192">
                  <c:v>1191557</c:v>
                </c:pt>
                <c:pt idx="193">
                  <c:v>1191557</c:v>
                </c:pt>
                <c:pt idx="194">
                  <c:v>958084</c:v>
                </c:pt>
                <c:pt idx="195">
                  <c:v>1670163</c:v>
                </c:pt>
                <c:pt idx="196">
                  <c:v>1076018</c:v>
                </c:pt>
                <c:pt idx="197">
                  <c:v>756709</c:v>
                </c:pt>
                <c:pt idx="198">
                  <c:v>950178</c:v>
                </c:pt>
                <c:pt idx="199">
                  <c:v>950178</c:v>
                </c:pt>
                <c:pt idx="200">
                  <c:v>950178</c:v>
                </c:pt>
                <c:pt idx="201">
                  <c:v>985698</c:v>
                </c:pt>
                <c:pt idx="202">
                  <c:v>1142462</c:v>
                </c:pt>
                <c:pt idx="203">
                  <c:v>2347299</c:v>
                </c:pt>
                <c:pt idx="204">
                  <c:v>2081547</c:v>
                </c:pt>
                <c:pt idx="205">
                  <c:v>2081547</c:v>
                </c:pt>
                <c:pt idx="206">
                  <c:v>2081547</c:v>
                </c:pt>
                <c:pt idx="207">
                  <c:v>2081547</c:v>
                </c:pt>
                <c:pt idx="208">
                  <c:v>1012504</c:v>
                </c:pt>
                <c:pt idx="209">
                  <c:v>1267447</c:v>
                </c:pt>
                <c:pt idx="210">
                  <c:v>725851</c:v>
                </c:pt>
                <c:pt idx="211">
                  <c:v>594670</c:v>
                </c:pt>
                <c:pt idx="212">
                  <c:v>703287</c:v>
                </c:pt>
                <c:pt idx="213">
                  <c:v>703287</c:v>
                </c:pt>
                <c:pt idx="214">
                  <c:v>703287</c:v>
                </c:pt>
                <c:pt idx="215">
                  <c:v>545933</c:v>
                </c:pt>
                <c:pt idx="216">
                  <c:v>871084</c:v>
                </c:pt>
                <c:pt idx="217">
                  <c:v>1078439</c:v>
                </c:pt>
                <c:pt idx="218">
                  <c:v>960614</c:v>
                </c:pt>
                <c:pt idx="219">
                  <c:v>1947396</c:v>
                </c:pt>
                <c:pt idx="220">
                  <c:v>1947396</c:v>
                </c:pt>
                <c:pt idx="221">
                  <c:v>1947396</c:v>
                </c:pt>
                <c:pt idx="222">
                  <c:v>604423</c:v>
                </c:pt>
                <c:pt idx="223">
                  <c:v>704890</c:v>
                </c:pt>
                <c:pt idx="224">
                  <c:v>686608</c:v>
                </c:pt>
                <c:pt idx="225">
                  <c:v>695180</c:v>
                </c:pt>
                <c:pt idx="226">
                  <c:v>919648</c:v>
                </c:pt>
                <c:pt idx="227">
                  <c:v>919648</c:v>
                </c:pt>
                <c:pt idx="228">
                  <c:v>919648</c:v>
                </c:pt>
                <c:pt idx="229">
                  <c:v>568609</c:v>
                </c:pt>
                <c:pt idx="230">
                  <c:v>442971</c:v>
                </c:pt>
                <c:pt idx="231">
                  <c:v>574878</c:v>
                </c:pt>
                <c:pt idx="232">
                  <c:v>583966</c:v>
                </c:pt>
                <c:pt idx="233">
                  <c:v>583966</c:v>
                </c:pt>
                <c:pt idx="234">
                  <c:v>583966</c:v>
                </c:pt>
                <c:pt idx="235">
                  <c:v>583966</c:v>
                </c:pt>
                <c:pt idx="236">
                  <c:v>654524</c:v>
                </c:pt>
                <c:pt idx="237">
                  <c:v>944780</c:v>
                </c:pt>
                <c:pt idx="238">
                  <c:v>854623</c:v>
                </c:pt>
                <c:pt idx="239">
                  <c:v>1168162</c:v>
                </c:pt>
                <c:pt idx="240">
                  <c:v>1041657</c:v>
                </c:pt>
                <c:pt idx="241">
                  <c:v>1041657</c:v>
                </c:pt>
                <c:pt idx="242">
                  <c:v>1041657</c:v>
                </c:pt>
                <c:pt idx="243">
                  <c:v>1826121</c:v>
                </c:pt>
                <c:pt idx="244">
                  <c:v>1826121</c:v>
                </c:pt>
                <c:pt idx="245">
                  <c:v>967799</c:v>
                </c:pt>
                <c:pt idx="246">
                  <c:v>586975</c:v>
                </c:pt>
                <c:pt idx="247">
                  <c:v>413598</c:v>
                </c:pt>
                <c:pt idx="248">
                  <c:v>413598</c:v>
                </c:pt>
                <c:pt idx="249">
                  <c:v>413598</c:v>
                </c:pt>
                <c:pt idx="250">
                  <c:v>412524</c:v>
                </c:pt>
                <c:pt idx="251">
                  <c:v>356710</c:v>
                </c:pt>
                <c:pt idx="252">
                  <c:v>356710</c:v>
                </c:pt>
                <c:pt idx="253">
                  <c:v>448998</c:v>
                </c:pt>
                <c:pt idx="254">
                  <c:v>413063</c:v>
                </c:pt>
                <c:pt idx="255">
                  <c:v>413063</c:v>
                </c:pt>
                <c:pt idx="256">
                  <c:v>413063</c:v>
                </c:pt>
                <c:pt idx="257">
                  <c:v>603462</c:v>
                </c:pt>
                <c:pt idx="258">
                  <c:v>205417</c:v>
                </c:pt>
                <c:pt idx="259">
                  <c:v>205417</c:v>
                </c:pt>
                <c:pt idx="260">
                  <c:v>638745</c:v>
                </c:pt>
                <c:pt idx="261">
                  <c:v>1905433</c:v>
                </c:pt>
                <c:pt idx="262">
                  <c:v>1905433</c:v>
                </c:pt>
                <c:pt idx="263">
                  <c:v>1905433</c:v>
                </c:pt>
                <c:pt idx="264">
                  <c:v>1051853</c:v>
                </c:pt>
                <c:pt idx="265">
                  <c:v>606199</c:v>
                </c:pt>
                <c:pt idx="266">
                  <c:v>762048</c:v>
                </c:pt>
                <c:pt idx="267">
                  <c:v>800494</c:v>
                </c:pt>
                <c:pt idx="268">
                  <c:v>592178</c:v>
                </c:pt>
                <c:pt idx="269">
                  <c:v>592178</c:v>
                </c:pt>
                <c:pt idx="270">
                  <c:v>592178</c:v>
                </c:pt>
                <c:pt idx="271">
                  <c:v>594001</c:v>
                </c:pt>
                <c:pt idx="272">
                  <c:v>629416</c:v>
                </c:pt>
                <c:pt idx="273">
                  <c:v>567042</c:v>
                </c:pt>
                <c:pt idx="274">
                  <c:v>579162</c:v>
                </c:pt>
                <c:pt idx="275">
                  <c:v>447799</c:v>
                </c:pt>
                <c:pt idx="276">
                  <c:v>447799</c:v>
                </c:pt>
                <c:pt idx="277">
                  <c:v>447799</c:v>
                </c:pt>
                <c:pt idx="278">
                  <c:v>382255</c:v>
                </c:pt>
                <c:pt idx="279">
                  <c:v>496858</c:v>
                </c:pt>
                <c:pt idx="280">
                  <c:v>348924</c:v>
                </c:pt>
                <c:pt idx="281">
                  <c:v>432690</c:v>
                </c:pt>
                <c:pt idx="282">
                  <c:v>173715</c:v>
                </c:pt>
                <c:pt idx="283">
                  <c:v>173715</c:v>
                </c:pt>
                <c:pt idx="284">
                  <c:v>173715</c:v>
                </c:pt>
                <c:pt idx="285">
                  <c:v>339524</c:v>
                </c:pt>
                <c:pt idx="286">
                  <c:v>339524</c:v>
                </c:pt>
                <c:pt idx="287">
                  <c:v>504840</c:v>
                </c:pt>
                <c:pt idx="288">
                  <c:v>707695</c:v>
                </c:pt>
                <c:pt idx="289">
                  <c:v>379987</c:v>
                </c:pt>
                <c:pt idx="290">
                  <c:v>379987</c:v>
                </c:pt>
                <c:pt idx="291">
                  <c:v>379987</c:v>
                </c:pt>
                <c:pt idx="292">
                  <c:v>263865</c:v>
                </c:pt>
                <c:pt idx="293">
                  <c:v>379990</c:v>
                </c:pt>
                <c:pt idx="294">
                  <c:v>486981</c:v>
                </c:pt>
                <c:pt idx="295">
                  <c:v>594374</c:v>
                </c:pt>
                <c:pt idx="296">
                  <c:v>407799</c:v>
                </c:pt>
                <c:pt idx="297">
                  <c:v>407799</c:v>
                </c:pt>
                <c:pt idx="298">
                  <c:v>407799</c:v>
                </c:pt>
                <c:pt idx="299">
                  <c:v>363190</c:v>
                </c:pt>
                <c:pt idx="300">
                  <c:v>379341</c:v>
                </c:pt>
                <c:pt idx="301">
                  <c:v>451986</c:v>
                </c:pt>
                <c:pt idx="302">
                  <c:v>338715</c:v>
                </c:pt>
                <c:pt idx="303">
                  <c:v>636268</c:v>
                </c:pt>
                <c:pt idx="304">
                  <c:v>636268</c:v>
                </c:pt>
                <c:pt idx="305">
                  <c:v>636268</c:v>
                </c:pt>
                <c:pt idx="306">
                  <c:v>439813</c:v>
                </c:pt>
                <c:pt idx="307">
                  <c:v>659401</c:v>
                </c:pt>
                <c:pt idx="308">
                  <c:v>367430</c:v>
                </c:pt>
                <c:pt idx="309">
                  <c:v>406779</c:v>
                </c:pt>
                <c:pt idx="310">
                  <c:v>434844</c:v>
                </c:pt>
                <c:pt idx="311">
                  <c:v>434844</c:v>
                </c:pt>
                <c:pt idx="312">
                  <c:v>434844</c:v>
                </c:pt>
                <c:pt idx="313">
                  <c:v>327820</c:v>
                </c:pt>
                <c:pt idx="314">
                  <c:v>315559</c:v>
                </c:pt>
                <c:pt idx="315">
                  <c:v>405183</c:v>
                </c:pt>
                <c:pt idx="316">
                  <c:v>445658</c:v>
                </c:pt>
                <c:pt idx="317">
                  <c:v>322608</c:v>
                </c:pt>
                <c:pt idx="318">
                  <c:v>322608</c:v>
                </c:pt>
                <c:pt idx="319">
                  <c:v>322608</c:v>
                </c:pt>
                <c:pt idx="320">
                  <c:v>568813</c:v>
                </c:pt>
                <c:pt idx="321">
                  <c:v>843397</c:v>
                </c:pt>
                <c:pt idx="322">
                  <c:v>776579</c:v>
                </c:pt>
                <c:pt idx="323">
                  <c:v>598805</c:v>
                </c:pt>
                <c:pt idx="324">
                  <c:v>451493</c:v>
                </c:pt>
                <c:pt idx="325">
                  <c:v>451493</c:v>
                </c:pt>
                <c:pt idx="326">
                  <c:v>451493</c:v>
                </c:pt>
                <c:pt idx="327">
                  <c:v>455753</c:v>
                </c:pt>
                <c:pt idx="328">
                  <c:v>510729</c:v>
                </c:pt>
                <c:pt idx="329">
                  <c:v>665623</c:v>
                </c:pt>
                <c:pt idx="330">
                  <c:v>497378</c:v>
                </c:pt>
                <c:pt idx="331">
                  <c:v>577282</c:v>
                </c:pt>
                <c:pt idx="332">
                  <c:v>577282</c:v>
                </c:pt>
                <c:pt idx="333">
                  <c:v>577282</c:v>
                </c:pt>
                <c:pt idx="334">
                  <c:v>693481</c:v>
                </c:pt>
                <c:pt idx="335">
                  <c:v>864084</c:v>
                </c:pt>
                <c:pt idx="336">
                  <c:v>1139044</c:v>
                </c:pt>
                <c:pt idx="337">
                  <c:v>989738</c:v>
                </c:pt>
                <c:pt idx="338">
                  <c:v>1019539</c:v>
                </c:pt>
                <c:pt idx="339">
                  <c:v>1019539</c:v>
                </c:pt>
                <c:pt idx="340">
                  <c:v>1019539</c:v>
                </c:pt>
                <c:pt idx="341">
                  <c:v>1146252</c:v>
                </c:pt>
                <c:pt idx="342">
                  <c:v>1048698</c:v>
                </c:pt>
                <c:pt idx="343">
                  <c:v>1174025</c:v>
                </c:pt>
                <c:pt idx="344">
                  <c:v>595967</c:v>
                </c:pt>
                <c:pt idx="345">
                  <c:v>455381</c:v>
                </c:pt>
                <c:pt idx="346">
                  <c:v>455381</c:v>
                </c:pt>
                <c:pt idx="347">
                  <c:v>455381</c:v>
                </c:pt>
                <c:pt idx="348">
                  <c:v>1083263</c:v>
                </c:pt>
                <c:pt idx="349">
                  <c:v>770215</c:v>
                </c:pt>
                <c:pt idx="350">
                  <c:v>609273</c:v>
                </c:pt>
                <c:pt idx="351">
                  <c:v>381427</c:v>
                </c:pt>
                <c:pt idx="352">
                  <c:v>1263927</c:v>
                </c:pt>
                <c:pt idx="353">
                  <c:v>1263927</c:v>
                </c:pt>
                <c:pt idx="354">
                  <c:v>1263927</c:v>
                </c:pt>
                <c:pt idx="355">
                  <c:v>509476</c:v>
                </c:pt>
                <c:pt idx="356">
                  <c:v>510573</c:v>
                </c:pt>
                <c:pt idx="357">
                  <c:v>500336</c:v>
                </c:pt>
                <c:pt idx="358">
                  <c:v>353035</c:v>
                </c:pt>
                <c:pt idx="359">
                  <c:v>621160</c:v>
                </c:pt>
                <c:pt idx="360">
                  <c:v>621160</c:v>
                </c:pt>
                <c:pt idx="361">
                  <c:v>621160</c:v>
                </c:pt>
                <c:pt idx="362">
                  <c:v>351975</c:v>
                </c:pt>
                <c:pt idx="363">
                  <c:v>444666</c:v>
                </c:pt>
                <c:pt idx="364">
                  <c:v>506634</c:v>
                </c:pt>
                <c:pt idx="365">
                  <c:v>444922</c:v>
                </c:pt>
                <c:pt idx="366">
                  <c:v>693753</c:v>
                </c:pt>
                <c:pt idx="367">
                  <c:v>693753</c:v>
                </c:pt>
                <c:pt idx="368">
                  <c:v>693753</c:v>
                </c:pt>
                <c:pt idx="369">
                  <c:v>645499</c:v>
                </c:pt>
                <c:pt idx="370">
                  <c:v>502477</c:v>
                </c:pt>
                <c:pt idx="371">
                  <c:v>454185</c:v>
                </c:pt>
                <c:pt idx="372">
                  <c:v>302052</c:v>
                </c:pt>
                <c:pt idx="373">
                  <c:v>302052</c:v>
                </c:pt>
                <c:pt idx="374">
                  <c:v>302052</c:v>
                </c:pt>
                <c:pt idx="375">
                  <c:v>302052</c:v>
                </c:pt>
                <c:pt idx="376">
                  <c:v>211749</c:v>
                </c:pt>
                <c:pt idx="377">
                  <c:v>296725</c:v>
                </c:pt>
                <c:pt idx="378">
                  <c:v>515891</c:v>
                </c:pt>
                <c:pt idx="379">
                  <c:v>296978</c:v>
                </c:pt>
                <c:pt idx="380">
                  <c:v>334501</c:v>
                </c:pt>
                <c:pt idx="381">
                  <c:v>334501</c:v>
                </c:pt>
                <c:pt idx="382">
                  <c:v>334501</c:v>
                </c:pt>
                <c:pt idx="383">
                  <c:v>348946</c:v>
                </c:pt>
                <c:pt idx="384">
                  <c:v>329940</c:v>
                </c:pt>
                <c:pt idx="385">
                  <c:v>386289</c:v>
                </c:pt>
                <c:pt idx="386">
                  <c:v>506233</c:v>
                </c:pt>
                <c:pt idx="387">
                  <c:v>338413</c:v>
                </c:pt>
                <c:pt idx="388">
                  <c:v>338413</c:v>
                </c:pt>
                <c:pt idx="389">
                  <c:v>338413</c:v>
                </c:pt>
                <c:pt idx="390">
                  <c:v>321515</c:v>
                </c:pt>
                <c:pt idx="391">
                  <c:v>303628</c:v>
                </c:pt>
                <c:pt idx="392">
                  <c:v>296743</c:v>
                </c:pt>
                <c:pt idx="393">
                  <c:v>300119</c:v>
                </c:pt>
                <c:pt idx="394">
                  <c:v>321400</c:v>
                </c:pt>
                <c:pt idx="395">
                  <c:v>321400</c:v>
                </c:pt>
                <c:pt idx="396">
                  <c:v>321400</c:v>
                </c:pt>
                <c:pt idx="397">
                  <c:v>307332</c:v>
                </c:pt>
                <c:pt idx="398">
                  <c:v>371777</c:v>
                </c:pt>
                <c:pt idx="399">
                  <c:v>629558</c:v>
                </c:pt>
                <c:pt idx="400">
                  <c:v>501795</c:v>
                </c:pt>
                <c:pt idx="401">
                  <c:v>500273</c:v>
                </c:pt>
                <c:pt idx="402">
                  <c:v>500273</c:v>
                </c:pt>
                <c:pt idx="403">
                  <c:v>500273</c:v>
                </c:pt>
                <c:pt idx="404">
                  <c:v>572469</c:v>
                </c:pt>
                <c:pt idx="405">
                  <c:v>382824</c:v>
                </c:pt>
                <c:pt idx="406">
                  <c:v>497436</c:v>
                </c:pt>
                <c:pt idx="407">
                  <c:v>586666</c:v>
                </c:pt>
                <c:pt idx="408">
                  <c:v>656542</c:v>
                </c:pt>
                <c:pt idx="409">
                  <c:v>656542</c:v>
                </c:pt>
                <c:pt idx="410">
                  <c:v>656542</c:v>
                </c:pt>
                <c:pt idx="411">
                  <c:v>852730</c:v>
                </c:pt>
                <c:pt idx="412">
                  <c:v>1187723</c:v>
                </c:pt>
                <c:pt idx="413">
                  <c:v>541319</c:v>
                </c:pt>
                <c:pt idx="414">
                  <c:v>534295</c:v>
                </c:pt>
                <c:pt idx="415">
                  <c:v>422150</c:v>
                </c:pt>
                <c:pt idx="416">
                  <c:v>422150</c:v>
                </c:pt>
                <c:pt idx="417">
                  <c:v>422150</c:v>
                </c:pt>
                <c:pt idx="418">
                  <c:v>526733</c:v>
                </c:pt>
                <c:pt idx="419">
                  <c:v>986612</c:v>
                </c:pt>
                <c:pt idx="420">
                  <c:v>427418</c:v>
                </c:pt>
                <c:pt idx="421">
                  <c:v>375224</c:v>
                </c:pt>
                <c:pt idx="422">
                  <c:v>410155</c:v>
                </c:pt>
                <c:pt idx="423">
                  <c:v>410155</c:v>
                </c:pt>
                <c:pt idx="424">
                  <c:v>410155</c:v>
                </c:pt>
                <c:pt idx="425">
                  <c:v>371573</c:v>
                </c:pt>
                <c:pt idx="426">
                  <c:v>305299</c:v>
                </c:pt>
                <c:pt idx="427">
                  <c:v>457607</c:v>
                </c:pt>
                <c:pt idx="428">
                  <c:v>306883</c:v>
                </c:pt>
                <c:pt idx="429">
                  <c:v>334842</c:v>
                </c:pt>
                <c:pt idx="430">
                  <c:v>334842</c:v>
                </c:pt>
                <c:pt idx="431">
                  <c:v>334842</c:v>
                </c:pt>
                <c:pt idx="432">
                  <c:v>163477</c:v>
                </c:pt>
                <c:pt idx="433">
                  <c:v>163477</c:v>
                </c:pt>
                <c:pt idx="434">
                  <c:v>358145</c:v>
                </c:pt>
                <c:pt idx="435">
                  <c:v>508430</c:v>
                </c:pt>
                <c:pt idx="436">
                  <c:v>1998001</c:v>
                </c:pt>
                <c:pt idx="437">
                  <c:v>1998001</c:v>
                </c:pt>
                <c:pt idx="438">
                  <c:v>1998001</c:v>
                </c:pt>
                <c:pt idx="439">
                  <c:v>411586</c:v>
                </c:pt>
                <c:pt idx="440">
                  <c:v>553491</c:v>
                </c:pt>
                <c:pt idx="441">
                  <c:v>533070</c:v>
                </c:pt>
                <c:pt idx="442">
                  <c:v>546528</c:v>
                </c:pt>
                <c:pt idx="443">
                  <c:v>3993241</c:v>
                </c:pt>
                <c:pt idx="444">
                  <c:v>3993241</c:v>
                </c:pt>
                <c:pt idx="445">
                  <c:v>3993241</c:v>
                </c:pt>
                <c:pt idx="446">
                  <c:v>511343</c:v>
                </c:pt>
                <c:pt idx="447">
                  <c:v>549362</c:v>
                </c:pt>
                <c:pt idx="448">
                  <c:v>549362</c:v>
                </c:pt>
                <c:pt idx="449">
                  <c:v>528602</c:v>
                </c:pt>
                <c:pt idx="450">
                  <c:v>330960</c:v>
                </c:pt>
                <c:pt idx="451">
                  <c:v>330960</c:v>
                </c:pt>
                <c:pt idx="452">
                  <c:v>330960</c:v>
                </c:pt>
                <c:pt idx="453">
                  <c:v>306904</c:v>
                </c:pt>
                <c:pt idx="454">
                  <c:v>255182</c:v>
                </c:pt>
                <c:pt idx="455">
                  <c:v>329378</c:v>
                </c:pt>
                <c:pt idx="456">
                  <c:v>471798</c:v>
                </c:pt>
                <c:pt idx="457">
                  <c:v>265864</c:v>
                </c:pt>
                <c:pt idx="458">
                  <c:v>265864</c:v>
                </c:pt>
                <c:pt idx="459">
                  <c:v>265864</c:v>
                </c:pt>
                <c:pt idx="460">
                  <c:v>493996</c:v>
                </c:pt>
                <c:pt idx="461">
                  <c:v>517640</c:v>
                </c:pt>
                <c:pt idx="462">
                  <c:v>591633</c:v>
                </c:pt>
                <c:pt idx="463">
                  <c:v>612940</c:v>
                </c:pt>
                <c:pt idx="464">
                  <c:v>602416</c:v>
                </c:pt>
                <c:pt idx="465">
                  <c:v>602416</c:v>
                </c:pt>
                <c:pt idx="466">
                  <c:v>602416</c:v>
                </c:pt>
                <c:pt idx="467">
                  <c:v>1678639</c:v>
                </c:pt>
                <c:pt idx="468">
                  <c:v>818719</c:v>
                </c:pt>
                <c:pt idx="469">
                  <c:v>732490</c:v>
                </c:pt>
                <c:pt idx="470">
                  <c:v>386133</c:v>
                </c:pt>
                <c:pt idx="471">
                  <c:v>386133</c:v>
                </c:pt>
                <c:pt idx="472">
                  <c:v>386133</c:v>
                </c:pt>
                <c:pt idx="473">
                  <c:v>386133</c:v>
                </c:pt>
                <c:pt idx="474">
                  <c:v>628530</c:v>
                </c:pt>
                <c:pt idx="475">
                  <c:v>661679</c:v>
                </c:pt>
                <c:pt idx="476">
                  <c:v>736647</c:v>
                </c:pt>
                <c:pt idx="477">
                  <c:v>437257</c:v>
                </c:pt>
                <c:pt idx="478">
                  <c:v>409565</c:v>
                </c:pt>
                <c:pt idx="479">
                  <c:v>409565</c:v>
                </c:pt>
                <c:pt idx="480">
                  <c:v>409565</c:v>
                </c:pt>
                <c:pt idx="481">
                  <c:v>356529</c:v>
                </c:pt>
                <c:pt idx="482">
                  <c:v>408590</c:v>
                </c:pt>
                <c:pt idx="483">
                  <c:v>459509</c:v>
                </c:pt>
                <c:pt idx="484">
                  <c:v>474762</c:v>
                </c:pt>
                <c:pt idx="485">
                  <c:v>361837</c:v>
                </c:pt>
                <c:pt idx="486">
                  <c:v>361837</c:v>
                </c:pt>
                <c:pt idx="487">
                  <c:v>361837</c:v>
                </c:pt>
                <c:pt idx="488">
                  <c:v>373614</c:v>
                </c:pt>
                <c:pt idx="489">
                  <c:v>354299</c:v>
                </c:pt>
                <c:pt idx="490">
                  <c:v>441916</c:v>
                </c:pt>
                <c:pt idx="491">
                  <c:v>594483</c:v>
                </c:pt>
                <c:pt idx="492">
                  <c:v>546948</c:v>
                </c:pt>
                <c:pt idx="493">
                  <c:v>546948</c:v>
                </c:pt>
                <c:pt idx="494">
                  <c:v>546948</c:v>
                </c:pt>
                <c:pt idx="495">
                  <c:v>630082</c:v>
                </c:pt>
                <c:pt idx="496">
                  <c:v>607047</c:v>
                </c:pt>
                <c:pt idx="497">
                  <c:v>692404</c:v>
                </c:pt>
                <c:pt idx="498">
                  <c:v>760433</c:v>
                </c:pt>
                <c:pt idx="499">
                  <c:v>652181</c:v>
                </c:pt>
                <c:pt idx="500">
                  <c:v>652181</c:v>
                </c:pt>
                <c:pt idx="501">
                  <c:v>652181</c:v>
                </c:pt>
                <c:pt idx="502">
                  <c:v>583442</c:v>
                </c:pt>
                <c:pt idx="503">
                  <c:v>555614</c:v>
                </c:pt>
                <c:pt idx="504">
                  <c:v>719457</c:v>
                </c:pt>
                <c:pt idx="505">
                  <c:v>687250</c:v>
                </c:pt>
                <c:pt idx="506">
                  <c:v>754298</c:v>
                </c:pt>
                <c:pt idx="507">
                  <c:v>754298</c:v>
                </c:pt>
                <c:pt idx="508">
                  <c:v>754298</c:v>
                </c:pt>
                <c:pt idx="509">
                  <c:v>868783</c:v>
                </c:pt>
                <c:pt idx="510">
                  <c:v>751108</c:v>
                </c:pt>
                <c:pt idx="511">
                  <c:v>546398</c:v>
                </c:pt>
                <c:pt idx="512">
                  <c:v>677100</c:v>
                </c:pt>
                <c:pt idx="513">
                  <c:v>589633</c:v>
                </c:pt>
                <c:pt idx="514">
                  <c:v>589633</c:v>
                </c:pt>
                <c:pt idx="515">
                  <c:v>589633</c:v>
                </c:pt>
                <c:pt idx="516">
                  <c:v>660735</c:v>
                </c:pt>
                <c:pt idx="517">
                  <c:v>587664</c:v>
                </c:pt>
                <c:pt idx="518">
                  <c:v>596566</c:v>
                </c:pt>
                <c:pt idx="519">
                  <c:v>629837</c:v>
                </c:pt>
                <c:pt idx="520">
                  <c:v>1232797</c:v>
                </c:pt>
                <c:pt idx="521">
                  <c:v>1232797</c:v>
                </c:pt>
                <c:pt idx="522">
                  <c:v>1232797</c:v>
                </c:pt>
                <c:pt idx="523">
                  <c:v>931432</c:v>
                </c:pt>
                <c:pt idx="524">
                  <c:v>2223053</c:v>
                </c:pt>
                <c:pt idx="525">
                  <c:v>2089305</c:v>
                </c:pt>
                <c:pt idx="526">
                  <c:v>595572</c:v>
                </c:pt>
                <c:pt idx="527">
                  <c:v>670570</c:v>
                </c:pt>
                <c:pt idx="528">
                  <c:v>670570</c:v>
                </c:pt>
                <c:pt idx="529">
                  <c:v>670570</c:v>
                </c:pt>
                <c:pt idx="530">
                  <c:v>670570</c:v>
                </c:pt>
                <c:pt idx="531">
                  <c:v>650611</c:v>
                </c:pt>
                <c:pt idx="532">
                  <c:v>609487</c:v>
                </c:pt>
                <c:pt idx="533">
                  <c:v>654105</c:v>
                </c:pt>
                <c:pt idx="534">
                  <c:v>674042</c:v>
                </c:pt>
                <c:pt idx="535">
                  <c:v>674042</c:v>
                </c:pt>
                <c:pt idx="536">
                  <c:v>674042</c:v>
                </c:pt>
                <c:pt idx="537">
                  <c:v>502675</c:v>
                </c:pt>
                <c:pt idx="538">
                  <c:v>662903</c:v>
                </c:pt>
                <c:pt idx="539">
                  <c:v>426366</c:v>
                </c:pt>
                <c:pt idx="540">
                  <c:v>585282</c:v>
                </c:pt>
                <c:pt idx="541">
                  <c:v>3003503</c:v>
                </c:pt>
                <c:pt idx="542">
                  <c:v>3003503</c:v>
                </c:pt>
                <c:pt idx="543">
                  <c:v>3003503</c:v>
                </c:pt>
                <c:pt idx="544">
                  <c:v>515542</c:v>
                </c:pt>
                <c:pt idx="545">
                  <c:v>736155</c:v>
                </c:pt>
                <c:pt idx="546">
                  <c:v>939378</c:v>
                </c:pt>
                <c:pt idx="547">
                  <c:v>593400</c:v>
                </c:pt>
                <c:pt idx="548">
                  <c:v>367389</c:v>
                </c:pt>
                <c:pt idx="549">
                  <c:v>367389</c:v>
                </c:pt>
                <c:pt idx="550">
                  <c:v>367389</c:v>
                </c:pt>
                <c:pt idx="551">
                  <c:v>385548</c:v>
                </c:pt>
                <c:pt idx="552">
                  <c:v>396297</c:v>
                </c:pt>
                <c:pt idx="553">
                  <c:v>478050</c:v>
                </c:pt>
                <c:pt idx="554">
                  <c:v>533928</c:v>
                </c:pt>
                <c:pt idx="555">
                  <c:v>676811</c:v>
                </c:pt>
                <c:pt idx="556">
                  <c:v>676811</c:v>
                </c:pt>
                <c:pt idx="557">
                  <c:v>676811</c:v>
                </c:pt>
                <c:pt idx="558">
                  <c:v>420294</c:v>
                </c:pt>
                <c:pt idx="559">
                  <c:v>370869</c:v>
                </c:pt>
                <c:pt idx="560">
                  <c:v>392226</c:v>
                </c:pt>
                <c:pt idx="561">
                  <c:v>455968</c:v>
                </c:pt>
                <c:pt idx="562">
                  <c:v>325826</c:v>
                </c:pt>
                <c:pt idx="563">
                  <c:v>325826</c:v>
                </c:pt>
                <c:pt idx="564">
                  <c:v>325826</c:v>
                </c:pt>
                <c:pt idx="565">
                  <c:v>486760</c:v>
                </c:pt>
                <c:pt idx="566">
                  <c:v>578525</c:v>
                </c:pt>
                <c:pt idx="567">
                  <c:v>611333</c:v>
                </c:pt>
                <c:pt idx="568">
                  <c:v>358048</c:v>
                </c:pt>
                <c:pt idx="569">
                  <c:v>358048</c:v>
                </c:pt>
                <c:pt idx="570">
                  <c:v>358048</c:v>
                </c:pt>
                <c:pt idx="571">
                  <c:v>358048</c:v>
                </c:pt>
                <c:pt idx="572">
                  <c:v>447888</c:v>
                </c:pt>
                <c:pt idx="573">
                  <c:v>437226</c:v>
                </c:pt>
                <c:pt idx="574">
                  <c:v>493697</c:v>
                </c:pt>
                <c:pt idx="575">
                  <c:v>468944</c:v>
                </c:pt>
                <c:pt idx="576">
                  <c:v>317914</c:v>
                </c:pt>
                <c:pt idx="577">
                  <c:v>317914</c:v>
                </c:pt>
                <c:pt idx="578">
                  <c:v>317914</c:v>
                </c:pt>
                <c:pt idx="579">
                  <c:v>383725</c:v>
                </c:pt>
                <c:pt idx="580">
                  <c:v>441099</c:v>
                </c:pt>
                <c:pt idx="581">
                  <c:v>374152</c:v>
                </c:pt>
                <c:pt idx="582">
                  <c:v>410030</c:v>
                </c:pt>
                <c:pt idx="583">
                  <c:v>541773</c:v>
                </c:pt>
                <c:pt idx="584">
                  <c:v>541773</c:v>
                </c:pt>
                <c:pt idx="585">
                  <c:v>541773</c:v>
                </c:pt>
                <c:pt idx="586">
                  <c:v>394735</c:v>
                </c:pt>
                <c:pt idx="587">
                  <c:v>719018</c:v>
                </c:pt>
                <c:pt idx="588">
                  <c:v>607871</c:v>
                </c:pt>
                <c:pt idx="589">
                  <c:v>742493</c:v>
                </c:pt>
                <c:pt idx="590">
                  <c:v>330722</c:v>
                </c:pt>
                <c:pt idx="591">
                  <c:v>330722</c:v>
                </c:pt>
                <c:pt idx="592">
                  <c:v>330722</c:v>
                </c:pt>
                <c:pt idx="593">
                  <c:v>570420</c:v>
                </c:pt>
                <c:pt idx="594">
                  <c:v>400399</c:v>
                </c:pt>
                <c:pt idx="595">
                  <c:v>475698</c:v>
                </c:pt>
                <c:pt idx="596">
                  <c:v>627146</c:v>
                </c:pt>
                <c:pt idx="597">
                  <c:v>400252</c:v>
                </c:pt>
                <c:pt idx="598">
                  <c:v>400252</c:v>
                </c:pt>
                <c:pt idx="599">
                  <c:v>400252</c:v>
                </c:pt>
                <c:pt idx="600">
                  <c:v>388047</c:v>
                </c:pt>
                <c:pt idx="601">
                  <c:v>434210</c:v>
                </c:pt>
                <c:pt idx="602">
                  <c:v>433796</c:v>
                </c:pt>
                <c:pt idx="603">
                  <c:v>403851</c:v>
                </c:pt>
                <c:pt idx="604">
                  <c:v>403851</c:v>
                </c:pt>
                <c:pt idx="605">
                  <c:v>403851</c:v>
                </c:pt>
                <c:pt idx="606">
                  <c:v>403851</c:v>
                </c:pt>
                <c:pt idx="607">
                  <c:v>479208</c:v>
                </c:pt>
                <c:pt idx="608">
                  <c:v>432218</c:v>
                </c:pt>
                <c:pt idx="609">
                  <c:v>593934</c:v>
                </c:pt>
                <c:pt idx="610">
                  <c:v>657785</c:v>
                </c:pt>
                <c:pt idx="611">
                  <c:v>987329</c:v>
                </c:pt>
                <c:pt idx="612">
                  <c:v>987329</c:v>
                </c:pt>
                <c:pt idx="613">
                  <c:v>987329</c:v>
                </c:pt>
                <c:pt idx="614">
                  <c:v>2055855</c:v>
                </c:pt>
                <c:pt idx="615">
                  <c:v>1609492</c:v>
                </c:pt>
                <c:pt idx="616">
                  <c:v>769043</c:v>
                </c:pt>
                <c:pt idx="617">
                  <c:v>598658</c:v>
                </c:pt>
                <c:pt idx="618">
                  <c:v>598658</c:v>
                </c:pt>
                <c:pt idx="619">
                  <c:v>598658</c:v>
                </c:pt>
                <c:pt idx="620">
                  <c:v>598658</c:v>
                </c:pt>
                <c:pt idx="621">
                  <c:v>557972</c:v>
                </c:pt>
                <c:pt idx="622">
                  <c:v>545695</c:v>
                </c:pt>
                <c:pt idx="623">
                  <c:v>433307</c:v>
                </c:pt>
                <c:pt idx="624">
                  <c:v>468884</c:v>
                </c:pt>
                <c:pt idx="625">
                  <c:v>468884</c:v>
                </c:pt>
                <c:pt idx="626">
                  <c:v>468884</c:v>
                </c:pt>
                <c:pt idx="627">
                  <c:v>468884</c:v>
                </c:pt>
                <c:pt idx="628">
                  <c:v>729564</c:v>
                </c:pt>
                <c:pt idx="629">
                  <c:v>740132</c:v>
                </c:pt>
                <c:pt idx="630">
                  <c:v>710663</c:v>
                </c:pt>
                <c:pt idx="631">
                  <c:v>687503</c:v>
                </c:pt>
                <c:pt idx="632">
                  <c:v>1838341</c:v>
                </c:pt>
                <c:pt idx="633">
                  <c:v>1838341</c:v>
                </c:pt>
                <c:pt idx="634">
                  <c:v>1838341</c:v>
                </c:pt>
                <c:pt idx="635">
                  <c:v>1549304</c:v>
                </c:pt>
                <c:pt idx="636">
                  <c:v>2404783</c:v>
                </c:pt>
                <c:pt idx="637">
                  <c:v>878685</c:v>
                </c:pt>
                <c:pt idx="638">
                  <c:v>596914</c:v>
                </c:pt>
                <c:pt idx="639">
                  <c:v>631791</c:v>
                </c:pt>
                <c:pt idx="640">
                  <c:v>631791</c:v>
                </c:pt>
                <c:pt idx="641">
                  <c:v>631791</c:v>
                </c:pt>
                <c:pt idx="642">
                  <c:v>469269</c:v>
                </c:pt>
                <c:pt idx="643">
                  <c:v>592960</c:v>
                </c:pt>
                <c:pt idx="644">
                  <c:v>529151</c:v>
                </c:pt>
                <c:pt idx="645">
                  <c:v>474230</c:v>
                </c:pt>
                <c:pt idx="646">
                  <c:v>769065</c:v>
                </c:pt>
                <c:pt idx="647">
                  <c:v>769065</c:v>
                </c:pt>
                <c:pt idx="648">
                  <c:v>769065</c:v>
                </c:pt>
                <c:pt idx="649">
                  <c:v>729172</c:v>
                </c:pt>
                <c:pt idx="650">
                  <c:v>877206</c:v>
                </c:pt>
                <c:pt idx="651">
                  <c:v>767090</c:v>
                </c:pt>
                <c:pt idx="652">
                  <c:v>955784</c:v>
                </c:pt>
                <c:pt idx="653">
                  <c:v>257007</c:v>
                </c:pt>
                <c:pt idx="654">
                  <c:v>257007</c:v>
                </c:pt>
                <c:pt idx="655">
                  <c:v>257007</c:v>
                </c:pt>
                <c:pt idx="656">
                  <c:v>1427565</c:v>
                </c:pt>
                <c:pt idx="657">
                  <c:v>1427565</c:v>
                </c:pt>
                <c:pt idx="658">
                  <c:v>1076989</c:v>
                </c:pt>
                <c:pt idx="659">
                  <c:v>900928</c:v>
                </c:pt>
                <c:pt idx="660">
                  <c:v>805619</c:v>
                </c:pt>
                <c:pt idx="661">
                  <c:v>805619</c:v>
                </c:pt>
                <c:pt idx="662">
                  <c:v>805619</c:v>
                </c:pt>
                <c:pt idx="663">
                  <c:v>841957</c:v>
                </c:pt>
                <c:pt idx="664">
                  <c:v>692826</c:v>
                </c:pt>
                <c:pt idx="665">
                  <c:v>819723</c:v>
                </c:pt>
                <c:pt idx="666">
                  <c:v>582131</c:v>
                </c:pt>
                <c:pt idx="667">
                  <c:v>639725</c:v>
                </c:pt>
                <c:pt idx="668">
                  <c:v>639725</c:v>
                </c:pt>
                <c:pt idx="669">
                  <c:v>639725</c:v>
                </c:pt>
                <c:pt idx="670">
                  <c:v>602242</c:v>
                </c:pt>
                <c:pt idx="671">
                  <c:v>575103</c:v>
                </c:pt>
                <c:pt idx="672">
                  <c:v>849162</c:v>
                </c:pt>
                <c:pt idx="673">
                  <c:v>551654</c:v>
                </c:pt>
                <c:pt idx="674">
                  <c:v>872414</c:v>
                </c:pt>
                <c:pt idx="675">
                  <c:v>872414</c:v>
                </c:pt>
                <c:pt idx="676">
                  <c:v>872414</c:v>
                </c:pt>
                <c:pt idx="677">
                  <c:v>1174085</c:v>
                </c:pt>
                <c:pt idx="678">
                  <c:v>743685</c:v>
                </c:pt>
                <c:pt idx="679">
                  <c:v>413585</c:v>
                </c:pt>
                <c:pt idx="680">
                  <c:v>465006</c:v>
                </c:pt>
                <c:pt idx="681">
                  <c:v>588772</c:v>
                </c:pt>
                <c:pt idx="682">
                  <c:v>588772</c:v>
                </c:pt>
                <c:pt idx="683">
                  <c:v>588772</c:v>
                </c:pt>
                <c:pt idx="684">
                  <c:v>486337</c:v>
                </c:pt>
                <c:pt idx="685">
                  <c:v>419696</c:v>
                </c:pt>
                <c:pt idx="686">
                  <c:v>444252</c:v>
                </c:pt>
                <c:pt idx="687">
                  <c:v>935974</c:v>
                </c:pt>
                <c:pt idx="688">
                  <c:v>1326099</c:v>
                </c:pt>
                <c:pt idx="689">
                  <c:v>1326099</c:v>
                </c:pt>
                <c:pt idx="690">
                  <c:v>1326099</c:v>
                </c:pt>
                <c:pt idx="691">
                  <c:v>801916</c:v>
                </c:pt>
                <c:pt idx="692">
                  <c:v>617837</c:v>
                </c:pt>
                <c:pt idx="693">
                  <c:v>1258189</c:v>
                </c:pt>
                <c:pt idx="694">
                  <c:v>1380463</c:v>
                </c:pt>
                <c:pt idx="695">
                  <c:v>1454490</c:v>
                </c:pt>
                <c:pt idx="696">
                  <c:v>1454490</c:v>
                </c:pt>
                <c:pt idx="697">
                  <c:v>1454490</c:v>
                </c:pt>
                <c:pt idx="698">
                  <c:v>817848</c:v>
                </c:pt>
                <c:pt idx="699">
                  <c:v>713742</c:v>
                </c:pt>
                <c:pt idx="700">
                  <c:v>939017</c:v>
                </c:pt>
                <c:pt idx="701">
                  <c:v>1074460</c:v>
                </c:pt>
                <c:pt idx="702">
                  <c:v>1232816</c:v>
                </c:pt>
                <c:pt idx="703">
                  <c:v>1232816</c:v>
                </c:pt>
                <c:pt idx="704">
                  <c:v>1232816</c:v>
                </c:pt>
                <c:pt idx="705">
                  <c:v>1337856</c:v>
                </c:pt>
                <c:pt idx="706">
                  <c:v>4616560</c:v>
                </c:pt>
                <c:pt idx="707">
                  <c:v>1472994</c:v>
                </c:pt>
                <c:pt idx="708">
                  <c:v>1037784</c:v>
                </c:pt>
                <c:pt idx="709">
                  <c:v>536294</c:v>
                </c:pt>
                <c:pt idx="710">
                  <c:v>536294</c:v>
                </c:pt>
                <c:pt idx="711">
                  <c:v>536294</c:v>
                </c:pt>
                <c:pt idx="712">
                  <c:v>566254</c:v>
                </c:pt>
                <c:pt idx="713">
                  <c:v>482821</c:v>
                </c:pt>
                <c:pt idx="714">
                  <c:v>672929</c:v>
                </c:pt>
                <c:pt idx="715">
                  <c:v>399073</c:v>
                </c:pt>
                <c:pt idx="716">
                  <c:v>489148</c:v>
                </c:pt>
                <c:pt idx="717">
                  <c:v>489148</c:v>
                </c:pt>
                <c:pt idx="718">
                  <c:v>489148</c:v>
                </c:pt>
                <c:pt idx="719">
                  <c:v>655816</c:v>
                </c:pt>
                <c:pt idx="720">
                  <c:v>348004</c:v>
                </c:pt>
                <c:pt idx="721">
                  <c:v>524261</c:v>
                </c:pt>
                <c:pt idx="722">
                  <c:v>553165</c:v>
                </c:pt>
                <c:pt idx="723">
                  <c:v>1325593</c:v>
                </c:pt>
                <c:pt idx="724">
                  <c:v>1325593</c:v>
                </c:pt>
                <c:pt idx="725">
                  <c:v>1325593</c:v>
                </c:pt>
                <c:pt idx="726">
                  <c:v>617709</c:v>
                </c:pt>
                <c:pt idx="727">
                  <c:v>783621</c:v>
                </c:pt>
                <c:pt idx="728">
                  <c:v>769728</c:v>
                </c:pt>
                <c:pt idx="729">
                  <c:v>644104</c:v>
                </c:pt>
                <c:pt idx="730">
                  <c:v>796715</c:v>
                </c:pt>
                <c:pt idx="731">
                  <c:v>796715</c:v>
                </c:pt>
                <c:pt idx="732">
                  <c:v>796715</c:v>
                </c:pt>
                <c:pt idx="733">
                  <c:v>876850</c:v>
                </c:pt>
                <c:pt idx="734">
                  <c:v>604568</c:v>
                </c:pt>
                <c:pt idx="735">
                  <c:v>743919</c:v>
                </c:pt>
                <c:pt idx="736">
                  <c:v>609344</c:v>
                </c:pt>
                <c:pt idx="737">
                  <c:v>609344</c:v>
                </c:pt>
                <c:pt idx="738">
                  <c:v>609344</c:v>
                </c:pt>
                <c:pt idx="739">
                  <c:v>609344</c:v>
                </c:pt>
                <c:pt idx="740">
                  <c:v>915009</c:v>
                </c:pt>
                <c:pt idx="741">
                  <c:v>468774</c:v>
                </c:pt>
                <c:pt idx="742">
                  <c:v>609436</c:v>
                </c:pt>
                <c:pt idx="743">
                  <c:v>468979</c:v>
                </c:pt>
                <c:pt idx="744">
                  <c:v>409545</c:v>
                </c:pt>
                <c:pt idx="745">
                  <c:v>409545</c:v>
                </c:pt>
                <c:pt idx="746">
                  <c:v>409545</c:v>
                </c:pt>
                <c:pt idx="747">
                  <c:v>589549</c:v>
                </c:pt>
                <c:pt idx="748">
                  <c:v>653667</c:v>
                </c:pt>
                <c:pt idx="749">
                  <c:v>733516</c:v>
                </c:pt>
                <c:pt idx="750">
                  <c:v>699514</c:v>
                </c:pt>
                <c:pt idx="751">
                  <c:v>669645</c:v>
                </c:pt>
                <c:pt idx="752">
                  <c:v>669645</c:v>
                </c:pt>
                <c:pt idx="753">
                  <c:v>669645</c:v>
                </c:pt>
                <c:pt idx="754">
                  <c:v>547823</c:v>
                </c:pt>
                <c:pt idx="755">
                  <c:v>570270</c:v>
                </c:pt>
                <c:pt idx="756">
                  <c:v>633425</c:v>
                </c:pt>
                <c:pt idx="757">
                  <c:v>619594</c:v>
                </c:pt>
                <c:pt idx="758">
                  <c:v>1009581</c:v>
                </c:pt>
                <c:pt idx="759">
                  <c:v>1009581</c:v>
                </c:pt>
                <c:pt idx="760">
                  <c:v>1009581</c:v>
                </c:pt>
                <c:pt idx="761">
                  <c:v>970159</c:v>
                </c:pt>
                <c:pt idx="762">
                  <c:v>723380</c:v>
                </c:pt>
                <c:pt idx="763">
                  <c:v>915629</c:v>
                </c:pt>
                <c:pt idx="764">
                  <c:v>510943</c:v>
                </c:pt>
                <c:pt idx="765">
                  <c:v>651571</c:v>
                </c:pt>
                <c:pt idx="766">
                  <c:v>651571</c:v>
                </c:pt>
                <c:pt idx="767">
                  <c:v>651571</c:v>
                </c:pt>
                <c:pt idx="768">
                  <c:v>752316</c:v>
                </c:pt>
                <c:pt idx="769">
                  <c:v>854868</c:v>
                </c:pt>
                <c:pt idx="770">
                  <c:v>943619</c:v>
                </c:pt>
                <c:pt idx="771">
                  <c:v>726520</c:v>
                </c:pt>
                <c:pt idx="772">
                  <c:v>772148</c:v>
                </c:pt>
                <c:pt idx="773">
                  <c:v>772148</c:v>
                </c:pt>
                <c:pt idx="774">
                  <c:v>772148</c:v>
                </c:pt>
                <c:pt idx="775">
                  <c:v>1185116</c:v>
                </c:pt>
                <c:pt idx="776">
                  <c:v>1636610</c:v>
                </c:pt>
                <c:pt idx="777">
                  <c:v>1026934</c:v>
                </c:pt>
                <c:pt idx="778">
                  <c:v>1161121</c:v>
                </c:pt>
                <c:pt idx="779">
                  <c:v>856453</c:v>
                </c:pt>
                <c:pt idx="780">
                  <c:v>856453</c:v>
                </c:pt>
                <c:pt idx="781">
                  <c:v>856453</c:v>
                </c:pt>
                <c:pt idx="782">
                  <c:v>671672</c:v>
                </c:pt>
                <c:pt idx="783">
                  <c:v>779417</c:v>
                </c:pt>
                <c:pt idx="784">
                  <c:v>728938</c:v>
                </c:pt>
                <c:pt idx="785">
                  <c:v>898225</c:v>
                </c:pt>
                <c:pt idx="786">
                  <c:v>721942</c:v>
                </c:pt>
                <c:pt idx="787">
                  <c:v>721942</c:v>
                </c:pt>
                <c:pt idx="788">
                  <c:v>721942</c:v>
                </c:pt>
                <c:pt idx="789">
                  <c:v>753843</c:v>
                </c:pt>
                <c:pt idx="790">
                  <c:v>686491</c:v>
                </c:pt>
                <c:pt idx="791">
                  <c:v>790012</c:v>
                </c:pt>
                <c:pt idx="792">
                  <c:v>887430</c:v>
                </c:pt>
                <c:pt idx="793">
                  <c:v>775094</c:v>
                </c:pt>
                <c:pt idx="794">
                  <c:v>775094</c:v>
                </c:pt>
                <c:pt idx="795">
                  <c:v>775094</c:v>
                </c:pt>
                <c:pt idx="796">
                  <c:v>554883</c:v>
                </c:pt>
                <c:pt idx="797">
                  <c:v>776071</c:v>
                </c:pt>
                <c:pt idx="798">
                  <c:v>534474</c:v>
                </c:pt>
                <c:pt idx="799">
                  <c:v>534474</c:v>
                </c:pt>
                <c:pt idx="800">
                  <c:v>737674</c:v>
                </c:pt>
                <c:pt idx="801">
                  <c:v>737674</c:v>
                </c:pt>
                <c:pt idx="802">
                  <c:v>737674</c:v>
                </c:pt>
                <c:pt idx="803">
                  <c:v>708858</c:v>
                </c:pt>
                <c:pt idx="804">
                  <c:v>678724</c:v>
                </c:pt>
                <c:pt idx="805">
                  <c:v>722536</c:v>
                </c:pt>
                <c:pt idx="806">
                  <c:v>667393</c:v>
                </c:pt>
                <c:pt idx="807">
                  <c:v>758673</c:v>
                </c:pt>
                <c:pt idx="808">
                  <c:v>758673</c:v>
                </c:pt>
                <c:pt idx="809">
                  <c:v>758673</c:v>
                </c:pt>
                <c:pt idx="810">
                  <c:v>776608</c:v>
                </c:pt>
                <c:pt idx="811">
                  <c:v>1109385</c:v>
                </c:pt>
                <c:pt idx="812">
                  <c:v>938667</c:v>
                </c:pt>
                <c:pt idx="813">
                  <c:v>1531300</c:v>
                </c:pt>
                <c:pt idx="814">
                  <c:v>1531300</c:v>
                </c:pt>
                <c:pt idx="815">
                  <c:v>1531300</c:v>
                </c:pt>
                <c:pt idx="816">
                  <c:v>1531300</c:v>
                </c:pt>
                <c:pt idx="817">
                  <c:v>591294</c:v>
                </c:pt>
                <c:pt idx="818">
                  <c:v>689441</c:v>
                </c:pt>
                <c:pt idx="819">
                  <c:v>820961</c:v>
                </c:pt>
                <c:pt idx="820">
                  <c:v>552853</c:v>
                </c:pt>
                <c:pt idx="821">
                  <c:v>782025</c:v>
                </c:pt>
                <c:pt idx="822">
                  <c:v>782025</c:v>
                </c:pt>
                <c:pt idx="823">
                  <c:v>782025</c:v>
                </c:pt>
                <c:pt idx="824">
                  <c:v>608379</c:v>
                </c:pt>
                <c:pt idx="825">
                  <c:v>787184</c:v>
                </c:pt>
                <c:pt idx="826">
                  <c:v>647918</c:v>
                </c:pt>
                <c:pt idx="827">
                  <c:v>584788</c:v>
                </c:pt>
                <c:pt idx="828">
                  <c:v>540676</c:v>
                </c:pt>
                <c:pt idx="829">
                  <c:v>540676</c:v>
                </c:pt>
                <c:pt idx="830">
                  <c:v>540676</c:v>
                </c:pt>
                <c:pt idx="831">
                  <c:v>590376</c:v>
                </c:pt>
                <c:pt idx="832">
                  <c:v>868113</c:v>
                </c:pt>
                <c:pt idx="833">
                  <c:v>586865</c:v>
                </c:pt>
                <c:pt idx="834">
                  <c:v>771504</c:v>
                </c:pt>
                <c:pt idx="835">
                  <c:v>771504</c:v>
                </c:pt>
                <c:pt idx="836">
                  <c:v>771504</c:v>
                </c:pt>
                <c:pt idx="837">
                  <c:v>771504</c:v>
                </c:pt>
                <c:pt idx="838">
                  <c:v>497419</c:v>
                </c:pt>
                <c:pt idx="839">
                  <c:v>610155</c:v>
                </c:pt>
                <c:pt idx="840">
                  <c:v>819813</c:v>
                </c:pt>
                <c:pt idx="841">
                  <c:v>681192</c:v>
                </c:pt>
                <c:pt idx="842">
                  <c:v>718808</c:v>
                </c:pt>
                <c:pt idx="843">
                  <c:v>718808</c:v>
                </c:pt>
                <c:pt idx="844">
                  <c:v>718808</c:v>
                </c:pt>
                <c:pt idx="845">
                  <c:v>837516</c:v>
                </c:pt>
                <c:pt idx="846">
                  <c:v>637696</c:v>
                </c:pt>
                <c:pt idx="847">
                  <c:v>602825</c:v>
                </c:pt>
                <c:pt idx="848">
                  <c:v>610614</c:v>
                </c:pt>
                <c:pt idx="849">
                  <c:v>490183</c:v>
                </c:pt>
                <c:pt idx="850">
                  <c:v>490183</c:v>
                </c:pt>
                <c:pt idx="851">
                  <c:v>490183</c:v>
                </c:pt>
                <c:pt idx="852">
                  <c:v>830091</c:v>
                </c:pt>
                <c:pt idx="853">
                  <c:v>710783</c:v>
                </c:pt>
                <c:pt idx="854">
                  <c:v>743793</c:v>
                </c:pt>
                <c:pt idx="855">
                  <c:v>698268</c:v>
                </c:pt>
                <c:pt idx="856">
                  <c:v>1132428</c:v>
                </c:pt>
                <c:pt idx="857">
                  <c:v>1132428</c:v>
                </c:pt>
                <c:pt idx="858">
                  <c:v>1132428</c:v>
                </c:pt>
                <c:pt idx="859">
                  <c:v>820662</c:v>
                </c:pt>
                <c:pt idx="860">
                  <c:v>1372917</c:v>
                </c:pt>
                <c:pt idx="861">
                  <c:v>1427351</c:v>
                </c:pt>
                <c:pt idx="862">
                  <c:v>1103208</c:v>
                </c:pt>
                <c:pt idx="863">
                  <c:v>1255836</c:v>
                </c:pt>
                <c:pt idx="864">
                  <c:v>1255836</c:v>
                </c:pt>
                <c:pt idx="865">
                  <c:v>1255836</c:v>
                </c:pt>
                <c:pt idx="866">
                  <c:v>1354745</c:v>
                </c:pt>
                <c:pt idx="867">
                  <c:v>3052133</c:v>
                </c:pt>
                <c:pt idx="868">
                  <c:v>2825470</c:v>
                </c:pt>
                <c:pt idx="869">
                  <c:v>1636687</c:v>
                </c:pt>
                <c:pt idx="870">
                  <c:v>1088705</c:v>
                </c:pt>
                <c:pt idx="871">
                  <c:v>1088705</c:v>
                </c:pt>
                <c:pt idx="872">
                  <c:v>1088705</c:v>
                </c:pt>
                <c:pt idx="873">
                  <c:v>828610</c:v>
                </c:pt>
                <c:pt idx="874">
                  <c:v>1101172</c:v>
                </c:pt>
                <c:pt idx="875">
                  <c:v>871477</c:v>
                </c:pt>
                <c:pt idx="876">
                  <c:v>760636</c:v>
                </c:pt>
                <c:pt idx="877">
                  <c:v>829606</c:v>
                </c:pt>
                <c:pt idx="878">
                  <c:v>829606</c:v>
                </c:pt>
                <c:pt idx="879">
                  <c:v>829606</c:v>
                </c:pt>
                <c:pt idx="880">
                  <c:v>1220488</c:v>
                </c:pt>
                <c:pt idx="881">
                  <c:v>1071287</c:v>
                </c:pt>
                <c:pt idx="882">
                  <c:v>1187897</c:v>
                </c:pt>
                <c:pt idx="883">
                  <c:v>872833</c:v>
                </c:pt>
                <c:pt idx="884">
                  <c:v>824380</c:v>
                </c:pt>
                <c:pt idx="885">
                  <c:v>824380</c:v>
                </c:pt>
                <c:pt idx="886">
                  <c:v>824380</c:v>
                </c:pt>
                <c:pt idx="887">
                  <c:v>824380</c:v>
                </c:pt>
                <c:pt idx="888">
                  <c:v>1233696</c:v>
                </c:pt>
                <c:pt idx="889">
                  <c:v>1465251</c:v>
                </c:pt>
                <c:pt idx="890">
                  <c:v>939047</c:v>
                </c:pt>
                <c:pt idx="891">
                  <c:v>1637751</c:v>
                </c:pt>
                <c:pt idx="892">
                  <c:v>1637751</c:v>
                </c:pt>
                <c:pt idx="893">
                  <c:v>1637751</c:v>
                </c:pt>
                <c:pt idx="894">
                  <c:v>1763158</c:v>
                </c:pt>
                <c:pt idx="895">
                  <c:v>3381444</c:v>
                </c:pt>
                <c:pt idx="896">
                  <c:v>1166861</c:v>
                </c:pt>
                <c:pt idx="897">
                  <c:v>770678</c:v>
                </c:pt>
                <c:pt idx="898">
                  <c:v>723874</c:v>
                </c:pt>
                <c:pt idx="899">
                  <c:v>723874</c:v>
                </c:pt>
                <c:pt idx="900">
                  <c:v>723874</c:v>
                </c:pt>
                <c:pt idx="901">
                  <c:v>777023</c:v>
                </c:pt>
                <c:pt idx="902">
                  <c:v>837387</c:v>
                </c:pt>
                <c:pt idx="903">
                  <c:v>775441</c:v>
                </c:pt>
                <c:pt idx="904">
                  <c:v>823761</c:v>
                </c:pt>
                <c:pt idx="905">
                  <c:v>1534425</c:v>
                </c:pt>
                <c:pt idx="906">
                  <c:v>1534425</c:v>
                </c:pt>
                <c:pt idx="907">
                  <c:v>1534425</c:v>
                </c:pt>
                <c:pt idx="908">
                  <c:v>676040</c:v>
                </c:pt>
                <c:pt idx="909">
                  <c:v>710966</c:v>
                </c:pt>
                <c:pt idx="910">
                  <c:v>654073</c:v>
                </c:pt>
                <c:pt idx="911">
                  <c:v>724794</c:v>
                </c:pt>
                <c:pt idx="912">
                  <c:v>613761</c:v>
                </c:pt>
                <c:pt idx="913">
                  <c:v>613761</c:v>
                </c:pt>
                <c:pt idx="914">
                  <c:v>613761</c:v>
                </c:pt>
                <c:pt idx="915">
                  <c:v>580142</c:v>
                </c:pt>
                <c:pt idx="916">
                  <c:v>493920</c:v>
                </c:pt>
                <c:pt idx="917">
                  <c:v>673192</c:v>
                </c:pt>
                <c:pt idx="918">
                  <c:v>671704</c:v>
                </c:pt>
                <c:pt idx="919">
                  <c:v>513233</c:v>
                </c:pt>
                <c:pt idx="920">
                  <c:v>513233</c:v>
                </c:pt>
                <c:pt idx="921">
                  <c:v>513233</c:v>
                </c:pt>
                <c:pt idx="922">
                  <c:v>526241</c:v>
                </c:pt>
                <c:pt idx="923">
                  <c:v>706728</c:v>
                </c:pt>
                <c:pt idx="924">
                  <c:v>998131</c:v>
                </c:pt>
                <c:pt idx="925">
                  <c:v>524183</c:v>
                </c:pt>
                <c:pt idx="926">
                  <c:v>729040</c:v>
                </c:pt>
                <c:pt idx="927">
                  <c:v>729040</c:v>
                </c:pt>
                <c:pt idx="928">
                  <c:v>729040</c:v>
                </c:pt>
                <c:pt idx="929">
                  <c:v>636652</c:v>
                </c:pt>
                <c:pt idx="930">
                  <c:v>517944</c:v>
                </c:pt>
                <c:pt idx="931">
                  <c:v>859942</c:v>
                </c:pt>
                <c:pt idx="932">
                  <c:v>1594511</c:v>
                </c:pt>
                <c:pt idx="933">
                  <c:v>1594511</c:v>
                </c:pt>
                <c:pt idx="934">
                  <c:v>1594511</c:v>
                </c:pt>
                <c:pt idx="935">
                  <c:v>1594511</c:v>
                </c:pt>
                <c:pt idx="936">
                  <c:v>1473870</c:v>
                </c:pt>
                <c:pt idx="937">
                  <c:v>734020</c:v>
                </c:pt>
                <c:pt idx="938">
                  <c:v>676827</c:v>
                </c:pt>
                <c:pt idx="939">
                  <c:v>561678</c:v>
                </c:pt>
                <c:pt idx="940">
                  <c:v>560661</c:v>
                </c:pt>
                <c:pt idx="941">
                  <c:v>560661</c:v>
                </c:pt>
                <c:pt idx="942">
                  <c:v>560661</c:v>
                </c:pt>
                <c:pt idx="943">
                  <c:v>676079</c:v>
                </c:pt>
                <c:pt idx="944">
                  <c:v>565821</c:v>
                </c:pt>
                <c:pt idx="945">
                  <c:v>679457</c:v>
                </c:pt>
                <c:pt idx="946">
                  <c:v>608328</c:v>
                </c:pt>
                <c:pt idx="947">
                  <c:v>852560</c:v>
                </c:pt>
                <c:pt idx="948">
                  <c:v>852560</c:v>
                </c:pt>
                <c:pt idx="949">
                  <c:v>852560</c:v>
                </c:pt>
                <c:pt idx="950">
                  <c:v>971272</c:v>
                </c:pt>
                <c:pt idx="951">
                  <c:v>871416</c:v>
                </c:pt>
                <c:pt idx="952">
                  <c:v>784379</c:v>
                </c:pt>
                <c:pt idx="953">
                  <c:v>1085201</c:v>
                </c:pt>
                <c:pt idx="954">
                  <c:v>717747</c:v>
                </c:pt>
                <c:pt idx="955">
                  <c:v>717747</c:v>
                </c:pt>
                <c:pt idx="956">
                  <c:v>717747</c:v>
                </c:pt>
                <c:pt idx="957">
                  <c:v>696985</c:v>
                </c:pt>
                <c:pt idx="958">
                  <c:v>884052</c:v>
                </c:pt>
                <c:pt idx="959">
                  <c:v>839909</c:v>
                </c:pt>
                <c:pt idx="960">
                  <c:v>1083380</c:v>
                </c:pt>
                <c:pt idx="961">
                  <c:v>1060968</c:v>
                </c:pt>
                <c:pt idx="962">
                  <c:v>1060968</c:v>
                </c:pt>
                <c:pt idx="963">
                  <c:v>1060968</c:v>
                </c:pt>
                <c:pt idx="964">
                  <c:v>819945</c:v>
                </c:pt>
                <c:pt idx="965">
                  <c:v>859337</c:v>
                </c:pt>
                <c:pt idx="966">
                  <c:v>821805</c:v>
                </c:pt>
                <c:pt idx="967">
                  <c:v>563825</c:v>
                </c:pt>
                <c:pt idx="968">
                  <c:v>563825</c:v>
                </c:pt>
                <c:pt idx="969">
                  <c:v>563825</c:v>
                </c:pt>
                <c:pt idx="970">
                  <c:v>563825</c:v>
                </c:pt>
                <c:pt idx="971">
                  <c:v>1154678</c:v>
                </c:pt>
                <c:pt idx="972">
                  <c:v>1082166</c:v>
                </c:pt>
                <c:pt idx="973">
                  <c:v>1004299</c:v>
                </c:pt>
                <c:pt idx="974">
                  <c:v>1607907</c:v>
                </c:pt>
                <c:pt idx="975">
                  <c:v>1026729</c:v>
                </c:pt>
                <c:pt idx="976">
                  <c:v>1026729</c:v>
                </c:pt>
                <c:pt idx="977">
                  <c:v>1026729</c:v>
                </c:pt>
                <c:pt idx="978">
                  <c:v>1208724</c:v>
                </c:pt>
                <c:pt idx="979">
                  <c:v>1387203</c:v>
                </c:pt>
                <c:pt idx="980">
                  <c:v>1453243</c:v>
                </c:pt>
                <c:pt idx="981">
                  <c:v>1797902</c:v>
                </c:pt>
                <c:pt idx="982">
                  <c:v>1797902</c:v>
                </c:pt>
                <c:pt idx="983">
                  <c:v>1797902</c:v>
                </c:pt>
                <c:pt idx="984">
                  <c:v>1797902</c:v>
                </c:pt>
                <c:pt idx="985">
                  <c:v>6089603</c:v>
                </c:pt>
                <c:pt idx="986">
                  <c:v>1343564</c:v>
                </c:pt>
                <c:pt idx="987">
                  <c:v>1122436</c:v>
                </c:pt>
                <c:pt idx="988">
                  <c:v>754496</c:v>
                </c:pt>
                <c:pt idx="989">
                  <c:v>754496</c:v>
                </c:pt>
                <c:pt idx="990">
                  <c:v>754496</c:v>
                </c:pt>
                <c:pt idx="991">
                  <c:v>754496</c:v>
                </c:pt>
                <c:pt idx="992">
                  <c:v>963543</c:v>
                </c:pt>
                <c:pt idx="993">
                  <c:v>1004894</c:v>
                </c:pt>
                <c:pt idx="994">
                  <c:v>1180924</c:v>
                </c:pt>
                <c:pt idx="995">
                  <c:v>1241204</c:v>
                </c:pt>
                <c:pt idx="996">
                  <c:v>3146403</c:v>
                </c:pt>
                <c:pt idx="997">
                  <c:v>3146403</c:v>
                </c:pt>
                <c:pt idx="998">
                  <c:v>3146403</c:v>
                </c:pt>
                <c:pt idx="999">
                  <c:v>1344571</c:v>
                </c:pt>
                <c:pt idx="1000">
                  <c:v>641682</c:v>
                </c:pt>
                <c:pt idx="1001">
                  <c:v>972727</c:v>
                </c:pt>
                <c:pt idx="1002">
                  <c:v>751065</c:v>
                </c:pt>
                <c:pt idx="1003">
                  <c:v>361710</c:v>
                </c:pt>
                <c:pt idx="1004">
                  <c:v>361710</c:v>
                </c:pt>
                <c:pt idx="1005">
                  <c:v>361710</c:v>
                </c:pt>
                <c:pt idx="1006">
                  <c:v>534809</c:v>
                </c:pt>
                <c:pt idx="1007">
                  <c:v>581680</c:v>
                </c:pt>
                <c:pt idx="1008">
                  <c:v>550321</c:v>
                </c:pt>
                <c:pt idx="1009">
                  <c:v>663441</c:v>
                </c:pt>
                <c:pt idx="1010">
                  <c:v>551247</c:v>
                </c:pt>
                <c:pt idx="1011">
                  <c:v>551247</c:v>
                </c:pt>
                <c:pt idx="1012">
                  <c:v>551247</c:v>
                </c:pt>
                <c:pt idx="1013">
                  <c:v>472415</c:v>
                </c:pt>
                <c:pt idx="1014">
                  <c:v>624148</c:v>
                </c:pt>
                <c:pt idx="1015">
                  <c:v>405547</c:v>
                </c:pt>
                <c:pt idx="1016">
                  <c:v>487165</c:v>
                </c:pt>
                <c:pt idx="1017">
                  <c:v>213751</c:v>
                </c:pt>
                <c:pt idx="1018">
                  <c:v>213751</c:v>
                </c:pt>
                <c:pt idx="1019">
                  <c:v>213751</c:v>
                </c:pt>
                <c:pt idx="1020">
                  <c:v>697913</c:v>
                </c:pt>
                <c:pt idx="1021">
                  <c:v>697913</c:v>
                </c:pt>
                <c:pt idx="1022">
                  <c:v>769947</c:v>
                </c:pt>
                <c:pt idx="1023">
                  <c:v>1078440</c:v>
                </c:pt>
                <c:pt idx="1024">
                  <c:v>766438</c:v>
                </c:pt>
                <c:pt idx="1025">
                  <c:v>766438</c:v>
                </c:pt>
                <c:pt idx="1026">
                  <c:v>766438</c:v>
                </c:pt>
                <c:pt idx="1027">
                  <c:v>639914</c:v>
                </c:pt>
                <c:pt idx="1028">
                  <c:v>674130</c:v>
                </c:pt>
                <c:pt idx="1029">
                  <c:v>826072</c:v>
                </c:pt>
                <c:pt idx="1030">
                  <c:v>734497</c:v>
                </c:pt>
                <c:pt idx="1031">
                  <c:v>1138354</c:v>
                </c:pt>
                <c:pt idx="1032">
                  <c:v>1138354</c:v>
                </c:pt>
                <c:pt idx="1033">
                  <c:v>1138354</c:v>
                </c:pt>
                <c:pt idx="1034">
                  <c:v>777904</c:v>
                </c:pt>
                <c:pt idx="1035">
                  <c:v>626776</c:v>
                </c:pt>
                <c:pt idx="1036">
                  <c:v>763767</c:v>
                </c:pt>
                <c:pt idx="1037">
                  <c:v>1082784</c:v>
                </c:pt>
                <c:pt idx="1038">
                  <c:v>470711</c:v>
                </c:pt>
                <c:pt idx="1039">
                  <c:v>470711</c:v>
                </c:pt>
                <c:pt idx="1040">
                  <c:v>470711</c:v>
                </c:pt>
                <c:pt idx="1041">
                  <c:v>1023416</c:v>
                </c:pt>
                <c:pt idx="1042">
                  <c:v>643647</c:v>
                </c:pt>
                <c:pt idx="1043">
                  <c:v>1198414</c:v>
                </c:pt>
                <c:pt idx="1044">
                  <c:v>711012</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45940</c:v>
                </c:pt>
                <c:pt idx="1">
                  <c:v>45939</c:v>
                </c:pt>
                <c:pt idx="2">
                  <c:v>45938</c:v>
                </c:pt>
                <c:pt idx="3">
                  <c:v>45937</c:v>
                </c:pt>
                <c:pt idx="4">
                  <c:v>45936</c:v>
                </c:pt>
                <c:pt idx="5">
                  <c:v>45935</c:v>
                </c:pt>
                <c:pt idx="6">
                  <c:v>45934</c:v>
                </c:pt>
                <c:pt idx="7">
                  <c:v>45933</c:v>
                </c:pt>
                <c:pt idx="8">
                  <c:v>45932</c:v>
                </c:pt>
                <c:pt idx="9">
                  <c:v>45931</c:v>
                </c:pt>
                <c:pt idx="10">
                  <c:v>45930</c:v>
                </c:pt>
                <c:pt idx="11">
                  <c:v>45929</c:v>
                </c:pt>
                <c:pt idx="12">
                  <c:v>45928</c:v>
                </c:pt>
                <c:pt idx="13">
                  <c:v>45927</c:v>
                </c:pt>
                <c:pt idx="14">
                  <c:v>45926</c:v>
                </c:pt>
                <c:pt idx="15">
                  <c:v>45925</c:v>
                </c:pt>
                <c:pt idx="16">
                  <c:v>45924</c:v>
                </c:pt>
                <c:pt idx="17">
                  <c:v>45923</c:v>
                </c:pt>
                <c:pt idx="18">
                  <c:v>45922</c:v>
                </c:pt>
                <c:pt idx="19">
                  <c:v>45921</c:v>
                </c:pt>
                <c:pt idx="20">
                  <c:v>45920</c:v>
                </c:pt>
                <c:pt idx="21">
                  <c:v>45919</c:v>
                </c:pt>
                <c:pt idx="22">
                  <c:v>45918</c:v>
                </c:pt>
                <c:pt idx="23">
                  <c:v>45917</c:v>
                </c:pt>
                <c:pt idx="24">
                  <c:v>45916</c:v>
                </c:pt>
                <c:pt idx="25">
                  <c:v>45915</c:v>
                </c:pt>
                <c:pt idx="26">
                  <c:v>45914</c:v>
                </c:pt>
                <c:pt idx="27">
                  <c:v>45913</c:v>
                </c:pt>
                <c:pt idx="28">
                  <c:v>45912</c:v>
                </c:pt>
                <c:pt idx="29">
                  <c:v>45911</c:v>
                </c:pt>
                <c:pt idx="30">
                  <c:v>45910</c:v>
                </c:pt>
                <c:pt idx="31">
                  <c:v>45909</c:v>
                </c:pt>
                <c:pt idx="32">
                  <c:v>45908</c:v>
                </c:pt>
                <c:pt idx="33">
                  <c:v>45907</c:v>
                </c:pt>
                <c:pt idx="34">
                  <c:v>45906</c:v>
                </c:pt>
                <c:pt idx="35">
                  <c:v>45905</c:v>
                </c:pt>
                <c:pt idx="36">
                  <c:v>45904</c:v>
                </c:pt>
                <c:pt idx="37">
                  <c:v>45903</c:v>
                </c:pt>
                <c:pt idx="38">
                  <c:v>45902</c:v>
                </c:pt>
                <c:pt idx="39">
                  <c:v>45901</c:v>
                </c:pt>
                <c:pt idx="40">
                  <c:v>45900</c:v>
                </c:pt>
                <c:pt idx="41">
                  <c:v>45899</c:v>
                </c:pt>
                <c:pt idx="42">
                  <c:v>45898</c:v>
                </c:pt>
                <c:pt idx="43">
                  <c:v>45897</c:v>
                </c:pt>
                <c:pt idx="44">
                  <c:v>45896</c:v>
                </c:pt>
                <c:pt idx="45">
                  <c:v>45895</c:v>
                </c:pt>
                <c:pt idx="46">
                  <c:v>45894</c:v>
                </c:pt>
                <c:pt idx="47">
                  <c:v>45893</c:v>
                </c:pt>
                <c:pt idx="48">
                  <c:v>45892</c:v>
                </c:pt>
                <c:pt idx="49">
                  <c:v>45891</c:v>
                </c:pt>
                <c:pt idx="50">
                  <c:v>45890</c:v>
                </c:pt>
                <c:pt idx="51">
                  <c:v>45889</c:v>
                </c:pt>
                <c:pt idx="52">
                  <c:v>45888</c:v>
                </c:pt>
                <c:pt idx="53">
                  <c:v>45887</c:v>
                </c:pt>
                <c:pt idx="54">
                  <c:v>45886</c:v>
                </c:pt>
                <c:pt idx="55">
                  <c:v>45885</c:v>
                </c:pt>
                <c:pt idx="56">
                  <c:v>45884</c:v>
                </c:pt>
                <c:pt idx="57">
                  <c:v>45883</c:v>
                </c:pt>
                <c:pt idx="58">
                  <c:v>45882</c:v>
                </c:pt>
                <c:pt idx="59">
                  <c:v>45881</c:v>
                </c:pt>
                <c:pt idx="60">
                  <c:v>45880</c:v>
                </c:pt>
                <c:pt idx="61">
                  <c:v>45879</c:v>
                </c:pt>
                <c:pt idx="62">
                  <c:v>45878</c:v>
                </c:pt>
                <c:pt idx="63">
                  <c:v>45877</c:v>
                </c:pt>
                <c:pt idx="64">
                  <c:v>45876</c:v>
                </c:pt>
                <c:pt idx="65">
                  <c:v>45875</c:v>
                </c:pt>
                <c:pt idx="66">
                  <c:v>45874</c:v>
                </c:pt>
                <c:pt idx="67">
                  <c:v>45873</c:v>
                </c:pt>
                <c:pt idx="68">
                  <c:v>45872</c:v>
                </c:pt>
                <c:pt idx="69">
                  <c:v>45871</c:v>
                </c:pt>
                <c:pt idx="70">
                  <c:v>45870</c:v>
                </c:pt>
                <c:pt idx="71">
                  <c:v>45869</c:v>
                </c:pt>
                <c:pt idx="72">
                  <c:v>45868</c:v>
                </c:pt>
                <c:pt idx="73">
                  <c:v>45867</c:v>
                </c:pt>
                <c:pt idx="74">
                  <c:v>45866</c:v>
                </c:pt>
                <c:pt idx="75">
                  <c:v>45865</c:v>
                </c:pt>
                <c:pt idx="76">
                  <c:v>45864</c:v>
                </c:pt>
                <c:pt idx="77">
                  <c:v>45863</c:v>
                </c:pt>
                <c:pt idx="78">
                  <c:v>45862</c:v>
                </c:pt>
                <c:pt idx="79">
                  <c:v>45861</c:v>
                </c:pt>
                <c:pt idx="80">
                  <c:v>45860</c:v>
                </c:pt>
                <c:pt idx="81">
                  <c:v>45859</c:v>
                </c:pt>
                <c:pt idx="82">
                  <c:v>45858</c:v>
                </c:pt>
                <c:pt idx="83">
                  <c:v>45857</c:v>
                </c:pt>
                <c:pt idx="84">
                  <c:v>45856</c:v>
                </c:pt>
                <c:pt idx="85">
                  <c:v>45855</c:v>
                </c:pt>
                <c:pt idx="86">
                  <c:v>45854</c:v>
                </c:pt>
                <c:pt idx="87">
                  <c:v>45853</c:v>
                </c:pt>
                <c:pt idx="88">
                  <c:v>45852</c:v>
                </c:pt>
                <c:pt idx="89">
                  <c:v>45851</c:v>
                </c:pt>
                <c:pt idx="90">
                  <c:v>45850</c:v>
                </c:pt>
                <c:pt idx="91">
                  <c:v>45849</c:v>
                </c:pt>
                <c:pt idx="92">
                  <c:v>45848</c:v>
                </c:pt>
                <c:pt idx="93">
                  <c:v>45847</c:v>
                </c:pt>
                <c:pt idx="94">
                  <c:v>45846</c:v>
                </c:pt>
                <c:pt idx="95">
                  <c:v>45845</c:v>
                </c:pt>
                <c:pt idx="96">
                  <c:v>45844</c:v>
                </c:pt>
                <c:pt idx="97">
                  <c:v>45843</c:v>
                </c:pt>
                <c:pt idx="98">
                  <c:v>45842</c:v>
                </c:pt>
                <c:pt idx="99">
                  <c:v>45841</c:v>
                </c:pt>
                <c:pt idx="100">
                  <c:v>45840</c:v>
                </c:pt>
                <c:pt idx="101">
                  <c:v>45839</c:v>
                </c:pt>
                <c:pt idx="102">
                  <c:v>45838</c:v>
                </c:pt>
                <c:pt idx="103">
                  <c:v>45837</c:v>
                </c:pt>
                <c:pt idx="104">
                  <c:v>45836</c:v>
                </c:pt>
                <c:pt idx="105">
                  <c:v>45835</c:v>
                </c:pt>
                <c:pt idx="106">
                  <c:v>45834</c:v>
                </c:pt>
                <c:pt idx="107">
                  <c:v>45833</c:v>
                </c:pt>
                <c:pt idx="108">
                  <c:v>45832</c:v>
                </c:pt>
                <c:pt idx="109">
                  <c:v>45831</c:v>
                </c:pt>
                <c:pt idx="110">
                  <c:v>45830</c:v>
                </c:pt>
                <c:pt idx="111">
                  <c:v>45829</c:v>
                </c:pt>
                <c:pt idx="112">
                  <c:v>45828</c:v>
                </c:pt>
                <c:pt idx="113">
                  <c:v>45827</c:v>
                </c:pt>
                <c:pt idx="114">
                  <c:v>45826</c:v>
                </c:pt>
                <c:pt idx="115">
                  <c:v>45825</c:v>
                </c:pt>
                <c:pt idx="116">
                  <c:v>45824</c:v>
                </c:pt>
                <c:pt idx="117">
                  <c:v>45823</c:v>
                </c:pt>
                <c:pt idx="118">
                  <c:v>45822</c:v>
                </c:pt>
                <c:pt idx="119">
                  <c:v>45821</c:v>
                </c:pt>
                <c:pt idx="120">
                  <c:v>45820</c:v>
                </c:pt>
                <c:pt idx="121">
                  <c:v>45819</c:v>
                </c:pt>
                <c:pt idx="122">
                  <c:v>45818</c:v>
                </c:pt>
                <c:pt idx="123">
                  <c:v>45817</c:v>
                </c:pt>
                <c:pt idx="124">
                  <c:v>45816</c:v>
                </c:pt>
                <c:pt idx="125">
                  <c:v>45815</c:v>
                </c:pt>
                <c:pt idx="126">
                  <c:v>45814</c:v>
                </c:pt>
                <c:pt idx="127">
                  <c:v>45813</c:v>
                </c:pt>
                <c:pt idx="128">
                  <c:v>45812</c:v>
                </c:pt>
                <c:pt idx="129">
                  <c:v>45811</c:v>
                </c:pt>
                <c:pt idx="130">
                  <c:v>45810</c:v>
                </c:pt>
                <c:pt idx="131">
                  <c:v>45809</c:v>
                </c:pt>
                <c:pt idx="132">
                  <c:v>45808</c:v>
                </c:pt>
                <c:pt idx="133">
                  <c:v>45807</c:v>
                </c:pt>
                <c:pt idx="134">
                  <c:v>45806</c:v>
                </c:pt>
                <c:pt idx="135">
                  <c:v>45805</c:v>
                </c:pt>
                <c:pt idx="136">
                  <c:v>45804</c:v>
                </c:pt>
                <c:pt idx="137">
                  <c:v>45803</c:v>
                </c:pt>
                <c:pt idx="138">
                  <c:v>45802</c:v>
                </c:pt>
                <c:pt idx="139">
                  <c:v>45801</c:v>
                </c:pt>
                <c:pt idx="140">
                  <c:v>45800</c:v>
                </c:pt>
                <c:pt idx="141">
                  <c:v>45799</c:v>
                </c:pt>
                <c:pt idx="142">
                  <c:v>45798</c:v>
                </c:pt>
                <c:pt idx="143">
                  <c:v>45797</c:v>
                </c:pt>
                <c:pt idx="144">
                  <c:v>45796</c:v>
                </c:pt>
                <c:pt idx="145">
                  <c:v>45795</c:v>
                </c:pt>
                <c:pt idx="146">
                  <c:v>45794</c:v>
                </c:pt>
                <c:pt idx="147">
                  <c:v>45793</c:v>
                </c:pt>
                <c:pt idx="148">
                  <c:v>45792</c:v>
                </c:pt>
                <c:pt idx="149">
                  <c:v>45791</c:v>
                </c:pt>
                <c:pt idx="150">
                  <c:v>45790</c:v>
                </c:pt>
                <c:pt idx="151">
                  <c:v>45789</c:v>
                </c:pt>
                <c:pt idx="152">
                  <c:v>45788</c:v>
                </c:pt>
                <c:pt idx="153">
                  <c:v>45787</c:v>
                </c:pt>
                <c:pt idx="154">
                  <c:v>45786</c:v>
                </c:pt>
                <c:pt idx="155">
                  <c:v>45785</c:v>
                </c:pt>
                <c:pt idx="156">
                  <c:v>45784</c:v>
                </c:pt>
                <c:pt idx="157">
                  <c:v>45783</c:v>
                </c:pt>
                <c:pt idx="158">
                  <c:v>45782</c:v>
                </c:pt>
                <c:pt idx="159">
                  <c:v>45781</c:v>
                </c:pt>
                <c:pt idx="160">
                  <c:v>45780</c:v>
                </c:pt>
                <c:pt idx="161">
                  <c:v>45779</c:v>
                </c:pt>
                <c:pt idx="162">
                  <c:v>45778</c:v>
                </c:pt>
                <c:pt idx="163">
                  <c:v>45777</c:v>
                </c:pt>
                <c:pt idx="164">
                  <c:v>45776</c:v>
                </c:pt>
                <c:pt idx="165">
                  <c:v>45775</c:v>
                </c:pt>
                <c:pt idx="166">
                  <c:v>45774</c:v>
                </c:pt>
                <c:pt idx="167">
                  <c:v>45773</c:v>
                </c:pt>
                <c:pt idx="168">
                  <c:v>45772</c:v>
                </c:pt>
                <c:pt idx="169">
                  <c:v>45771</c:v>
                </c:pt>
                <c:pt idx="170">
                  <c:v>45770</c:v>
                </c:pt>
                <c:pt idx="171">
                  <c:v>45769</c:v>
                </c:pt>
                <c:pt idx="172">
                  <c:v>45768</c:v>
                </c:pt>
                <c:pt idx="173">
                  <c:v>45767</c:v>
                </c:pt>
                <c:pt idx="174">
                  <c:v>45766</c:v>
                </c:pt>
                <c:pt idx="175">
                  <c:v>45765</c:v>
                </c:pt>
                <c:pt idx="176">
                  <c:v>45764</c:v>
                </c:pt>
                <c:pt idx="177">
                  <c:v>45763</c:v>
                </c:pt>
                <c:pt idx="178">
                  <c:v>45762</c:v>
                </c:pt>
                <c:pt idx="179">
                  <c:v>45761</c:v>
                </c:pt>
                <c:pt idx="180">
                  <c:v>45760</c:v>
                </c:pt>
                <c:pt idx="181">
                  <c:v>45759</c:v>
                </c:pt>
                <c:pt idx="182">
                  <c:v>45758</c:v>
                </c:pt>
                <c:pt idx="183">
                  <c:v>45757</c:v>
                </c:pt>
                <c:pt idx="184">
                  <c:v>45756</c:v>
                </c:pt>
                <c:pt idx="185">
                  <c:v>45755</c:v>
                </c:pt>
                <c:pt idx="186">
                  <c:v>45754</c:v>
                </c:pt>
                <c:pt idx="187">
                  <c:v>45753</c:v>
                </c:pt>
                <c:pt idx="188">
                  <c:v>45752</c:v>
                </c:pt>
                <c:pt idx="189">
                  <c:v>45751</c:v>
                </c:pt>
                <c:pt idx="190">
                  <c:v>45750</c:v>
                </c:pt>
                <c:pt idx="191">
                  <c:v>45749</c:v>
                </c:pt>
                <c:pt idx="192">
                  <c:v>45748</c:v>
                </c:pt>
                <c:pt idx="193">
                  <c:v>45747</c:v>
                </c:pt>
                <c:pt idx="194">
                  <c:v>45746</c:v>
                </c:pt>
                <c:pt idx="195">
                  <c:v>45745</c:v>
                </c:pt>
                <c:pt idx="196">
                  <c:v>45744</c:v>
                </c:pt>
                <c:pt idx="197">
                  <c:v>45743</c:v>
                </c:pt>
                <c:pt idx="198">
                  <c:v>45742</c:v>
                </c:pt>
                <c:pt idx="199">
                  <c:v>45741</c:v>
                </c:pt>
                <c:pt idx="200">
                  <c:v>45740</c:v>
                </c:pt>
                <c:pt idx="201">
                  <c:v>45739</c:v>
                </c:pt>
                <c:pt idx="202">
                  <c:v>45738</c:v>
                </c:pt>
                <c:pt idx="203">
                  <c:v>45737</c:v>
                </c:pt>
                <c:pt idx="204">
                  <c:v>45736</c:v>
                </c:pt>
                <c:pt idx="205">
                  <c:v>45735</c:v>
                </c:pt>
                <c:pt idx="206">
                  <c:v>45734</c:v>
                </c:pt>
                <c:pt idx="207">
                  <c:v>45733</c:v>
                </c:pt>
                <c:pt idx="208">
                  <c:v>45732</c:v>
                </c:pt>
                <c:pt idx="209">
                  <c:v>45731</c:v>
                </c:pt>
                <c:pt idx="210">
                  <c:v>45730</c:v>
                </c:pt>
                <c:pt idx="211">
                  <c:v>45729</c:v>
                </c:pt>
                <c:pt idx="212">
                  <c:v>45728</c:v>
                </c:pt>
                <c:pt idx="213">
                  <c:v>45727</c:v>
                </c:pt>
                <c:pt idx="214">
                  <c:v>45726</c:v>
                </c:pt>
                <c:pt idx="215">
                  <c:v>45725</c:v>
                </c:pt>
                <c:pt idx="216">
                  <c:v>45724</c:v>
                </c:pt>
                <c:pt idx="217">
                  <c:v>45723</c:v>
                </c:pt>
                <c:pt idx="218">
                  <c:v>45722</c:v>
                </c:pt>
                <c:pt idx="219">
                  <c:v>45721</c:v>
                </c:pt>
                <c:pt idx="220">
                  <c:v>45720</c:v>
                </c:pt>
                <c:pt idx="221">
                  <c:v>45719</c:v>
                </c:pt>
                <c:pt idx="222">
                  <c:v>45718</c:v>
                </c:pt>
                <c:pt idx="223">
                  <c:v>45717</c:v>
                </c:pt>
                <c:pt idx="224">
                  <c:v>45716</c:v>
                </c:pt>
                <c:pt idx="225">
                  <c:v>45715</c:v>
                </c:pt>
                <c:pt idx="226">
                  <c:v>45714</c:v>
                </c:pt>
                <c:pt idx="227">
                  <c:v>45713</c:v>
                </c:pt>
                <c:pt idx="228">
                  <c:v>45712</c:v>
                </c:pt>
                <c:pt idx="229">
                  <c:v>45711</c:v>
                </c:pt>
                <c:pt idx="230">
                  <c:v>45710</c:v>
                </c:pt>
                <c:pt idx="231">
                  <c:v>45709</c:v>
                </c:pt>
                <c:pt idx="232">
                  <c:v>45708</c:v>
                </c:pt>
                <c:pt idx="233">
                  <c:v>45707</c:v>
                </c:pt>
                <c:pt idx="234">
                  <c:v>45706</c:v>
                </c:pt>
                <c:pt idx="235">
                  <c:v>45705</c:v>
                </c:pt>
                <c:pt idx="236">
                  <c:v>45704</c:v>
                </c:pt>
                <c:pt idx="237">
                  <c:v>45703</c:v>
                </c:pt>
                <c:pt idx="238">
                  <c:v>45702</c:v>
                </c:pt>
                <c:pt idx="239">
                  <c:v>45701</c:v>
                </c:pt>
                <c:pt idx="240">
                  <c:v>45700</c:v>
                </c:pt>
                <c:pt idx="241">
                  <c:v>45699</c:v>
                </c:pt>
                <c:pt idx="242">
                  <c:v>45698</c:v>
                </c:pt>
                <c:pt idx="243">
                  <c:v>45697</c:v>
                </c:pt>
                <c:pt idx="244">
                  <c:v>45696</c:v>
                </c:pt>
                <c:pt idx="245">
                  <c:v>45695</c:v>
                </c:pt>
                <c:pt idx="246">
                  <c:v>45694</c:v>
                </c:pt>
                <c:pt idx="247">
                  <c:v>45693</c:v>
                </c:pt>
                <c:pt idx="248">
                  <c:v>45692</c:v>
                </c:pt>
                <c:pt idx="249">
                  <c:v>45691</c:v>
                </c:pt>
                <c:pt idx="250">
                  <c:v>45690</c:v>
                </c:pt>
                <c:pt idx="251">
                  <c:v>45689</c:v>
                </c:pt>
                <c:pt idx="252">
                  <c:v>45688</c:v>
                </c:pt>
                <c:pt idx="253">
                  <c:v>45687</c:v>
                </c:pt>
                <c:pt idx="254">
                  <c:v>45686</c:v>
                </c:pt>
                <c:pt idx="255">
                  <c:v>45685</c:v>
                </c:pt>
                <c:pt idx="256">
                  <c:v>45684</c:v>
                </c:pt>
                <c:pt idx="257">
                  <c:v>45683</c:v>
                </c:pt>
                <c:pt idx="258">
                  <c:v>45682</c:v>
                </c:pt>
                <c:pt idx="259">
                  <c:v>45681</c:v>
                </c:pt>
                <c:pt idx="260">
                  <c:v>45680</c:v>
                </c:pt>
                <c:pt idx="261">
                  <c:v>45679</c:v>
                </c:pt>
                <c:pt idx="262">
                  <c:v>45678</c:v>
                </c:pt>
                <c:pt idx="263">
                  <c:v>45677</c:v>
                </c:pt>
                <c:pt idx="264">
                  <c:v>45676</c:v>
                </c:pt>
                <c:pt idx="265">
                  <c:v>45675</c:v>
                </c:pt>
                <c:pt idx="266">
                  <c:v>45674</c:v>
                </c:pt>
                <c:pt idx="267">
                  <c:v>45673</c:v>
                </c:pt>
                <c:pt idx="268">
                  <c:v>45672</c:v>
                </c:pt>
                <c:pt idx="269">
                  <c:v>45671</c:v>
                </c:pt>
                <c:pt idx="270">
                  <c:v>45670</c:v>
                </c:pt>
                <c:pt idx="271">
                  <c:v>45669</c:v>
                </c:pt>
                <c:pt idx="272">
                  <c:v>45668</c:v>
                </c:pt>
                <c:pt idx="273">
                  <c:v>45667</c:v>
                </c:pt>
                <c:pt idx="274">
                  <c:v>45666</c:v>
                </c:pt>
                <c:pt idx="275">
                  <c:v>45665</c:v>
                </c:pt>
                <c:pt idx="276">
                  <c:v>45664</c:v>
                </c:pt>
                <c:pt idx="277">
                  <c:v>45663</c:v>
                </c:pt>
                <c:pt idx="278">
                  <c:v>45662</c:v>
                </c:pt>
                <c:pt idx="279">
                  <c:v>45661</c:v>
                </c:pt>
                <c:pt idx="280">
                  <c:v>45660</c:v>
                </c:pt>
                <c:pt idx="281">
                  <c:v>45659</c:v>
                </c:pt>
                <c:pt idx="282">
                  <c:v>45658</c:v>
                </c:pt>
                <c:pt idx="283">
                  <c:v>45657</c:v>
                </c:pt>
                <c:pt idx="284">
                  <c:v>45656</c:v>
                </c:pt>
                <c:pt idx="285">
                  <c:v>45655</c:v>
                </c:pt>
                <c:pt idx="286">
                  <c:v>45654</c:v>
                </c:pt>
                <c:pt idx="287">
                  <c:v>45653</c:v>
                </c:pt>
                <c:pt idx="288">
                  <c:v>45652</c:v>
                </c:pt>
                <c:pt idx="289">
                  <c:v>45651</c:v>
                </c:pt>
                <c:pt idx="290">
                  <c:v>45650</c:v>
                </c:pt>
                <c:pt idx="291">
                  <c:v>45649</c:v>
                </c:pt>
                <c:pt idx="292">
                  <c:v>45648</c:v>
                </c:pt>
                <c:pt idx="293">
                  <c:v>45647</c:v>
                </c:pt>
                <c:pt idx="294">
                  <c:v>45646</c:v>
                </c:pt>
                <c:pt idx="295">
                  <c:v>45645</c:v>
                </c:pt>
                <c:pt idx="296">
                  <c:v>45644</c:v>
                </c:pt>
                <c:pt idx="297">
                  <c:v>45643</c:v>
                </c:pt>
                <c:pt idx="298">
                  <c:v>45642</c:v>
                </c:pt>
                <c:pt idx="299">
                  <c:v>45641</c:v>
                </c:pt>
                <c:pt idx="300">
                  <c:v>45640</c:v>
                </c:pt>
                <c:pt idx="301">
                  <c:v>45639</c:v>
                </c:pt>
                <c:pt idx="302">
                  <c:v>45638</c:v>
                </c:pt>
                <c:pt idx="303">
                  <c:v>45637</c:v>
                </c:pt>
                <c:pt idx="304">
                  <c:v>45636</c:v>
                </c:pt>
                <c:pt idx="305">
                  <c:v>45635</c:v>
                </c:pt>
                <c:pt idx="306">
                  <c:v>45634</c:v>
                </c:pt>
                <c:pt idx="307">
                  <c:v>45633</c:v>
                </c:pt>
                <c:pt idx="308">
                  <c:v>45632</c:v>
                </c:pt>
                <c:pt idx="309">
                  <c:v>45631</c:v>
                </c:pt>
                <c:pt idx="310">
                  <c:v>45630</c:v>
                </c:pt>
                <c:pt idx="311">
                  <c:v>45629</c:v>
                </c:pt>
                <c:pt idx="312">
                  <c:v>45628</c:v>
                </c:pt>
                <c:pt idx="313">
                  <c:v>45627</c:v>
                </c:pt>
                <c:pt idx="314">
                  <c:v>45626</c:v>
                </c:pt>
                <c:pt idx="315">
                  <c:v>45625</c:v>
                </c:pt>
                <c:pt idx="316">
                  <c:v>45624</c:v>
                </c:pt>
                <c:pt idx="317">
                  <c:v>45623</c:v>
                </c:pt>
                <c:pt idx="318">
                  <c:v>45622</c:v>
                </c:pt>
                <c:pt idx="319">
                  <c:v>45621</c:v>
                </c:pt>
                <c:pt idx="320">
                  <c:v>45620</c:v>
                </c:pt>
                <c:pt idx="321">
                  <c:v>45619</c:v>
                </c:pt>
                <c:pt idx="322">
                  <c:v>45618</c:v>
                </c:pt>
                <c:pt idx="323">
                  <c:v>45617</c:v>
                </c:pt>
                <c:pt idx="324">
                  <c:v>45616</c:v>
                </c:pt>
                <c:pt idx="325">
                  <c:v>45615</c:v>
                </c:pt>
                <c:pt idx="326">
                  <c:v>45614</c:v>
                </c:pt>
                <c:pt idx="327">
                  <c:v>45613</c:v>
                </c:pt>
                <c:pt idx="328">
                  <c:v>45612</c:v>
                </c:pt>
                <c:pt idx="329">
                  <c:v>45611</c:v>
                </c:pt>
                <c:pt idx="330">
                  <c:v>45610</c:v>
                </c:pt>
                <c:pt idx="331">
                  <c:v>45609</c:v>
                </c:pt>
                <c:pt idx="332">
                  <c:v>45608</c:v>
                </c:pt>
                <c:pt idx="333">
                  <c:v>45607</c:v>
                </c:pt>
                <c:pt idx="334">
                  <c:v>45606</c:v>
                </c:pt>
                <c:pt idx="335">
                  <c:v>45605</c:v>
                </c:pt>
                <c:pt idx="336">
                  <c:v>45604</c:v>
                </c:pt>
                <c:pt idx="337">
                  <c:v>45603</c:v>
                </c:pt>
                <c:pt idx="338">
                  <c:v>45602</c:v>
                </c:pt>
                <c:pt idx="339">
                  <c:v>45601</c:v>
                </c:pt>
                <c:pt idx="340">
                  <c:v>45600</c:v>
                </c:pt>
                <c:pt idx="341">
                  <c:v>45599</c:v>
                </c:pt>
                <c:pt idx="342">
                  <c:v>45598</c:v>
                </c:pt>
                <c:pt idx="343">
                  <c:v>45597</c:v>
                </c:pt>
                <c:pt idx="344">
                  <c:v>45596</c:v>
                </c:pt>
                <c:pt idx="345">
                  <c:v>45595</c:v>
                </c:pt>
                <c:pt idx="346">
                  <c:v>45594</c:v>
                </c:pt>
                <c:pt idx="347">
                  <c:v>45593</c:v>
                </c:pt>
                <c:pt idx="348">
                  <c:v>45592</c:v>
                </c:pt>
                <c:pt idx="349">
                  <c:v>45591</c:v>
                </c:pt>
                <c:pt idx="350">
                  <c:v>45590</c:v>
                </c:pt>
                <c:pt idx="351">
                  <c:v>45589</c:v>
                </c:pt>
                <c:pt idx="352">
                  <c:v>45588</c:v>
                </c:pt>
                <c:pt idx="353">
                  <c:v>45587</c:v>
                </c:pt>
                <c:pt idx="354">
                  <c:v>45586</c:v>
                </c:pt>
                <c:pt idx="355">
                  <c:v>45585</c:v>
                </c:pt>
                <c:pt idx="356">
                  <c:v>45584</c:v>
                </c:pt>
                <c:pt idx="357">
                  <c:v>45583</c:v>
                </c:pt>
                <c:pt idx="358">
                  <c:v>45582</c:v>
                </c:pt>
                <c:pt idx="359">
                  <c:v>45581</c:v>
                </c:pt>
                <c:pt idx="360">
                  <c:v>45580</c:v>
                </c:pt>
                <c:pt idx="361">
                  <c:v>45579</c:v>
                </c:pt>
                <c:pt idx="362">
                  <c:v>45578</c:v>
                </c:pt>
                <c:pt idx="363">
                  <c:v>45577</c:v>
                </c:pt>
                <c:pt idx="364">
                  <c:v>45576</c:v>
                </c:pt>
                <c:pt idx="365">
                  <c:v>45575</c:v>
                </c:pt>
                <c:pt idx="366">
                  <c:v>45574</c:v>
                </c:pt>
                <c:pt idx="367">
                  <c:v>45573</c:v>
                </c:pt>
                <c:pt idx="368">
                  <c:v>45572</c:v>
                </c:pt>
                <c:pt idx="369">
                  <c:v>45571</c:v>
                </c:pt>
                <c:pt idx="370">
                  <c:v>45570</c:v>
                </c:pt>
                <c:pt idx="371">
                  <c:v>45569</c:v>
                </c:pt>
                <c:pt idx="372">
                  <c:v>45568</c:v>
                </c:pt>
                <c:pt idx="373">
                  <c:v>45567</c:v>
                </c:pt>
                <c:pt idx="374">
                  <c:v>45566</c:v>
                </c:pt>
                <c:pt idx="375">
                  <c:v>45565</c:v>
                </c:pt>
                <c:pt idx="376">
                  <c:v>45564</c:v>
                </c:pt>
                <c:pt idx="377">
                  <c:v>45563</c:v>
                </c:pt>
                <c:pt idx="378">
                  <c:v>45562</c:v>
                </c:pt>
                <c:pt idx="379">
                  <c:v>45561</c:v>
                </c:pt>
                <c:pt idx="380">
                  <c:v>45560</c:v>
                </c:pt>
                <c:pt idx="381">
                  <c:v>45559</c:v>
                </c:pt>
                <c:pt idx="382">
                  <c:v>45558</c:v>
                </c:pt>
                <c:pt idx="383">
                  <c:v>45557</c:v>
                </c:pt>
                <c:pt idx="384">
                  <c:v>45556</c:v>
                </c:pt>
                <c:pt idx="385">
                  <c:v>45555</c:v>
                </c:pt>
                <c:pt idx="386">
                  <c:v>45554</c:v>
                </c:pt>
                <c:pt idx="387">
                  <c:v>45553</c:v>
                </c:pt>
                <c:pt idx="388">
                  <c:v>45552</c:v>
                </c:pt>
                <c:pt idx="389">
                  <c:v>45551</c:v>
                </c:pt>
                <c:pt idx="390">
                  <c:v>45550</c:v>
                </c:pt>
                <c:pt idx="391">
                  <c:v>45549</c:v>
                </c:pt>
                <c:pt idx="392">
                  <c:v>45548</c:v>
                </c:pt>
                <c:pt idx="393">
                  <c:v>45547</c:v>
                </c:pt>
                <c:pt idx="394">
                  <c:v>45546</c:v>
                </c:pt>
                <c:pt idx="395">
                  <c:v>45545</c:v>
                </c:pt>
                <c:pt idx="396">
                  <c:v>45544</c:v>
                </c:pt>
                <c:pt idx="397">
                  <c:v>45543</c:v>
                </c:pt>
                <c:pt idx="398">
                  <c:v>45542</c:v>
                </c:pt>
                <c:pt idx="399">
                  <c:v>45541</c:v>
                </c:pt>
                <c:pt idx="400">
                  <c:v>45540</c:v>
                </c:pt>
                <c:pt idx="401">
                  <c:v>45539</c:v>
                </c:pt>
                <c:pt idx="402">
                  <c:v>45538</c:v>
                </c:pt>
                <c:pt idx="403">
                  <c:v>45537</c:v>
                </c:pt>
                <c:pt idx="404">
                  <c:v>45536</c:v>
                </c:pt>
                <c:pt idx="405">
                  <c:v>45535</c:v>
                </c:pt>
                <c:pt idx="406">
                  <c:v>45534</c:v>
                </c:pt>
                <c:pt idx="407">
                  <c:v>45533</c:v>
                </c:pt>
                <c:pt idx="408">
                  <c:v>45532</c:v>
                </c:pt>
                <c:pt idx="409">
                  <c:v>45531</c:v>
                </c:pt>
                <c:pt idx="410">
                  <c:v>45530</c:v>
                </c:pt>
                <c:pt idx="411">
                  <c:v>45529</c:v>
                </c:pt>
                <c:pt idx="412">
                  <c:v>45528</c:v>
                </c:pt>
                <c:pt idx="413">
                  <c:v>45527</c:v>
                </c:pt>
                <c:pt idx="414">
                  <c:v>45526</c:v>
                </c:pt>
                <c:pt idx="415">
                  <c:v>45525</c:v>
                </c:pt>
                <c:pt idx="416">
                  <c:v>45524</c:v>
                </c:pt>
                <c:pt idx="417">
                  <c:v>45523</c:v>
                </c:pt>
                <c:pt idx="418">
                  <c:v>45522</c:v>
                </c:pt>
                <c:pt idx="419">
                  <c:v>45521</c:v>
                </c:pt>
                <c:pt idx="420">
                  <c:v>45520</c:v>
                </c:pt>
                <c:pt idx="421">
                  <c:v>45519</c:v>
                </c:pt>
                <c:pt idx="422">
                  <c:v>45518</c:v>
                </c:pt>
                <c:pt idx="423">
                  <c:v>45517</c:v>
                </c:pt>
                <c:pt idx="424">
                  <c:v>45516</c:v>
                </c:pt>
                <c:pt idx="425">
                  <c:v>45515</c:v>
                </c:pt>
                <c:pt idx="426">
                  <c:v>45514</c:v>
                </c:pt>
                <c:pt idx="427">
                  <c:v>45513</c:v>
                </c:pt>
                <c:pt idx="428">
                  <c:v>45512</c:v>
                </c:pt>
                <c:pt idx="429">
                  <c:v>45511</c:v>
                </c:pt>
                <c:pt idx="430">
                  <c:v>45510</c:v>
                </c:pt>
                <c:pt idx="431">
                  <c:v>45509</c:v>
                </c:pt>
                <c:pt idx="432">
                  <c:v>45508</c:v>
                </c:pt>
                <c:pt idx="433">
                  <c:v>45507</c:v>
                </c:pt>
                <c:pt idx="434">
                  <c:v>45506</c:v>
                </c:pt>
                <c:pt idx="435">
                  <c:v>45505</c:v>
                </c:pt>
                <c:pt idx="436">
                  <c:v>45504</c:v>
                </c:pt>
                <c:pt idx="437">
                  <c:v>45503</c:v>
                </c:pt>
                <c:pt idx="438">
                  <c:v>45502</c:v>
                </c:pt>
                <c:pt idx="439">
                  <c:v>45501</c:v>
                </c:pt>
                <c:pt idx="440">
                  <c:v>45500</c:v>
                </c:pt>
                <c:pt idx="441">
                  <c:v>45499</c:v>
                </c:pt>
                <c:pt idx="442">
                  <c:v>45498</c:v>
                </c:pt>
                <c:pt idx="443">
                  <c:v>45497</c:v>
                </c:pt>
                <c:pt idx="444">
                  <c:v>45496</c:v>
                </c:pt>
                <c:pt idx="445">
                  <c:v>45495</c:v>
                </c:pt>
                <c:pt idx="446">
                  <c:v>45494</c:v>
                </c:pt>
                <c:pt idx="447">
                  <c:v>45493</c:v>
                </c:pt>
                <c:pt idx="448">
                  <c:v>45492</c:v>
                </c:pt>
                <c:pt idx="449">
                  <c:v>45491</c:v>
                </c:pt>
                <c:pt idx="450">
                  <c:v>45490</c:v>
                </c:pt>
                <c:pt idx="451">
                  <c:v>45489</c:v>
                </c:pt>
                <c:pt idx="452">
                  <c:v>45488</c:v>
                </c:pt>
                <c:pt idx="453">
                  <c:v>45487</c:v>
                </c:pt>
                <c:pt idx="454">
                  <c:v>45486</c:v>
                </c:pt>
                <c:pt idx="455">
                  <c:v>45485</c:v>
                </c:pt>
                <c:pt idx="456">
                  <c:v>45484</c:v>
                </c:pt>
                <c:pt idx="457">
                  <c:v>45483</c:v>
                </c:pt>
                <c:pt idx="458">
                  <c:v>45482</c:v>
                </c:pt>
                <c:pt idx="459">
                  <c:v>45481</c:v>
                </c:pt>
                <c:pt idx="460">
                  <c:v>45480</c:v>
                </c:pt>
                <c:pt idx="461">
                  <c:v>45479</c:v>
                </c:pt>
                <c:pt idx="462">
                  <c:v>45478</c:v>
                </c:pt>
                <c:pt idx="463">
                  <c:v>45477</c:v>
                </c:pt>
                <c:pt idx="464">
                  <c:v>45476</c:v>
                </c:pt>
                <c:pt idx="465">
                  <c:v>45475</c:v>
                </c:pt>
                <c:pt idx="466">
                  <c:v>45474</c:v>
                </c:pt>
                <c:pt idx="467">
                  <c:v>45473</c:v>
                </c:pt>
                <c:pt idx="468">
                  <c:v>45472</c:v>
                </c:pt>
                <c:pt idx="469">
                  <c:v>45471</c:v>
                </c:pt>
                <c:pt idx="470">
                  <c:v>45470</c:v>
                </c:pt>
                <c:pt idx="471">
                  <c:v>45469</c:v>
                </c:pt>
                <c:pt idx="472">
                  <c:v>45468</c:v>
                </c:pt>
                <c:pt idx="473">
                  <c:v>45467</c:v>
                </c:pt>
                <c:pt idx="474">
                  <c:v>45466</c:v>
                </c:pt>
                <c:pt idx="475">
                  <c:v>45465</c:v>
                </c:pt>
                <c:pt idx="476">
                  <c:v>45464</c:v>
                </c:pt>
                <c:pt idx="477">
                  <c:v>45463</c:v>
                </c:pt>
                <c:pt idx="478">
                  <c:v>45462</c:v>
                </c:pt>
                <c:pt idx="479">
                  <c:v>45461</c:v>
                </c:pt>
                <c:pt idx="480">
                  <c:v>45460</c:v>
                </c:pt>
                <c:pt idx="481">
                  <c:v>45459</c:v>
                </c:pt>
                <c:pt idx="482">
                  <c:v>45458</c:v>
                </c:pt>
                <c:pt idx="483">
                  <c:v>45457</c:v>
                </c:pt>
                <c:pt idx="484">
                  <c:v>45456</c:v>
                </c:pt>
                <c:pt idx="485">
                  <c:v>45455</c:v>
                </c:pt>
                <c:pt idx="486">
                  <c:v>45454</c:v>
                </c:pt>
                <c:pt idx="487">
                  <c:v>45453</c:v>
                </c:pt>
                <c:pt idx="488">
                  <c:v>45452</c:v>
                </c:pt>
                <c:pt idx="489">
                  <c:v>45451</c:v>
                </c:pt>
                <c:pt idx="490">
                  <c:v>45450</c:v>
                </c:pt>
                <c:pt idx="491">
                  <c:v>45449</c:v>
                </c:pt>
                <c:pt idx="492">
                  <c:v>45448</c:v>
                </c:pt>
                <c:pt idx="493">
                  <c:v>45447</c:v>
                </c:pt>
                <c:pt idx="494">
                  <c:v>45446</c:v>
                </c:pt>
                <c:pt idx="495">
                  <c:v>45445</c:v>
                </c:pt>
                <c:pt idx="496">
                  <c:v>45444</c:v>
                </c:pt>
                <c:pt idx="497">
                  <c:v>45443</c:v>
                </c:pt>
                <c:pt idx="498">
                  <c:v>45442</c:v>
                </c:pt>
                <c:pt idx="499">
                  <c:v>45441</c:v>
                </c:pt>
                <c:pt idx="500">
                  <c:v>45440</c:v>
                </c:pt>
                <c:pt idx="501">
                  <c:v>45439</c:v>
                </c:pt>
                <c:pt idx="502">
                  <c:v>45438</c:v>
                </c:pt>
                <c:pt idx="503">
                  <c:v>45437</c:v>
                </c:pt>
                <c:pt idx="504">
                  <c:v>45436</c:v>
                </c:pt>
                <c:pt idx="505">
                  <c:v>45435</c:v>
                </c:pt>
                <c:pt idx="506">
                  <c:v>45434</c:v>
                </c:pt>
                <c:pt idx="507">
                  <c:v>45433</c:v>
                </c:pt>
                <c:pt idx="508">
                  <c:v>45432</c:v>
                </c:pt>
                <c:pt idx="509">
                  <c:v>45431</c:v>
                </c:pt>
                <c:pt idx="510">
                  <c:v>45430</c:v>
                </c:pt>
                <c:pt idx="511">
                  <c:v>45429</c:v>
                </c:pt>
                <c:pt idx="512">
                  <c:v>45428</c:v>
                </c:pt>
                <c:pt idx="513">
                  <c:v>45427</c:v>
                </c:pt>
                <c:pt idx="514">
                  <c:v>45426</c:v>
                </c:pt>
                <c:pt idx="515">
                  <c:v>45425</c:v>
                </c:pt>
                <c:pt idx="516">
                  <c:v>45424</c:v>
                </c:pt>
                <c:pt idx="517">
                  <c:v>45423</c:v>
                </c:pt>
                <c:pt idx="518">
                  <c:v>45422</c:v>
                </c:pt>
                <c:pt idx="519">
                  <c:v>45421</c:v>
                </c:pt>
                <c:pt idx="520">
                  <c:v>45420</c:v>
                </c:pt>
                <c:pt idx="521">
                  <c:v>45419</c:v>
                </c:pt>
                <c:pt idx="522">
                  <c:v>45418</c:v>
                </c:pt>
                <c:pt idx="523">
                  <c:v>45417</c:v>
                </c:pt>
                <c:pt idx="524">
                  <c:v>45416</c:v>
                </c:pt>
                <c:pt idx="525">
                  <c:v>45415</c:v>
                </c:pt>
                <c:pt idx="526">
                  <c:v>45414</c:v>
                </c:pt>
                <c:pt idx="527">
                  <c:v>45413</c:v>
                </c:pt>
                <c:pt idx="528">
                  <c:v>45412</c:v>
                </c:pt>
                <c:pt idx="529">
                  <c:v>45411</c:v>
                </c:pt>
                <c:pt idx="530">
                  <c:v>45410</c:v>
                </c:pt>
                <c:pt idx="531">
                  <c:v>45409</c:v>
                </c:pt>
                <c:pt idx="532">
                  <c:v>45408</c:v>
                </c:pt>
                <c:pt idx="533">
                  <c:v>45407</c:v>
                </c:pt>
                <c:pt idx="534">
                  <c:v>45406</c:v>
                </c:pt>
                <c:pt idx="535">
                  <c:v>45405</c:v>
                </c:pt>
                <c:pt idx="536">
                  <c:v>45404</c:v>
                </c:pt>
                <c:pt idx="537">
                  <c:v>45403</c:v>
                </c:pt>
                <c:pt idx="538">
                  <c:v>45402</c:v>
                </c:pt>
                <c:pt idx="539">
                  <c:v>45401</c:v>
                </c:pt>
                <c:pt idx="540">
                  <c:v>45400</c:v>
                </c:pt>
                <c:pt idx="541">
                  <c:v>45399</c:v>
                </c:pt>
                <c:pt idx="542">
                  <c:v>45398</c:v>
                </c:pt>
                <c:pt idx="543">
                  <c:v>45397</c:v>
                </c:pt>
                <c:pt idx="544">
                  <c:v>45396</c:v>
                </c:pt>
                <c:pt idx="545">
                  <c:v>45395</c:v>
                </c:pt>
                <c:pt idx="546">
                  <c:v>45394</c:v>
                </c:pt>
                <c:pt idx="547">
                  <c:v>45393</c:v>
                </c:pt>
                <c:pt idx="548">
                  <c:v>45392</c:v>
                </c:pt>
                <c:pt idx="549">
                  <c:v>45391</c:v>
                </c:pt>
                <c:pt idx="550">
                  <c:v>45390</c:v>
                </c:pt>
                <c:pt idx="551">
                  <c:v>45389</c:v>
                </c:pt>
                <c:pt idx="552">
                  <c:v>45388</c:v>
                </c:pt>
                <c:pt idx="553">
                  <c:v>45387</c:v>
                </c:pt>
                <c:pt idx="554">
                  <c:v>45386</c:v>
                </c:pt>
                <c:pt idx="555">
                  <c:v>45385</c:v>
                </c:pt>
                <c:pt idx="556">
                  <c:v>45384</c:v>
                </c:pt>
                <c:pt idx="557">
                  <c:v>45383</c:v>
                </c:pt>
                <c:pt idx="558">
                  <c:v>45382</c:v>
                </c:pt>
                <c:pt idx="559">
                  <c:v>45381</c:v>
                </c:pt>
                <c:pt idx="560">
                  <c:v>45380</c:v>
                </c:pt>
                <c:pt idx="561">
                  <c:v>45379</c:v>
                </c:pt>
                <c:pt idx="562">
                  <c:v>45378</c:v>
                </c:pt>
                <c:pt idx="563">
                  <c:v>45377</c:v>
                </c:pt>
                <c:pt idx="564">
                  <c:v>45376</c:v>
                </c:pt>
                <c:pt idx="565">
                  <c:v>45375</c:v>
                </c:pt>
                <c:pt idx="566">
                  <c:v>45374</c:v>
                </c:pt>
                <c:pt idx="567">
                  <c:v>45373</c:v>
                </c:pt>
                <c:pt idx="568">
                  <c:v>45372</c:v>
                </c:pt>
                <c:pt idx="569">
                  <c:v>45371</c:v>
                </c:pt>
                <c:pt idx="570">
                  <c:v>45370</c:v>
                </c:pt>
                <c:pt idx="571">
                  <c:v>45369</c:v>
                </c:pt>
                <c:pt idx="572">
                  <c:v>45368</c:v>
                </c:pt>
                <c:pt idx="573">
                  <c:v>45367</c:v>
                </c:pt>
                <c:pt idx="574">
                  <c:v>45366</c:v>
                </c:pt>
                <c:pt idx="575">
                  <c:v>45365</c:v>
                </c:pt>
                <c:pt idx="576">
                  <c:v>45364</c:v>
                </c:pt>
                <c:pt idx="577">
                  <c:v>45363</c:v>
                </c:pt>
                <c:pt idx="578">
                  <c:v>45362</c:v>
                </c:pt>
                <c:pt idx="579">
                  <c:v>45361</c:v>
                </c:pt>
                <c:pt idx="580">
                  <c:v>45360</c:v>
                </c:pt>
                <c:pt idx="581">
                  <c:v>45359</c:v>
                </c:pt>
                <c:pt idx="582">
                  <c:v>45358</c:v>
                </c:pt>
                <c:pt idx="583">
                  <c:v>45357</c:v>
                </c:pt>
                <c:pt idx="584">
                  <c:v>45356</c:v>
                </c:pt>
                <c:pt idx="585">
                  <c:v>45355</c:v>
                </c:pt>
                <c:pt idx="586">
                  <c:v>45354</c:v>
                </c:pt>
                <c:pt idx="587">
                  <c:v>45353</c:v>
                </c:pt>
                <c:pt idx="588">
                  <c:v>45352</c:v>
                </c:pt>
                <c:pt idx="589">
                  <c:v>45351</c:v>
                </c:pt>
                <c:pt idx="590">
                  <c:v>45350</c:v>
                </c:pt>
                <c:pt idx="591">
                  <c:v>45349</c:v>
                </c:pt>
                <c:pt idx="592">
                  <c:v>45348</c:v>
                </c:pt>
                <c:pt idx="593">
                  <c:v>45347</c:v>
                </c:pt>
                <c:pt idx="594">
                  <c:v>45346</c:v>
                </c:pt>
                <c:pt idx="595">
                  <c:v>45345</c:v>
                </c:pt>
                <c:pt idx="596">
                  <c:v>45344</c:v>
                </c:pt>
                <c:pt idx="597">
                  <c:v>45343</c:v>
                </c:pt>
                <c:pt idx="598">
                  <c:v>45342</c:v>
                </c:pt>
                <c:pt idx="599">
                  <c:v>45341</c:v>
                </c:pt>
                <c:pt idx="600">
                  <c:v>45340</c:v>
                </c:pt>
                <c:pt idx="601">
                  <c:v>45339</c:v>
                </c:pt>
                <c:pt idx="602">
                  <c:v>45338</c:v>
                </c:pt>
                <c:pt idx="603">
                  <c:v>45337</c:v>
                </c:pt>
                <c:pt idx="604">
                  <c:v>45336</c:v>
                </c:pt>
                <c:pt idx="605">
                  <c:v>45335</c:v>
                </c:pt>
                <c:pt idx="606">
                  <c:v>45334</c:v>
                </c:pt>
                <c:pt idx="607">
                  <c:v>45333</c:v>
                </c:pt>
                <c:pt idx="608">
                  <c:v>45332</c:v>
                </c:pt>
                <c:pt idx="609">
                  <c:v>45331</c:v>
                </c:pt>
                <c:pt idx="610">
                  <c:v>45330</c:v>
                </c:pt>
                <c:pt idx="611">
                  <c:v>45329</c:v>
                </c:pt>
                <c:pt idx="612">
                  <c:v>45328</c:v>
                </c:pt>
                <c:pt idx="613">
                  <c:v>45327</c:v>
                </c:pt>
                <c:pt idx="614">
                  <c:v>45326</c:v>
                </c:pt>
                <c:pt idx="615">
                  <c:v>45325</c:v>
                </c:pt>
                <c:pt idx="616">
                  <c:v>45324</c:v>
                </c:pt>
                <c:pt idx="617">
                  <c:v>45323</c:v>
                </c:pt>
                <c:pt idx="618">
                  <c:v>45322</c:v>
                </c:pt>
                <c:pt idx="619">
                  <c:v>45321</c:v>
                </c:pt>
                <c:pt idx="620">
                  <c:v>45320</c:v>
                </c:pt>
                <c:pt idx="621">
                  <c:v>45319</c:v>
                </c:pt>
                <c:pt idx="622">
                  <c:v>45318</c:v>
                </c:pt>
                <c:pt idx="623">
                  <c:v>45317</c:v>
                </c:pt>
                <c:pt idx="624">
                  <c:v>45316</c:v>
                </c:pt>
                <c:pt idx="625">
                  <c:v>45315</c:v>
                </c:pt>
                <c:pt idx="626">
                  <c:v>45314</c:v>
                </c:pt>
                <c:pt idx="627">
                  <c:v>45313</c:v>
                </c:pt>
                <c:pt idx="628">
                  <c:v>45312</c:v>
                </c:pt>
                <c:pt idx="629">
                  <c:v>45311</c:v>
                </c:pt>
                <c:pt idx="630">
                  <c:v>45310</c:v>
                </c:pt>
                <c:pt idx="631">
                  <c:v>45309</c:v>
                </c:pt>
                <c:pt idx="632">
                  <c:v>45308</c:v>
                </c:pt>
                <c:pt idx="633">
                  <c:v>45307</c:v>
                </c:pt>
                <c:pt idx="634">
                  <c:v>45306</c:v>
                </c:pt>
                <c:pt idx="635">
                  <c:v>45305</c:v>
                </c:pt>
                <c:pt idx="636">
                  <c:v>45304</c:v>
                </c:pt>
                <c:pt idx="637">
                  <c:v>45303</c:v>
                </c:pt>
                <c:pt idx="638">
                  <c:v>45302</c:v>
                </c:pt>
                <c:pt idx="639">
                  <c:v>45301</c:v>
                </c:pt>
                <c:pt idx="640">
                  <c:v>45300</c:v>
                </c:pt>
                <c:pt idx="641">
                  <c:v>45299</c:v>
                </c:pt>
                <c:pt idx="642">
                  <c:v>45298</c:v>
                </c:pt>
                <c:pt idx="643">
                  <c:v>45297</c:v>
                </c:pt>
                <c:pt idx="644">
                  <c:v>45296</c:v>
                </c:pt>
                <c:pt idx="645">
                  <c:v>45295</c:v>
                </c:pt>
                <c:pt idx="646">
                  <c:v>45294</c:v>
                </c:pt>
                <c:pt idx="647">
                  <c:v>45293</c:v>
                </c:pt>
                <c:pt idx="648">
                  <c:v>45292</c:v>
                </c:pt>
                <c:pt idx="649">
                  <c:v>45291</c:v>
                </c:pt>
                <c:pt idx="650">
                  <c:v>45290</c:v>
                </c:pt>
                <c:pt idx="651">
                  <c:v>45289</c:v>
                </c:pt>
                <c:pt idx="652">
                  <c:v>45288</c:v>
                </c:pt>
                <c:pt idx="653">
                  <c:v>45287</c:v>
                </c:pt>
                <c:pt idx="654">
                  <c:v>45286</c:v>
                </c:pt>
                <c:pt idx="655">
                  <c:v>45285</c:v>
                </c:pt>
                <c:pt idx="656">
                  <c:v>45284</c:v>
                </c:pt>
                <c:pt idx="657">
                  <c:v>45283</c:v>
                </c:pt>
                <c:pt idx="658">
                  <c:v>45282</c:v>
                </c:pt>
                <c:pt idx="659">
                  <c:v>45281</c:v>
                </c:pt>
                <c:pt idx="660">
                  <c:v>45280</c:v>
                </c:pt>
                <c:pt idx="661">
                  <c:v>45279</c:v>
                </c:pt>
                <c:pt idx="662">
                  <c:v>45278</c:v>
                </c:pt>
                <c:pt idx="663">
                  <c:v>45277</c:v>
                </c:pt>
                <c:pt idx="664">
                  <c:v>45276</c:v>
                </c:pt>
                <c:pt idx="665">
                  <c:v>45275</c:v>
                </c:pt>
                <c:pt idx="666">
                  <c:v>45274</c:v>
                </c:pt>
                <c:pt idx="667">
                  <c:v>45273</c:v>
                </c:pt>
                <c:pt idx="668">
                  <c:v>45272</c:v>
                </c:pt>
                <c:pt idx="669">
                  <c:v>45271</c:v>
                </c:pt>
                <c:pt idx="670">
                  <c:v>45270</c:v>
                </c:pt>
                <c:pt idx="671">
                  <c:v>45269</c:v>
                </c:pt>
                <c:pt idx="672">
                  <c:v>45268</c:v>
                </c:pt>
                <c:pt idx="673">
                  <c:v>45267</c:v>
                </c:pt>
                <c:pt idx="674">
                  <c:v>45266</c:v>
                </c:pt>
                <c:pt idx="675">
                  <c:v>45265</c:v>
                </c:pt>
                <c:pt idx="676">
                  <c:v>45264</c:v>
                </c:pt>
                <c:pt idx="677">
                  <c:v>45263</c:v>
                </c:pt>
                <c:pt idx="678">
                  <c:v>45262</c:v>
                </c:pt>
                <c:pt idx="679">
                  <c:v>45261</c:v>
                </c:pt>
                <c:pt idx="680">
                  <c:v>45260</c:v>
                </c:pt>
                <c:pt idx="681">
                  <c:v>45259</c:v>
                </c:pt>
                <c:pt idx="682">
                  <c:v>45258</c:v>
                </c:pt>
                <c:pt idx="683">
                  <c:v>45257</c:v>
                </c:pt>
                <c:pt idx="684">
                  <c:v>45256</c:v>
                </c:pt>
                <c:pt idx="685">
                  <c:v>45255</c:v>
                </c:pt>
                <c:pt idx="686">
                  <c:v>45254</c:v>
                </c:pt>
                <c:pt idx="687">
                  <c:v>45253</c:v>
                </c:pt>
                <c:pt idx="688">
                  <c:v>45252</c:v>
                </c:pt>
                <c:pt idx="689">
                  <c:v>45251</c:v>
                </c:pt>
                <c:pt idx="690">
                  <c:v>45250</c:v>
                </c:pt>
                <c:pt idx="691">
                  <c:v>45249</c:v>
                </c:pt>
                <c:pt idx="692">
                  <c:v>45248</c:v>
                </c:pt>
                <c:pt idx="693">
                  <c:v>45247</c:v>
                </c:pt>
                <c:pt idx="694">
                  <c:v>45246</c:v>
                </c:pt>
                <c:pt idx="695">
                  <c:v>45245</c:v>
                </c:pt>
                <c:pt idx="696">
                  <c:v>45244</c:v>
                </c:pt>
                <c:pt idx="697">
                  <c:v>45243</c:v>
                </c:pt>
                <c:pt idx="698">
                  <c:v>45242</c:v>
                </c:pt>
                <c:pt idx="699">
                  <c:v>45241</c:v>
                </c:pt>
                <c:pt idx="700">
                  <c:v>45240</c:v>
                </c:pt>
                <c:pt idx="701">
                  <c:v>45239</c:v>
                </c:pt>
                <c:pt idx="702">
                  <c:v>45238</c:v>
                </c:pt>
                <c:pt idx="703">
                  <c:v>45237</c:v>
                </c:pt>
                <c:pt idx="704">
                  <c:v>45236</c:v>
                </c:pt>
                <c:pt idx="705">
                  <c:v>45235</c:v>
                </c:pt>
                <c:pt idx="706">
                  <c:v>45234</c:v>
                </c:pt>
                <c:pt idx="707">
                  <c:v>45233</c:v>
                </c:pt>
                <c:pt idx="708">
                  <c:v>45232</c:v>
                </c:pt>
                <c:pt idx="709">
                  <c:v>45231</c:v>
                </c:pt>
                <c:pt idx="710">
                  <c:v>45230</c:v>
                </c:pt>
                <c:pt idx="711">
                  <c:v>45229</c:v>
                </c:pt>
                <c:pt idx="712">
                  <c:v>45228</c:v>
                </c:pt>
                <c:pt idx="713">
                  <c:v>45227</c:v>
                </c:pt>
                <c:pt idx="714">
                  <c:v>45226</c:v>
                </c:pt>
                <c:pt idx="715">
                  <c:v>45225</c:v>
                </c:pt>
                <c:pt idx="716">
                  <c:v>45224</c:v>
                </c:pt>
                <c:pt idx="717">
                  <c:v>45223</c:v>
                </c:pt>
                <c:pt idx="718">
                  <c:v>45222</c:v>
                </c:pt>
                <c:pt idx="719">
                  <c:v>45221</c:v>
                </c:pt>
                <c:pt idx="720">
                  <c:v>45220</c:v>
                </c:pt>
                <c:pt idx="721">
                  <c:v>45219</c:v>
                </c:pt>
                <c:pt idx="722">
                  <c:v>45218</c:v>
                </c:pt>
                <c:pt idx="723">
                  <c:v>45217</c:v>
                </c:pt>
                <c:pt idx="724">
                  <c:v>45216</c:v>
                </c:pt>
                <c:pt idx="725">
                  <c:v>45215</c:v>
                </c:pt>
                <c:pt idx="726">
                  <c:v>45214</c:v>
                </c:pt>
                <c:pt idx="727">
                  <c:v>45213</c:v>
                </c:pt>
                <c:pt idx="728">
                  <c:v>45212</c:v>
                </c:pt>
                <c:pt idx="729">
                  <c:v>45211</c:v>
                </c:pt>
                <c:pt idx="730">
                  <c:v>45210</c:v>
                </c:pt>
                <c:pt idx="731">
                  <c:v>45209</c:v>
                </c:pt>
                <c:pt idx="732">
                  <c:v>45208</c:v>
                </c:pt>
                <c:pt idx="733">
                  <c:v>45207</c:v>
                </c:pt>
                <c:pt idx="734">
                  <c:v>45206</c:v>
                </c:pt>
                <c:pt idx="735">
                  <c:v>45205</c:v>
                </c:pt>
                <c:pt idx="736">
                  <c:v>45204</c:v>
                </c:pt>
                <c:pt idx="737">
                  <c:v>45203</c:v>
                </c:pt>
                <c:pt idx="738">
                  <c:v>45202</c:v>
                </c:pt>
                <c:pt idx="739">
                  <c:v>45201</c:v>
                </c:pt>
                <c:pt idx="740">
                  <c:v>45200</c:v>
                </c:pt>
                <c:pt idx="741">
                  <c:v>45199</c:v>
                </c:pt>
                <c:pt idx="742">
                  <c:v>45198</c:v>
                </c:pt>
                <c:pt idx="743">
                  <c:v>45197</c:v>
                </c:pt>
                <c:pt idx="744">
                  <c:v>45196</c:v>
                </c:pt>
                <c:pt idx="745">
                  <c:v>45195</c:v>
                </c:pt>
                <c:pt idx="746">
                  <c:v>45194</c:v>
                </c:pt>
                <c:pt idx="747">
                  <c:v>45193</c:v>
                </c:pt>
                <c:pt idx="748">
                  <c:v>45192</c:v>
                </c:pt>
                <c:pt idx="749">
                  <c:v>45191</c:v>
                </c:pt>
                <c:pt idx="750">
                  <c:v>45190</c:v>
                </c:pt>
                <c:pt idx="751">
                  <c:v>45189</c:v>
                </c:pt>
                <c:pt idx="752">
                  <c:v>45188</c:v>
                </c:pt>
                <c:pt idx="753">
                  <c:v>45187</c:v>
                </c:pt>
                <c:pt idx="754">
                  <c:v>45186</c:v>
                </c:pt>
                <c:pt idx="755">
                  <c:v>45185</c:v>
                </c:pt>
                <c:pt idx="756">
                  <c:v>45184</c:v>
                </c:pt>
                <c:pt idx="757">
                  <c:v>45183</c:v>
                </c:pt>
                <c:pt idx="758">
                  <c:v>45182</c:v>
                </c:pt>
                <c:pt idx="759">
                  <c:v>45181</c:v>
                </c:pt>
                <c:pt idx="760">
                  <c:v>45180</c:v>
                </c:pt>
                <c:pt idx="761">
                  <c:v>45179</c:v>
                </c:pt>
                <c:pt idx="762">
                  <c:v>45178</c:v>
                </c:pt>
                <c:pt idx="763">
                  <c:v>45177</c:v>
                </c:pt>
                <c:pt idx="764">
                  <c:v>45176</c:v>
                </c:pt>
                <c:pt idx="765">
                  <c:v>45175</c:v>
                </c:pt>
                <c:pt idx="766">
                  <c:v>45174</c:v>
                </c:pt>
                <c:pt idx="767">
                  <c:v>45173</c:v>
                </c:pt>
                <c:pt idx="768">
                  <c:v>45172</c:v>
                </c:pt>
                <c:pt idx="769">
                  <c:v>45171</c:v>
                </c:pt>
                <c:pt idx="770">
                  <c:v>45170</c:v>
                </c:pt>
                <c:pt idx="771">
                  <c:v>45169</c:v>
                </c:pt>
                <c:pt idx="772">
                  <c:v>45168</c:v>
                </c:pt>
                <c:pt idx="773">
                  <c:v>45167</c:v>
                </c:pt>
                <c:pt idx="774">
                  <c:v>45166</c:v>
                </c:pt>
                <c:pt idx="775">
                  <c:v>45165</c:v>
                </c:pt>
                <c:pt idx="776">
                  <c:v>45164</c:v>
                </c:pt>
                <c:pt idx="777">
                  <c:v>45163</c:v>
                </c:pt>
                <c:pt idx="778">
                  <c:v>45162</c:v>
                </c:pt>
                <c:pt idx="779">
                  <c:v>45161</c:v>
                </c:pt>
                <c:pt idx="780">
                  <c:v>45160</c:v>
                </c:pt>
                <c:pt idx="781">
                  <c:v>45159</c:v>
                </c:pt>
                <c:pt idx="782">
                  <c:v>45158</c:v>
                </c:pt>
                <c:pt idx="783">
                  <c:v>45157</c:v>
                </c:pt>
                <c:pt idx="784">
                  <c:v>45156</c:v>
                </c:pt>
                <c:pt idx="785">
                  <c:v>45155</c:v>
                </c:pt>
                <c:pt idx="786">
                  <c:v>45154</c:v>
                </c:pt>
                <c:pt idx="787">
                  <c:v>45153</c:v>
                </c:pt>
                <c:pt idx="788">
                  <c:v>45152</c:v>
                </c:pt>
                <c:pt idx="789">
                  <c:v>45151</c:v>
                </c:pt>
                <c:pt idx="790">
                  <c:v>45150</c:v>
                </c:pt>
                <c:pt idx="791">
                  <c:v>45149</c:v>
                </c:pt>
                <c:pt idx="792">
                  <c:v>45148</c:v>
                </c:pt>
                <c:pt idx="793">
                  <c:v>45147</c:v>
                </c:pt>
                <c:pt idx="794">
                  <c:v>45146</c:v>
                </c:pt>
                <c:pt idx="795">
                  <c:v>45145</c:v>
                </c:pt>
                <c:pt idx="796">
                  <c:v>45144</c:v>
                </c:pt>
                <c:pt idx="797">
                  <c:v>45143</c:v>
                </c:pt>
                <c:pt idx="798">
                  <c:v>45142</c:v>
                </c:pt>
                <c:pt idx="799">
                  <c:v>45141</c:v>
                </c:pt>
                <c:pt idx="800">
                  <c:v>45140</c:v>
                </c:pt>
                <c:pt idx="801">
                  <c:v>45139</c:v>
                </c:pt>
                <c:pt idx="802">
                  <c:v>45138</c:v>
                </c:pt>
                <c:pt idx="803">
                  <c:v>45137</c:v>
                </c:pt>
                <c:pt idx="804">
                  <c:v>45136</c:v>
                </c:pt>
                <c:pt idx="805">
                  <c:v>45135</c:v>
                </c:pt>
                <c:pt idx="806">
                  <c:v>45134</c:v>
                </c:pt>
                <c:pt idx="807">
                  <c:v>45133</c:v>
                </c:pt>
                <c:pt idx="808">
                  <c:v>45132</c:v>
                </c:pt>
                <c:pt idx="809">
                  <c:v>45131</c:v>
                </c:pt>
                <c:pt idx="810">
                  <c:v>45130</c:v>
                </c:pt>
                <c:pt idx="811">
                  <c:v>45129</c:v>
                </c:pt>
                <c:pt idx="812">
                  <c:v>45128</c:v>
                </c:pt>
                <c:pt idx="813">
                  <c:v>45127</c:v>
                </c:pt>
                <c:pt idx="814">
                  <c:v>45126</c:v>
                </c:pt>
                <c:pt idx="815">
                  <c:v>45125</c:v>
                </c:pt>
                <c:pt idx="816">
                  <c:v>45124</c:v>
                </c:pt>
                <c:pt idx="817">
                  <c:v>45123</c:v>
                </c:pt>
                <c:pt idx="818">
                  <c:v>45122</c:v>
                </c:pt>
                <c:pt idx="819">
                  <c:v>45121</c:v>
                </c:pt>
                <c:pt idx="820">
                  <c:v>45120</c:v>
                </c:pt>
                <c:pt idx="821">
                  <c:v>45119</c:v>
                </c:pt>
                <c:pt idx="822">
                  <c:v>45118</c:v>
                </c:pt>
                <c:pt idx="823">
                  <c:v>45117</c:v>
                </c:pt>
                <c:pt idx="824">
                  <c:v>45116</c:v>
                </c:pt>
                <c:pt idx="825">
                  <c:v>45115</c:v>
                </c:pt>
                <c:pt idx="826">
                  <c:v>45114</c:v>
                </c:pt>
                <c:pt idx="827">
                  <c:v>45113</c:v>
                </c:pt>
                <c:pt idx="828">
                  <c:v>45112</c:v>
                </c:pt>
                <c:pt idx="829">
                  <c:v>45111</c:v>
                </c:pt>
                <c:pt idx="830">
                  <c:v>45110</c:v>
                </c:pt>
                <c:pt idx="831">
                  <c:v>45109</c:v>
                </c:pt>
                <c:pt idx="832">
                  <c:v>45108</c:v>
                </c:pt>
                <c:pt idx="833">
                  <c:v>45107</c:v>
                </c:pt>
                <c:pt idx="834">
                  <c:v>45106</c:v>
                </c:pt>
                <c:pt idx="835">
                  <c:v>45105</c:v>
                </c:pt>
                <c:pt idx="836">
                  <c:v>45104</c:v>
                </c:pt>
                <c:pt idx="837">
                  <c:v>45103</c:v>
                </c:pt>
                <c:pt idx="838">
                  <c:v>45102</c:v>
                </c:pt>
                <c:pt idx="839">
                  <c:v>45101</c:v>
                </c:pt>
                <c:pt idx="840">
                  <c:v>45100</c:v>
                </c:pt>
                <c:pt idx="841">
                  <c:v>45099</c:v>
                </c:pt>
                <c:pt idx="842">
                  <c:v>45098</c:v>
                </c:pt>
                <c:pt idx="843">
                  <c:v>45097</c:v>
                </c:pt>
                <c:pt idx="844">
                  <c:v>45096</c:v>
                </c:pt>
                <c:pt idx="845">
                  <c:v>45095</c:v>
                </c:pt>
                <c:pt idx="846">
                  <c:v>45094</c:v>
                </c:pt>
                <c:pt idx="847">
                  <c:v>45093</c:v>
                </c:pt>
                <c:pt idx="848">
                  <c:v>45092</c:v>
                </c:pt>
                <c:pt idx="849">
                  <c:v>45091</c:v>
                </c:pt>
                <c:pt idx="850">
                  <c:v>45090</c:v>
                </c:pt>
                <c:pt idx="851">
                  <c:v>45089</c:v>
                </c:pt>
                <c:pt idx="852">
                  <c:v>45088</c:v>
                </c:pt>
                <c:pt idx="853">
                  <c:v>45087</c:v>
                </c:pt>
                <c:pt idx="854">
                  <c:v>45086</c:v>
                </c:pt>
                <c:pt idx="855">
                  <c:v>45085</c:v>
                </c:pt>
                <c:pt idx="856">
                  <c:v>45084</c:v>
                </c:pt>
                <c:pt idx="857">
                  <c:v>45083</c:v>
                </c:pt>
                <c:pt idx="858">
                  <c:v>45082</c:v>
                </c:pt>
                <c:pt idx="859">
                  <c:v>45081</c:v>
                </c:pt>
                <c:pt idx="860">
                  <c:v>45080</c:v>
                </c:pt>
                <c:pt idx="861">
                  <c:v>45079</c:v>
                </c:pt>
                <c:pt idx="862">
                  <c:v>45078</c:v>
                </c:pt>
                <c:pt idx="863">
                  <c:v>45077</c:v>
                </c:pt>
                <c:pt idx="864">
                  <c:v>45076</c:v>
                </c:pt>
                <c:pt idx="865">
                  <c:v>45075</c:v>
                </c:pt>
                <c:pt idx="866">
                  <c:v>45074</c:v>
                </c:pt>
                <c:pt idx="867">
                  <c:v>45073</c:v>
                </c:pt>
                <c:pt idx="868">
                  <c:v>45072</c:v>
                </c:pt>
                <c:pt idx="869">
                  <c:v>45071</c:v>
                </c:pt>
                <c:pt idx="870">
                  <c:v>45070</c:v>
                </c:pt>
                <c:pt idx="871">
                  <c:v>45069</c:v>
                </c:pt>
                <c:pt idx="872">
                  <c:v>45068</c:v>
                </c:pt>
                <c:pt idx="873">
                  <c:v>45067</c:v>
                </c:pt>
                <c:pt idx="874">
                  <c:v>45066</c:v>
                </c:pt>
                <c:pt idx="875">
                  <c:v>45065</c:v>
                </c:pt>
                <c:pt idx="876">
                  <c:v>45064</c:v>
                </c:pt>
                <c:pt idx="877">
                  <c:v>45063</c:v>
                </c:pt>
                <c:pt idx="878">
                  <c:v>45062</c:v>
                </c:pt>
                <c:pt idx="879">
                  <c:v>45061</c:v>
                </c:pt>
                <c:pt idx="880">
                  <c:v>45060</c:v>
                </c:pt>
                <c:pt idx="881">
                  <c:v>45059</c:v>
                </c:pt>
                <c:pt idx="882">
                  <c:v>45058</c:v>
                </c:pt>
                <c:pt idx="883">
                  <c:v>45057</c:v>
                </c:pt>
                <c:pt idx="884">
                  <c:v>45056</c:v>
                </c:pt>
                <c:pt idx="885">
                  <c:v>45055</c:v>
                </c:pt>
                <c:pt idx="886">
                  <c:v>45054</c:v>
                </c:pt>
                <c:pt idx="887">
                  <c:v>45053</c:v>
                </c:pt>
                <c:pt idx="888">
                  <c:v>45052</c:v>
                </c:pt>
                <c:pt idx="889">
                  <c:v>45051</c:v>
                </c:pt>
                <c:pt idx="890">
                  <c:v>45050</c:v>
                </c:pt>
                <c:pt idx="891">
                  <c:v>45049</c:v>
                </c:pt>
                <c:pt idx="892">
                  <c:v>45048</c:v>
                </c:pt>
                <c:pt idx="893">
                  <c:v>45047</c:v>
                </c:pt>
                <c:pt idx="894">
                  <c:v>45046</c:v>
                </c:pt>
                <c:pt idx="895">
                  <c:v>45045</c:v>
                </c:pt>
                <c:pt idx="896">
                  <c:v>45044</c:v>
                </c:pt>
                <c:pt idx="897">
                  <c:v>45043</c:v>
                </c:pt>
                <c:pt idx="898">
                  <c:v>45042</c:v>
                </c:pt>
                <c:pt idx="899">
                  <c:v>45041</c:v>
                </c:pt>
                <c:pt idx="900">
                  <c:v>45040</c:v>
                </c:pt>
                <c:pt idx="901">
                  <c:v>45039</c:v>
                </c:pt>
                <c:pt idx="902">
                  <c:v>45038</c:v>
                </c:pt>
                <c:pt idx="903">
                  <c:v>45037</c:v>
                </c:pt>
                <c:pt idx="904">
                  <c:v>45036</c:v>
                </c:pt>
                <c:pt idx="905">
                  <c:v>45035</c:v>
                </c:pt>
                <c:pt idx="906">
                  <c:v>45034</c:v>
                </c:pt>
                <c:pt idx="907">
                  <c:v>45033</c:v>
                </c:pt>
                <c:pt idx="908">
                  <c:v>45032</c:v>
                </c:pt>
                <c:pt idx="909">
                  <c:v>45031</c:v>
                </c:pt>
                <c:pt idx="910">
                  <c:v>45030</c:v>
                </c:pt>
                <c:pt idx="911">
                  <c:v>45029</c:v>
                </c:pt>
                <c:pt idx="912">
                  <c:v>45028</c:v>
                </c:pt>
                <c:pt idx="913">
                  <c:v>45027</c:v>
                </c:pt>
                <c:pt idx="914">
                  <c:v>45026</c:v>
                </c:pt>
                <c:pt idx="915">
                  <c:v>45025</c:v>
                </c:pt>
                <c:pt idx="916">
                  <c:v>45024</c:v>
                </c:pt>
                <c:pt idx="917">
                  <c:v>45023</c:v>
                </c:pt>
                <c:pt idx="918">
                  <c:v>45022</c:v>
                </c:pt>
                <c:pt idx="919">
                  <c:v>45021</c:v>
                </c:pt>
                <c:pt idx="920">
                  <c:v>45020</c:v>
                </c:pt>
                <c:pt idx="921">
                  <c:v>45019</c:v>
                </c:pt>
                <c:pt idx="922">
                  <c:v>45018</c:v>
                </c:pt>
                <c:pt idx="923">
                  <c:v>45017</c:v>
                </c:pt>
                <c:pt idx="924">
                  <c:v>45016</c:v>
                </c:pt>
                <c:pt idx="925">
                  <c:v>45015</c:v>
                </c:pt>
                <c:pt idx="926">
                  <c:v>45014</c:v>
                </c:pt>
                <c:pt idx="927">
                  <c:v>45013</c:v>
                </c:pt>
                <c:pt idx="928">
                  <c:v>45012</c:v>
                </c:pt>
                <c:pt idx="929">
                  <c:v>45011</c:v>
                </c:pt>
                <c:pt idx="930">
                  <c:v>45010</c:v>
                </c:pt>
                <c:pt idx="931">
                  <c:v>45009</c:v>
                </c:pt>
                <c:pt idx="932">
                  <c:v>45008</c:v>
                </c:pt>
                <c:pt idx="933">
                  <c:v>45007</c:v>
                </c:pt>
                <c:pt idx="934">
                  <c:v>45006</c:v>
                </c:pt>
                <c:pt idx="935">
                  <c:v>45005</c:v>
                </c:pt>
                <c:pt idx="936">
                  <c:v>45004</c:v>
                </c:pt>
                <c:pt idx="937">
                  <c:v>45003</c:v>
                </c:pt>
                <c:pt idx="938">
                  <c:v>45002</c:v>
                </c:pt>
                <c:pt idx="939">
                  <c:v>45001</c:v>
                </c:pt>
                <c:pt idx="940">
                  <c:v>45000</c:v>
                </c:pt>
                <c:pt idx="941">
                  <c:v>44999</c:v>
                </c:pt>
                <c:pt idx="942">
                  <c:v>44998</c:v>
                </c:pt>
                <c:pt idx="943">
                  <c:v>44997</c:v>
                </c:pt>
                <c:pt idx="944">
                  <c:v>44996</c:v>
                </c:pt>
                <c:pt idx="945">
                  <c:v>44995</c:v>
                </c:pt>
                <c:pt idx="946">
                  <c:v>44994</c:v>
                </c:pt>
                <c:pt idx="947">
                  <c:v>44993</c:v>
                </c:pt>
                <c:pt idx="948">
                  <c:v>44992</c:v>
                </c:pt>
                <c:pt idx="949">
                  <c:v>44991</c:v>
                </c:pt>
                <c:pt idx="950">
                  <c:v>44990</c:v>
                </c:pt>
                <c:pt idx="951">
                  <c:v>44989</c:v>
                </c:pt>
                <c:pt idx="952">
                  <c:v>44988</c:v>
                </c:pt>
                <c:pt idx="953">
                  <c:v>44987</c:v>
                </c:pt>
                <c:pt idx="954">
                  <c:v>44986</c:v>
                </c:pt>
                <c:pt idx="955">
                  <c:v>44985</c:v>
                </c:pt>
                <c:pt idx="956">
                  <c:v>44984</c:v>
                </c:pt>
                <c:pt idx="957">
                  <c:v>44983</c:v>
                </c:pt>
                <c:pt idx="958">
                  <c:v>44982</c:v>
                </c:pt>
                <c:pt idx="959">
                  <c:v>44981</c:v>
                </c:pt>
                <c:pt idx="960">
                  <c:v>44980</c:v>
                </c:pt>
                <c:pt idx="961">
                  <c:v>44979</c:v>
                </c:pt>
                <c:pt idx="962">
                  <c:v>44978</c:v>
                </c:pt>
                <c:pt idx="963">
                  <c:v>44977</c:v>
                </c:pt>
                <c:pt idx="964">
                  <c:v>44976</c:v>
                </c:pt>
                <c:pt idx="965">
                  <c:v>44975</c:v>
                </c:pt>
                <c:pt idx="966">
                  <c:v>44974</c:v>
                </c:pt>
                <c:pt idx="967">
                  <c:v>44973</c:v>
                </c:pt>
                <c:pt idx="968">
                  <c:v>44972</c:v>
                </c:pt>
                <c:pt idx="969">
                  <c:v>44971</c:v>
                </c:pt>
                <c:pt idx="970">
                  <c:v>44970</c:v>
                </c:pt>
                <c:pt idx="971">
                  <c:v>44969</c:v>
                </c:pt>
                <c:pt idx="972">
                  <c:v>44968</c:v>
                </c:pt>
                <c:pt idx="973">
                  <c:v>44967</c:v>
                </c:pt>
                <c:pt idx="974">
                  <c:v>44966</c:v>
                </c:pt>
                <c:pt idx="975">
                  <c:v>44965</c:v>
                </c:pt>
                <c:pt idx="976">
                  <c:v>44964</c:v>
                </c:pt>
                <c:pt idx="977">
                  <c:v>44963</c:v>
                </c:pt>
                <c:pt idx="978">
                  <c:v>44962</c:v>
                </c:pt>
                <c:pt idx="979">
                  <c:v>44961</c:v>
                </c:pt>
                <c:pt idx="980">
                  <c:v>44960</c:v>
                </c:pt>
                <c:pt idx="981">
                  <c:v>44959</c:v>
                </c:pt>
                <c:pt idx="982">
                  <c:v>44958</c:v>
                </c:pt>
                <c:pt idx="983">
                  <c:v>44957</c:v>
                </c:pt>
                <c:pt idx="984">
                  <c:v>44956</c:v>
                </c:pt>
                <c:pt idx="985">
                  <c:v>44955</c:v>
                </c:pt>
                <c:pt idx="986">
                  <c:v>44954</c:v>
                </c:pt>
                <c:pt idx="987">
                  <c:v>44953</c:v>
                </c:pt>
                <c:pt idx="988">
                  <c:v>44952</c:v>
                </c:pt>
                <c:pt idx="989">
                  <c:v>44951</c:v>
                </c:pt>
                <c:pt idx="990">
                  <c:v>44950</c:v>
                </c:pt>
                <c:pt idx="991">
                  <c:v>44949</c:v>
                </c:pt>
                <c:pt idx="992">
                  <c:v>44948</c:v>
                </c:pt>
                <c:pt idx="993">
                  <c:v>44947</c:v>
                </c:pt>
                <c:pt idx="994">
                  <c:v>44946</c:v>
                </c:pt>
                <c:pt idx="995">
                  <c:v>44945</c:v>
                </c:pt>
                <c:pt idx="996">
                  <c:v>44944</c:v>
                </c:pt>
                <c:pt idx="997">
                  <c:v>44943</c:v>
                </c:pt>
                <c:pt idx="998">
                  <c:v>44942</c:v>
                </c:pt>
                <c:pt idx="999">
                  <c:v>44941</c:v>
                </c:pt>
                <c:pt idx="1000">
                  <c:v>44940</c:v>
                </c:pt>
                <c:pt idx="1001">
                  <c:v>44939</c:v>
                </c:pt>
                <c:pt idx="1002">
                  <c:v>44938</c:v>
                </c:pt>
                <c:pt idx="1003">
                  <c:v>44937</c:v>
                </c:pt>
                <c:pt idx="1004">
                  <c:v>44936</c:v>
                </c:pt>
                <c:pt idx="1005">
                  <c:v>44935</c:v>
                </c:pt>
                <c:pt idx="1006">
                  <c:v>44934</c:v>
                </c:pt>
                <c:pt idx="1007">
                  <c:v>44933</c:v>
                </c:pt>
                <c:pt idx="1008">
                  <c:v>44932</c:v>
                </c:pt>
                <c:pt idx="1009">
                  <c:v>44931</c:v>
                </c:pt>
                <c:pt idx="1010">
                  <c:v>44930</c:v>
                </c:pt>
                <c:pt idx="1011">
                  <c:v>44929</c:v>
                </c:pt>
                <c:pt idx="1012">
                  <c:v>44928</c:v>
                </c:pt>
                <c:pt idx="1013">
                  <c:v>44927</c:v>
                </c:pt>
                <c:pt idx="1014">
                  <c:v>44926</c:v>
                </c:pt>
                <c:pt idx="1015">
                  <c:v>44925</c:v>
                </c:pt>
                <c:pt idx="1016">
                  <c:v>44924</c:v>
                </c:pt>
                <c:pt idx="1017">
                  <c:v>44923</c:v>
                </c:pt>
                <c:pt idx="1018">
                  <c:v>44922</c:v>
                </c:pt>
                <c:pt idx="1019">
                  <c:v>44921</c:v>
                </c:pt>
                <c:pt idx="1020">
                  <c:v>44920</c:v>
                </c:pt>
                <c:pt idx="1021">
                  <c:v>44919</c:v>
                </c:pt>
                <c:pt idx="1022">
                  <c:v>44918</c:v>
                </c:pt>
                <c:pt idx="1023">
                  <c:v>44917</c:v>
                </c:pt>
                <c:pt idx="1024">
                  <c:v>44916</c:v>
                </c:pt>
                <c:pt idx="1025">
                  <c:v>44915</c:v>
                </c:pt>
                <c:pt idx="1026">
                  <c:v>44914</c:v>
                </c:pt>
                <c:pt idx="1027">
                  <c:v>44913</c:v>
                </c:pt>
                <c:pt idx="1028">
                  <c:v>44912</c:v>
                </c:pt>
                <c:pt idx="1029">
                  <c:v>44911</c:v>
                </c:pt>
                <c:pt idx="1030">
                  <c:v>44910</c:v>
                </c:pt>
                <c:pt idx="1031">
                  <c:v>44909</c:v>
                </c:pt>
                <c:pt idx="1032">
                  <c:v>44908</c:v>
                </c:pt>
                <c:pt idx="1033">
                  <c:v>44907</c:v>
                </c:pt>
                <c:pt idx="1034">
                  <c:v>44906</c:v>
                </c:pt>
                <c:pt idx="1035">
                  <c:v>44905</c:v>
                </c:pt>
                <c:pt idx="1036">
                  <c:v>44904</c:v>
                </c:pt>
                <c:pt idx="1037">
                  <c:v>44903</c:v>
                </c:pt>
                <c:pt idx="1038">
                  <c:v>44902</c:v>
                </c:pt>
                <c:pt idx="1039">
                  <c:v>44901</c:v>
                </c:pt>
                <c:pt idx="1040">
                  <c:v>44900</c:v>
                </c:pt>
                <c:pt idx="1041">
                  <c:v>44899</c:v>
                </c:pt>
                <c:pt idx="1042">
                  <c:v>44898</c:v>
                </c:pt>
                <c:pt idx="1043">
                  <c:v>44897</c:v>
                </c:pt>
                <c:pt idx="1044">
                  <c:v>44896</c:v>
                </c:pt>
              </c:numCache>
            </c:numRef>
          </c:cat>
          <c:val>
            <c:numRef>
              <c:f>'Stock Data'!$AN$4:$AN$1048</c:f>
              <c:numCache>
                <c:formatCode>#,##0.00_);\(#,##0.00\)</c:formatCode>
                <c:ptCount val="1045"/>
                <c:pt idx="0">
                  <c:v>111.54</c:v>
                </c:pt>
                <c:pt idx="1">
                  <c:v>111.54</c:v>
                </c:pt>
                <c:pt idx="2">
                  <c:v>113.83</c:v>
                </c:pt>
                <c:pt idx="3">
                  <c:v>113.83</c:v>
                </c:pt>
                <c:pt idx="4">
                  <c:v>113.83</c:v>
                </c:pt>
                <c:pt idx="5">
                  <c:v>113.07</c:v>
                </c:pt>
                <c:pt idx="6">
                  <c:v>110.6</c:v>
                </c:pt>
                <c:pt idx="7">
                  <c:v>116.01</c:v>
                </c:pt>
                <c:pt idx="8">
                  <c:v>115.64</c:v>
                </c:pt>
                <c:pt idx="9">
                  <c:v>115.64</c:v>
                </c:pt>
                <c:pt idx="10">
                  <c:v>115.64</c:v>
                </c:pt>
                <c:pt idx="11">
                  <c:v>115.64</c:v>
                </c:pt>
                <c:pt idx="12">
                  <c:v>115.4</c:v>
                </c:pt>
                <c:pt idx="13">
                  <c:v>116.8</c:v>
                </c:pt>
                <c:pt idx="14">
                  <c:v>114.99</c:v>
                </c:pt>
                <c:pt idx="15">
                  <c:v>115.425</c:v>
                </c:pt>
                <c:pt idx="16">
                  <c:v>116.04</c:v>
                </c:pt>
                <c:pt idx="17">
                  <c:v>116.04</c:v>
                </c:pt>
                <c:pt idx="18">
                  <c:v>116.04</c:v>
                </c:pt>
                <c:pt idx="19">
                  <c:v>113.25</c:v>
                </c:pt>
                <c:pt idx="20">
                  <c:v>114.2</c:v>
                </c:pt>
                <c:pt idx="21">
                  <c:v>110.06</c:v>
                </c:pt>
                <c:pt idx="22">
                  <c:v>108.9</c:v>
                </c:pt>
                <c:pt idx="23">
                  <c:v>110.65</c:v>
                </c:pt>
                <c:pt idx="24">
                  <c:v>110.65</c:v>
                </c:pt>
                <c:pt idx="25">
                  <c:v>110.65</c:v>
                </c:pt>
                <c:pt idx="26">
                  <c:v>107.99</c:v>
                </c:pt>
                <c:pt idx="27">
                  <c:v>109.65</c:v>
                </c:pt>
                <c:pt idx="28">
                  <c:v>107.83</c:v>
                </c:pt>
                <c:pt idx="29">
                  <c:v>107.53</c:v>
                </c:pt>
                <c:pt idx="30">
                  <c:v>107.74</c:v>
                </c:pt>
                <c:pt idx="31">
                  <c:v>107.74</c:v>
                </c:pt>
                <c:pt idx="32">
                  <c:v>107.74</c:v>
                </c:pt>
                <c:pt idx="33">
                  <c:v>105.76</c:v>
                </c:pt>
                <c:pt idx="34">
                  <c:v>104.45</c:v>
                </c:pt>
                <c:pt idx="35">
                  <c:v>105.03</c:v>
                </c:pt>
                <c:pt idx="36">
                  <c:v>103.61</c:v>
                </c:pt>
                <c:pt idx="37">
                  <c:v>107.88</c:v>
                </c:pt>
                <c:pt idx="38">
                  <c:v>107.88</c:v>
                </c:pt>
                <c:pt idx="39">
                  <c:v>107.88</c:v>
                </c:pt>
                <c:pt idx="40">
                  <c:v>111.14</c:v>
                </c:pt>
                <c:pt idx="41">
                  <c:v>111.16</c:v>
                </c:pt>
                <c:pt idx="42">
                  <c:v>108.15</c:v>
                </c:pt>
                <c:pt idx="43">
                  <c:v>104.36</c:v>
                </c:pt>
                <c:pt idx="44">
                  <c:v>104.92</c:v>
                </c:pt>
                <c:pt idx="45">
                  <c:v>104.92</c:v>
                </c:pt>
                <c:pt idx="46">
                  <c:v>104.92</c:v>
                </c:pt>
                <c:pt idx="47">
                  <c:v>105.88</c:v>
                </c:pt>
                <c:pt idx="48">
                  <c:v>119.16</c:v>
                </c:pt>
                <c:pt idx="49">
                  <c:v>104.71</c:v>
                </c:pt>
                <c:pt idx="50">
                  <c:v>106.17</c:v>
                </c:pt>
                <c:pt idx="51">
                  <c:v>105.94</c:v>
                </c:pt>
                <c:pt idx="52">
                  <c:v>105.94</c:v>
                </c:pt>
                <c:pt idx="53">
                  <c:v>105.94</c:v>
                </c:pt>
                <c:pt idx="54">
                  <c:v>106.81</c:v>
                </c:pt>
                <c:pt idx="55">
                  <c:v>104.49</c:v>
                </c:pt>
                <c:pt idx="56">
                  <c:v>102.78</c:v>
                </c:pt>
                <c:pt idx="57">
                  <c:v>101.98</c:v>
                </c:pt>
                <c:pt idx="58">
                  <c:v>100.52</c:v>
                </c:pt>
                <c:pt idx="59">
                  <c:v>100.52</c:v>
                </c:pt>
                <c:pt idx="60">
                  <c:v>100.52</c:v>
                </c:pt>
                <c:pt idx="61">
                  <c:v>100.74</c:v>
                </c:pt>
                <c:pt idx="62">
                  <c:v>101.61</c:v>
                </c:pt>
                <c:pt idx="63">
                  <c:v>102.37</c:v>
                </c:pt>
                <c:pt idx="64">
                  <c:v>101.16</c:v>
                </c:pt>
                <c:pt idx="65">
                  <c:v>102.9</c:v>
                </c:pt>
                <c:pt idx="66">
                  <c:v>102.9</c:v>
                </c:pt>
                <c:pt idx="67">
                  <c:v>102.9</c:v>
                </c:pt>
                <c:pt idx="68">
                  <c:v>102.9</c:v>
                </c:pt>
                <c:pt idx="69">
                  <c:v>103.17</c:v>
                </c:pt>
                <c:pt idx="70">
                  <c:v>101.88</c:v>
                </c:pt>
                <c:pt idx="71">
                  <c:v>99.63</c:v>
                </c:pt>
                <c:pt idx="72">
                  <c:v>99.16</c:v>
                </c:pt>
                <c:pt idx="73">
                  <c:v>99.16</c:v>
                </c:pt>
                <c:pt idx="74">
                  <c:v>99.16</c:v>
                </c:pt>
                <c:pt idx="75">
                  <c:v>98.58</c:v>
                </c:pt>
                <c:pt idx="76">
                  <c:v>99.34</c:v>
                </c:pt>
                <c:pt idx="77">
                  <c:v>101.86</c:v>
                </c:pt>
                <c:pt idx="78">
                  <c:v>101.55</c:v>
                </c:pt>
                <c:pt idx="79">
                  <c:v>102.1</c:v>
                </c:pt>
                <c:pt idx="80">
                  <c:v>102.1</c:v>
                </c:pt>
                <c:pt idx="81">
                  <c:v>102.1</c:v>
                </c:pt>
                <c:pt idx="82">
                  <c:v>103.07</c:v>
                </c:pt>
                <c:pt idx="83">
                  <c:v>103.07</c:v>
                </c:pt>
                <c:pt idx="84">
                  <c:v>100.61</c:v>
                </c:pt>
                <c:pt idx="85">
                  <c:v>100.21</c:v>
                </c:pt>
                <c:pt idx="86">
                  <c:v>96.38</c:v>
                </c:pt>
                <c:pt idx="87">
                  <c:v>96.38</c:v>
                </c:pt>
                <c:pt idx="88">
                  <c:v>96.38</c:v>
                </c:pt>
                <c:pt idx="89">
                  <c:v>94.83</c:v>
                </c:pt>
                <c:pt idx="90">
                  <c:v>92.66</c:v>
                </c:pt>
                <c:pt idx="91">
                  <c:v>96.1</c:v>
                </c:pt>
                <c:pt idx="92">
                  <c:v>97.55</c:v>
                </c:pt>
                <c:pt idx="93">
                  <c:v>98.13</c:v>
                </c:pt>
                <c:pt idx="94">
                  <c:v>98.13</c:v>
                </c:pt>
                <c:pt idx="95">
                  <c:v>98.13</c:v>
                </c:pt>
                <c:pt idx="96">
                  <c:v>95.67</c:v>
                </c:pt>
                <c:pt idx="97">
                  <c:v>95.4</c:v>
                </c:pt>
                <c:pt idx="98">
                  <c:v>97.19</c:v>
                </c:pt>
                <c:pt idx="99">
                  <c:v>96.91</c:v>
                </c:pt>
                <c:pt idx="100">
                  <c:v>95.93</c:v>
                </c:pt>
                <c:pt idx="101">
                  <c:v>95.93</c:v>
                </c:pt>
                <c:pt idx="102">
                  <c:v>95.93</c:v>
                </c:pt>
                <c:pt idx="103">
                  <c:v>94.07</c:v>
                </c:pt>
                <c:pt idx="104">
                  <c:v>93.45</c:v>
                </c:pt>
                <c:pt idx="105">
                  <c:v>95.52</c:v>
                </c:pt>
                <c:pt idx="106">
                  <c:v>95.1</c:v>
                </c:pt>
                <c:pt idx="107">
                  <c:v>95.1</c:v>
                </c:pt>
                <c:pt idx="108">
                  <c:v>95.1</c:v>
                </c:pt>
                <c:pt idx="109">
                  <c:v>95.1</c:v>
                </c:pt>
                <c:pt idx="110">
                  <c:v>95.01</c:v>
                </c:pt>
                <c:pt idx="111">
                  <c:v>96.77</c:v>
                </c:pt>
                <c:pt idx="112">
                  <c:v>96.36</c:v>
                </c:pt>
                <c:pt idx="113">
                  <c:v>97.17</c:v>
                </c:pt>
                <c:pt idx="114">
                  <c:v>99.64</c:v>
                </c:pt>
                <c:pt idx="115">
                  <c:v>99.64</c:v>
                </c:pt>
                <c:pt idx="116">
                  <c:v>99.64</c:v>
                </c:pt>
                <c:pt idx="117">
                  <c:v>97.01</c:v>
                </c:pt>
                <c:pt idx="118">
                  <c:v>94.3</c:v>
                </c:pt>
                <c:pt idx="119">
                  <c:v>93.95</c:v>
                </c:pt>
                <c:pt idx="120">
                  <c:v>92.67</c:v>
                </c:pt>
                <c:pt idx="121">
                  <c:v>91.23</c:v>
                </c:pt>
                <c:pt idx="122">
                  <c:v>91.23</c:v>
                </c:pt>
                <c:pt idx="123">
                  <c:v>91.23</c:v>
                </c:pt>
                <c:pt idx="124">
                  <c:v>90.73</c:v>
                </c:pt>
                <c:pt idx="125">
                  <c:v>95.55</c:v>
                </c:pt>
                <c:pt idx="126">
                  <c:v>96.87</c:v>
                </c:pt>
                <c:pt idx="127">
                  <c:v>92.8</c:v>
                </c:pt>
                <c:pt idx="128">
                  <c:v>92.91</c:v>
                </c:pt>
                <c:pt idx="129">
                  <c:v>92.91</c:v>
                </c:pt>
                <c:pt idx="130">
                  <c:v>92.91</c:v>
                </c:pt>
                <c:pt idx="131">
                  <c:v>92.48</c:v>
                </c:pt>
                <c:pt idx="132">
                  <c:v>93.37</c:v>
                </c:pt>
                <c:pt idx="133">
                  <c:v>96.84</c:v>
                </c:pt>
                <c:pt idx="134">
                  <c:v>95.5</c:v>
                </c:pt>
                <c:pt idx="135">
                  <c:v>94.81</c:v>
                </c:pt>
                <c:pt idx="136">
                  <c:v>94.81</c:v>
                </c:pt>
                <c:pt idx="137">
                  <c:v>94.81</c:v>
                </c:pt>
                <c:pt idx="138">
                  <c:v>92.68</c:v>
                </c:pt>
                <c:pt idx="139">
                  <c:v>93.3</c:v>
                </c:pt>
                <c:pt idx="140">
                  <c:v>93.1</c:v>
                </c:pt>
                <c:pt idx="141">
                  <c:v>90.17</c:v>
                </c:pt>
                <c:pt idx="142">
                  <c:v>91.49</c:v>
                </c:pt>
                <c:pt idx="143">
                  <c:v>91.49</c:v>
                </c:pt>
                <c:pt idx="144">
                  <c:v>91.49</c:v>
                </c:pt>
                <c:pt idx="145">
                  <c:v>91.49</c:v>
                </c:pt>
                <c:pt idx="146">
                  <c:v>92.5</c:v>
                </c:pt>
                <c:pt idx="147">
                  <c:v>96.55</c:v>
                </c:pt>
                <c:pt idx="148">
                  <c:v>98.75</c:v>
                </c:pt>
                <c:pt idx="149">
                  <c:v>98.99</c:v>
                </c:pt>
                <c:pt idx="150">
                  <c:v>98.99</c:v>
                </c:pt>
                <c:pt idx="151">
                  <c:v>98.99</c:v>
                </c:pt>
                <c:pt idx="152">
                  <c:v>94.68</c:v>
                </c:pt>
                <c:pt idx="153">
                  <c:v>92.58</c:v>
                </c:pt>
                <c:pt idx="154">
                  <c:v>90.33</c:v>
                </c:pt>
                <c:pt idx="155">
                  <c:v>93.45</c:v>
                </c:pt>
                <c:pt idx="156">
                  <c:v>92.29</c:v>
                </c:pt>
                <c:pt idx="157">
                  <c:v>92.29</c:v>
                </c:pt>
                <c:pt idx="158">
                  <c:v>92.29</c:v>
                </c:pt>
                <c:pt idx="159">
                  <c:v>92.97</c:v>
                </c:pt>
                <c:pt idx="160">
                  <c:v>93.08</c:v>
                </c:pt>
                <c:pt idx="161">
                  <c:v>91.4</c:v>
                </c:pt>
                <c:pt idx="162">
                  <c:v>90.9</c:v>
                </c:pt>
                <c:pt idx="163">
                  <c:v>91.01</c:v>
                </c:pt>
                <c:pt idx="164">
                  <c:v>91.01</c:v>
                </c:pt>
                <c:pt idx="165">
                  <c:v>91.01</c:v>
                </c:pt>
                <c:pt idx="166">
                  <c:v>92.21</c:v>
                </c:pt>
                <c:pt idx="167">
                  <c:v>92.8</c:v>
                </c:pt>
                <c:pt idx="168">
                  <c:v>94.03</c:v>
                </c:pt>
                <c:pt idx="169">
                  <c:v>93.2</c:v>
                </c:pt>
                <c:pt idx="170">
                  <c:v>89.2</c:v>
                </c:pt>
                <c:pt idx="171">
                  <c:v>89.2</c:v>
                </c:pt>
                <c:pt idx="172">
                  <c:v>89.2</c:v>
                </c:pt>
                <c:pt idx="173">
                  <c:v>88.72</c:v>
                </c:pt>
                <c:pt idx="174">
                  <c:v>89.39</c:v>
                </c:pt>
                <c:pt idx="175">
                  <c:v>87.97</c:v>
                </c:pt>
                <c:pt idx="176">
                  <c:v>91.7</c:v>
                </c:pt>
                <c:pt idx="177">
                  <c:v>83.03</c:v>
                </c:pt>
                <c:pt idx="178">
                  <c:v>83.03</c:v>
                </c:pt>
                <c:pt idx="179">
                  <c:v>83.03</c:v>
                </c:pt>
                <c:pt idx="180">
                  <c:v>80.87</c:v>
                </c:pt>
                <c:pt idx="181">
                  <c:v>86.46</c:v>
                </c:pt>
                <c:pt idx="182">
                  <c:v>87.63</c:v>
                </c:pt>
                <c:pt idx="183">
                  <c:v>87.37</c:v>
                </c:pt>
                <c:pt idx="184">
                  <c:v>87.18</c:v>
                </c:pt>
                <c:pt idx="185">
                  <c:v>87.18</c:v>
                </c:pt>
                <c:pt idx="186">
                  <c:v>87.18</c:v>
                </c:pt>
                <c:pt idx="187">
                  <c:v>82.65</c:v>
                </c:pt>
                <c:pt idx="188">
                  <c:v>84.19</c:v>
                </c:pt>
                <c:pt idx="189">
                  <c:v>88.54</c:v>
                </c:pt>
                <c:pt idx="190">
                  <c:v>90.46</c:v>
                </c:pt>
                <c:pt idx="191">
                  <c:v>90.39</c:v>
                </c:pt>
                <c:pt idx="192">
                  <c:v>90.39</c:v>
                </c:pt>
                <c:pt idx="193">
                  <c:v>90.39</c:v>
                </c:pt>
                <c:pt idx="194">
                  <c:v>88.78</c:v>
                </c:pt>
                <c:pt idx="195">
                  <c:v>87.89</c:v>
                </c:pt>
                <c:pt idx="196">
                  <c:v>88.07</c:v>
                </c:pt>
                <c:pt idx="197">
                  <c:v>89.34</c:v>
                </c:pt>
                <c:pt idx="198">
                  <c:v>91.04</c:v>
                </c:pt>
                <c:pt idx="199">
                  <c:v>91.04</c:v>
                </c:pt>
                <c:pt idx="200">
                  <c:v>91.04</c:v>
                </c:pt>
                <c:pt idx="201">
                  <c:v>90.11</c:v>
                </c:pt>
                <c:pt idx="202">
                  <c:v>92.04</c:v>
                </c:pt>
                <c:pt idx="203">
                  <c:v>90.96</c:v>
                </c:pt>
                <c:pt idx="204">
                  <c:v>95.1</c:v>
                </c:pt>
                <c:pt idx="205">
                  <c:v>95.1</c:v>
                </c:pt>
                <c:pt idx="206">
                  <c:v>95.1</c:v>
                </c:pt>
                <c:pt idx="207">
                  <c:v>95.1</c:v>
                </c:pt>
                <c:pt idx="208">
                  <c:v>108.6</c:v>
                </c:pt>
                <c:pt idx="209">
                  <c:v>106.15</c:v>
                </c:pt>
                <c:pt idx="210">
                  <c:v>113.98</c:v>
                </c:pt>
                <c:pt idx="211">
                  <c:v>109.41</c:v>
                </c:pt>
                <c:pt idx="212">
                  <c:v>108.3</c:v>
                </c:pt>
                <c:pt idx="213">
                  <c:v>108.3</c:v>
                </c:pt>
                <c:pt idx="214">
                  <c:v>108.3</c:v>
                </c:pt>
                <c:pt idx="215">
                  <c:v>108.77</c:v>
                </c:pt>
                <c:pt idx="216">
                  <c:v>106.78</c:v>
                </c:pt>
                <c:pt idx="217">
                  <c:v>107.64</c:v>
                </c:pt>
                <c:pt idx="218">
                  <c:v>106.7</c:v>
                </c:pt>
                <c:pt idx="219">
                  <c:v>107.9</c:v>
                </c:pt>
                <c:pt idx="220">
                  <c:v>107.9</c:v>
                </c:pt>
                <c:pt idx="221">
                  <c:v>107.9</c:v>
                </c:pt>
                <c:pt idx="222">
                  <c:v>115.8</c:v>
                </c:pt>
                <c:pt idx="223">
                  <c:v>112.38</c:v>
                </c:pt>
                <c:pt idx="224">
                  <c:v>111.21</c:v>
                </c:pt>
                <c:pt idx="225">
                  <c:v>109.38</c:v>
                </c:pt>
                <c:pt idx="226">
                  <c:v>106.7</c:v>
                </c:pt>
                <c:pt idx="227">
                  <c:v>106.7</c:v>
                </c:pt>
                <c:pt idx="228">
                  <c:v>106.7</c:v>
                </c:pt>
                <c:pt idx="229">
                  <c:v>110.48</c:v>
                </c:pt>
                <c:pt idx="230">
                  <c:v>112.03</c:v>
                </c:pt>
                <c:pt idx="231">
                  <c:v>114.23</c:v>
                </c:pt>
                <c:pt idx="232">
                  <c:v>113.63</c:v>
                </c:pt>
                <c:pt idx="233">
                  <c:v>113.63</c:v>
                </c:pt>
                <c:pt idx="234">
                  <c:v>113.63</c:v>
                </c:pt>
                <c:pt idx="235">
                  <c:v>113.63</c:v>
                </c:pt>
                <c:pt idx="236">
                  <c:v>111.91</c:v>
                </c:pt>
                <c:pt idx="237">
                  <c:v>112.51</c:v>
                </c:pt>
                <c:pt idx="238">
                  <c:v>109.97</c:v>
                </c:pt>
                <c:pt idx="239">
                  <c:v>107</c:v>
                </c:pt>
                <c:pt idx="240">
                  <c:v>101.93</c:v>
                </c:pt>
                <c:pt idx="241">
                  <c:v>101.93</c:v>
                </c:pt>
                <c:pt idx="242">
                  <c:v>101.93</c:v>
                </c:pt>
                <c:pt idx="243">
                  <c:v>104.73</c:v>
                </c:pt>
                <c:pt idx="244">
                  <c:v>104.73</c:v>
                </c:pt>
                <c:pt idx="245">
                  <c:v>103.68</c:v>
                </c:pt>
                <c:pt idx="246">
                  <c:v>104.75</c:v>
                </c:pt>
                <c:pt idx="247">
                  <c:v>107.54</c:v>
                </c:pt>
                <c:pt idx="248">
                  <c:v>107.54</c:v>
                </c:pt>
                <c:pt idx="249">
                  <c:v>107.54</c:v>
                </c:pt>
                <c:pt idx="250">
                  <c:v>105.63</c:v>
                </c:pt>
                <c:pt idx="251">
                  <c:v>102.92</c:v>
                </c:pt>
                <c:pt idx="252">
                  <c:v>102.92</c:v>
                </c:pt>
                <c:pt idx="253">
                  <c:v>102.03</c:v>
                </c:pt>
                <c:pt idx="254">
                  <c:v>101.14</c:v>
                </c:pt>
                <c:pt idx="255">
                  <c:v>101.14</c:v>
                </c:pt>
                <c:pt idx="256">
                  <c:v>101.14</c:v>
                </c:pt>
                <c:pt idx="257">
                  <c:v>102.07</c:v>
                </c:pt>
                <c:pt idx="258">
                  <c:v>102.75</c:v>
                </c:pt>
                <c:pt idx="259">
                  <c:v>102.75</c:v>
                </c:pt>
                <c:pt idx="260">
                  <c:v>100.59</c:v>
                </c:pt>
                <c:pt idx="261">
                  <c:v>102.89</c:v>
                </c:pt>
                <c:pt idx="262">
                  <c:v>102.89</c:v>
                </c:pt>
                <c:pt idx="263">
                  <c:v>102.89</c:v>
                </c:pt>
                <c:pt idx="264">
                  <c:v>104.37</c:v>
                </c:pt>
                <c:pt idx="265">
                  <c:v>103.53</c:v>
                </c:pt>
                <c:pt idx="266">
                  <c:v>106.66</c:v>
                </c:pt>
                <c:pt idx="267">
                  <c:v>112.24</c:v>
                </c:pt>
                <c:pt idx="268">
                  <c:v>108.12</c:v>
                </c:pt>
                <c:pt idx="269">
                  <c:v>108.12</c:v>
                </c:pt>
                <c:pt idx="270">
                  <c:v>108.12</c:v>
                </c:pt>
                <c:pt idx="271">
                  <c:v>105.89</c:v>
                </c:pt>
                <c:pt idx="272">
                  <c:v>105.76</c:v>
                </c:pt>
                <c:pt idx="273">
                  <c:v>104.2</c:v>
                </c:pt>
                <c:pt idx="274">
                  <c:v>101.79</c:v>
                </c:pt>
                <c:pt idx="275">
                  <c:v>99.22</c:v>
                </c:pt>
                <c:pt idx="276">
                  <c:v>99.22</c:v>
                </c:pt>
                <c:pt idx="277">
                  <c:v>99.22</c:v>
                </c:pt>
                <c:pt idx="278">
                  <c:v>97.3</c:v>
                </c:pt>
                <c:pt idx="279">
                  <c:v>97.25</c:v>
                </c:pt>
                <c:pt idx="280">
                  <c:v>98.64</c:v>
                </c:pt>
                <c:pt idx="281">
                  <c:v>98.14</c:v>
                </c:pt>
                <c:pt idx="282">
                  <c:v>97.61</c:v>
                </c:pt>
                <c:pt idx="283">
                  <c:v>97.61</c:v>
                </c:pt>
                <c:pt idx="284">
                  <c:v>97.61</c:v>
                </c:pt>
                <c:pt idx="285">
                  <c:v>97.15</c:v>
                </c:pt>
                <c:pt idx="286">
                  <c:v>97.15</c:v>
                </c:pt>
                <c:pt idx="287">
                  <c:v>96.62</c:v>
                </c:pt>
                <c:pt idx="288">
                  <c:v>96.49</c:v>
                </c:pt>
                <c:pt idx="289">
                  <c:v>95.96</c:v>
                </c:pt>
                <c:pt idx="290">
                  <c:v>95.96</c:v>
                </c:pt>
                <c:pt idx="291">
                  <c:v>95.96</c:v>
                </c:pt>
                <c:pt idx="292">
                  <c:v>95.78</c:v>
                </c:pt>
                <c:pt idx="293">
                  <c:v>94.78</c:v>
                </c:pt>
                <c:pt idx="294">
                  <c:v>95.14</c:v>
                </c:pt>
                <c:pt idx="295">
                  <c:v>93.97</c:v>
                </c:pt>
                <c:pt idx="296">
                  <c:v>90.43</c:v>
                </c:pt>
                <c:pt idx="297">
                  <c:v>90.43</c:v>
                </c:pt>
                <c:pt idx="298">
                  <c:v>90.43</c:v>
                </c:pt>
                <c:pt idx="299">
                  <c:v>90.44</c:v>
                </c:pt>
                <c:pt idx="300">
                  <c:v>91.29</c:v>
                </c:pt>
                <c:pt idx="301">
                  <c:v>92.86</c:v>
                </c:pt>
                <c:pt idx="302">
                  <c:v>91.03</c:v>
                </c:pt>
                <c:pt idx="303">
                  <c:v>90.95</c:v>
                </c:pt>
                <c:pt idx="304">
                  <c:v>90.95</c:v>
                </c:pt>
                <c:pt idx="305">
                  <c:v>90.95</c:v>
                </c:pt>
                <c:pt idx="306">
                  <c:v>89.37</c:v>
                </c:pt>
                <c:pt idx="307">
                  <c:v>90.71</c:v>
                </c:pt>
                <c:pt idx="308">
                  <c:v>88.71</c:v>
                </c:pt>
                <c:pt idx="309">
                  <c:v>87.31</c:v>
                </c:pt>
                <c:pt idx="310">
                  <c:v>87.11</c:v>
                </c:pt>
                <c:pt idx="311">
                  <c:v>87.11</c:v>
                </c:pt>
                <c:pt idx="312">
                  <c:v>87.11</c:v>
                </c:pt>
                <c:pt idx="313">
                  <c:v>87.78</c:v>
                </c:pt>
                <c:pt idx="314">
                  <c:v>89</c:v>
                </c:pt>
                <c:pt idx="315">
                  <c:v>90.2</c:v>
                </c:pt>
                <c:pt idx="316">
                  <c:v>90.16</c:v>
                </c:pt>
                <c:pt idx="317">
                  <c:v>89.43</c:v>
                </c:pt>
                <c:pt idx="318">
                  <c:v>89.43</c:v>
                </c:pt>
                <c:pt idx="319">
                  <c:v>89.43</c:v>
                </c:pt>
                <c:pt idx="320">
                  <c:v>90.17</c:v>
                </c:pt>
                <c:pt idx="321">
                  <c:v>88.46</c:v>
                </c:pt>
                <c:pt idx="322">
                  <c:v>88.56</c:v>
                </c:pt>
                <c:pt idx="323">
                  <c:v>91.16</c:v>
                </c:pt>
                <c:pt idx="324">
                  <c:v>92.76</c:v>
                </c:pt>
                <c:pt idx="325">
                  <c:v>92.76</c:v>
                </c:pt>
                <c:pt idx="326">
                  <c:v>92.76</c:v>
                </c:pt>
                <c:pt idx="327">
                  <c:v>94.4</c:v>
                </c:pt>
                <c:pt idx="328">
                  <c:v>94.16</c:v>
                </c:pt>
                <c:pt idx="329">
                  <c:v>92.22</c:v>
                </c:pt>
                <c:pt idx="330">
                  <c:v>90.56</c:v>
                </c:pt>
                <c:pt idx="331">
                  <c:v>90.45</c:v>
                </c:pt>
                <c:pt idx="332">
                  <c:v>90.45</c:v>
                </c:pt>
                <c:pt idx="333">
                  <c:v>90.45</c:v>
                </c:pt>
                <c:pt idx="334">
                  <c:v>89.5</c:v>
                </c:pt>
                <c:pt idx="335">
                  <c:v>89.9</c:v>
                </c:pt>
                <c:pt idx="336">
                  <c:v>87.4</c:v>
                </c:pt>
                <c:pt idx="337">
                  <c:v>86.49</c:v>
                </c:pt>
                <c:pt idx="338">
                  <c:v>84.57</c:v>
                </c:pt>
                <c:pt idx="339">
                  <c:v>84.57</c:v>
                </c:pt>
                <c:pt idx="340">
                  <c:v>84.57</c:v>
                </c:pt>
                <c:pt idx="341">
                  <c:v>79.62</c:v>
                </c:pt>
                <c:pt idx="342">
                  <c:v>75.41</c:v>
                </c:pt>
                <c:pt idx="343">
                  <c:v>76.84</c:v>
                </c:pt>
                <c:pt idx="344">
                  <c:v>74.84</c:v>
                </c:pt>
                <c:pt idx="345">
                  <c:v>74.650000000000006</c:v>
                </c:pt>
                <c:pt idx="346">
                  <c:v>74.650000000000006</c:v>
                </c:pt>
                <c:pt idx="347">
                  <c:v>74.650000000000006</c:v>
                </c:pt>
                <c:pt idx="348">
                  <c:v>73.25</c:v>
                </c:pt>
                <c:pt idx="349">
                  <c:v>73.14</c:v>
                </c:pt>
                <c:pt idx="350">
                  <c:v>74.900000000000006</c:v>
                </c:pt>
                <c:pt idx="351">
                  <c:v>74.61</c:v>
                </c:pt>
                <c:pt idx="352">
                  <c:v>74.73</c:v>
                </c:pt>
                <c:pt idx="353">
                  <c:v>74.73</c:v>
                </c:pt>
                <c:pt idx="354">
                  <c:v>74.73</c:v>
                </c:pt>
                <c:pt idx="355">
                  <c:v>73.69</c:v>
                </c:pt>
                <c:pt idx="356">
                  <c:v>71.319999999999993</c:v>
                </c:pt>
                <c:pt idx="357">
                  <c:v>70.95</c:v>
                </c:pt>
                <c:pt idx="358">
                  <c:v>70.11</c:v>
                </c:pt>
                <c:pt idx="359">
                  <c:v>69.38</c:v>
                </c:pt>
                <c:pt idx="360">
                  <c:v>69.38</c:v>
                </c:pt>
                <c:pt idx="361">
                  <c:v>69.38</c:v>
                </c:pt>
                <c:pt idx="362">
                  <c:v>69.349999999999994</c:v>
                </c:pt>
                <c:pt idx="363">
                  <c:v>69.040000000000006</c:v>
                </c:pt>
                <c:pt idx="364">
                  <c:v>69.290000000000006</c:v>
                </c:pt>
                <c:pt idx="365">
                  <c:v>68.45</c:v>
                </c:pt>
                <c:pt idx="366">
                  <c:v>69.010000000000005</c:v>
                </c:pt>
                <c:pt idx="367">
                  <c:v>69.010000000000005</c:v>
                </c:pt>
                <c:pt idx="368">
                  <c:v>69.010000000000005</c:v>
                </c:pt>
                <c:pt idx="369">
                  <c:v>68.77</c:v>
                </c:pt>
                <c:pt idx="370">
                  <c:v>68.94</c:v>
                </c:pt>
                <c:pt idx="371">
                  <c:v>71.069999999999993</c:v>
                </c:pt>
                <c:pt idx="372">
                  <c:v>72.040000000000006</c:v>
                </c:pt>
                <c:pt idx="373">
                  <c:v>72.040000000000006</c:v>
                </c:pt>
                <c:pt idx="374">
                  <c:v>72.040000000000006</c:v>
                </c:pt>
                <c:pt idx="375">
                  <c:v>72.040000000000006</c:v>
                </c:pt>
                <c:pt idx="376">
                  <c:v>71.84</c:v>
                </c:pt>
                <c:pt idx="377">
                  <c:v>71.44</c:v>
                </c:pt>
                <c:pt idx="378">
                  <c:v>71.290000000000006</c:v>
                </c:pt>
                <c:pt idx="379">
                  <c:v>71.38</c:v>
                </c:pt>
                <c:pt idx="380">
                  <c:v>71.45</c:v>
                </c:pt>
                <c:pt idx="381">
                  <c:v>71.45</c:v>
                </c:pt>
                <c:pt idx="382">
                  <c:v>71.45</c:v>
                </c:pt>
                <c:pt idx="383">
                  <c:v>72.06</c:v>
                </c:pt>
                <c:pt idx="384">
                  <c:v>71.89</c:v>
                </c:pt>
                <c:pt idx="385">
                  <c:v>71.84</c:v>
                </c:pt>
                <c:pt idx="386">
                  <c:v>71.77</c:v>
                </c:pt>
                <c:pt idx="387">
                  <c:v>70.739999999999995</c:v>
                </c:pt>
                <c:pt idx="388">
                  <c:v>70.739999999999995</c:v>
                </c:pt>
                <c:pt idx="389">
                  <c:v>70.739999999999995</c:v>
                </c:pt>
                <c:pt idx="390">
                  <c:v>70.5</c:v>
                </c:pt>
                <c:pt idx="391">
                  <c:v>70.27</c:v>
                </c:pt>
                <c:pt idx="392">
                  <c:v>70.16</c:v>
                </c:pt>
                <c:pt idx="393">
                  <c:v>69.599999999999994</c:v>
                </c:pt>
                <c:pt idx="394">
                  <c:v>70.319999999999993</c:v>
                </c:pt>
                <c:pt idx="395">
                  <c:v>70.319999999999993</c:v>
                </c:pt>
                <c:pt idx="396">
                  <c:v>70.319999999999993</c:v>
                </c:pt>
                <c:pt idx="397">
                  <c:v>69.989999999999995</c:v>
                </c:pt>
                <c:pt idx="398">
                  <c:v>69.86</c:v>
                </c:pt>
                <c:pt idx="399">
                  <c:v>69.19</c:v>
                </c:pt>
                <c:pt idx="400">
                  <c:v>68.760000000000005</c:v>
                </c:pt>
                <c:pt idx="401">
                  <c:v>70.8</c:v>
                </c:pt>
                <c:pt idx="402">
                  <c:v>70.8</c:v>
                </c:pt>
                <c:pt idx="403">
                  <c:v>70.8</c:v>
                </c:pt>
                <c:pt idx="404">
                  <c:v>72.150000000000006</c:v>
                </c:pt>
                <c:pt idx="405">
                  <c:v>71.569999999999993</c:v>
                </c:pt>
                <c:pt idx="406">
                  <c:v>71.78</c:v>
                </c:pt>
                <c:pt idx="407">
                  <c:v>70.56</c:v>
                </c:pt>
                <c:pt idx="408">
                  <c:v>70.83</c:v>
                </c:pt>
                <c:pt idx="409">
                  <c:v>70.83</c:v>
                </c:pt>
                <c:pt idx="410">
                  <c:v>70.83</c:v>
                </c:pt>
                <c:pt idx="411">
                  <c:v>71.05</c:v>
                </c:pt>
                <c:pt idx="412">
                  <c:v>66.86</c:v>
                </c:pt>
                <c:pt idx="413">
                  <c:v>64.83</c:v>
                </c:pt>
                <c:pt idx="414">
                  <c:v>64.489999999999995</c:v>
                </c:pt>
                <c:pt idx="415">
                  <c:v>65.2</c:v>
                </c:pt>
                <c:pt idx="416">
                  <c:v>65.2</c:v>
                </c:pt>
                <c:pt idx="417">
                  <c:v>65.2</c:v>
                </c:pt>
                <c:pt idx="418">
                  <c:v>65.400000000000006</c:v>
                </c:pt>
                <c:pt idx="419">
                  <c:v>65.61</c:v>
                </c:pt>
                <c:pt idx="420">
                  <c:v>64.319999999999993</c:v>
                </c:pt>
                <c:pt idx="421">
                  <c:v>62.74</c:v>
                </c:pt>
                <c:pt idx="422">
                  <c:v>63.14</c:v>
                </c:pt>
                <c:pt idx="423">
                  <c:v>63.14</c:v>
                </c:pt>
                <c:pt idx="424">
                  <c:v>63.14</c:v>
                </c:pt>
                <c:pt idx="425">
                  <c:v>63.19</c:v>
                </c:pt>
                <c:pt idx="426">
                  <c:v>63.01</c:v>
                </c:pt>
                <c:pt idx="427">
                  <c:v>62.5</c:v>
                </c:pt>
                <c:pt idx="428">
                  <c:v>62.87</c:v>
                </c:pt>
                <c:pt idx="429">
                  <c:v>62.34</c:v>
                </c:pt>
                <c:pt idx="430">
                  <c:v>62.34</c:v>
                </c:pt>
                <c:pt idx="431">
                  <c:v>62.34</c:v>
                </c:pt>
                <c:pt idx="432">
                  <c:v>62.16</c:v>
                </c:pt>
                <c:pt idx="433">
                  <c:v>62.16</c:v>
                </c:pt>
                <c:pt idx="434">
                  <c:v>61.82</c:v>
                </c:pt>
                <c:pt idx="435">
                  <c:v>62.78</c:v>
                </c:pt>
                <c:pt idx="436">
                  <c:v>61.11</c:v>
                </c:pt>
                <c:pt idx="437">
                  <c:v>61.11</c:v>
                </c:pt>
                <c:pt idx="438">
                  <c:v>61.11</c:v>
                </c:pt>
                <c:pt idx="439">
                  <c:v>60.48</c:v>
                </c:pt>
                <c:pt idx="440">
                  <c:v>60.6</c:v>
                </c:pt>
                <c:pt idx="441">
                  <c:v>60.8</c:v>
                </c:pt>
                <c:pt idx="442">
                  <c:v>60.87</c:v>
                </c:pt>
                <c:pt idx="443">
                  <c:v>58.27</c:v>
                </c:pt>
                <c:pt idx="444">
                  <c:v>58.27</c:v>
                </c:pt>
                <c:pt idx="445">
                  <c:v>58.27</c:v>
                </c:pt>
                <c:pt idx="446">
                  <c:v>58.17</c:v>
                </c:pt>
                <c:pt idx="447">
                  <c:v>58.93</c:v>
                </c:pt>
                <c:pt idx="448">
                  <c:v>58.93</c:v>
                </c:pt>
                <c:pt idx="449">
                  <c:v>58.69</c:v>
                </c:pt>
                <c:pt idx="450">
                  <c:v>58.63</c:v>
                </c:pt>
                <c:pt idx="451">
                  <c:v>58.63</c:v>
                </c:pt>
                <c:pt idx="452">
                  <c:v>58.63</c:v>
                </c:pt>
                <c:pt idx="453">
                  <c:v>58.84</c:v>
                </c:pt>
                <c:pt idx="454">
                  <c:v>58.56</c:v>
                </c:pt>
                <c:pt idx="455">
                  <c:v>58.57</c:v>
                </c:pt>
                <c:pt idx="456">
                  <c:v>57.97</c:v>
                </c:pt>
                <c:pt idx="457">
                  <c:v>58.11</c:v>
                </c:pt>
                <c:pt idx="458">
                  <c:v>58.11</c:v>
                </c:pt>
                <c:pt idx="459">
                  <c:v>58.11</c:v>
                </c:pt>
                <c:pt idx="460">
                  <c:v>58.68</c:v>
                </c:pt>
                <c:pt idx="461">
                  <c:v>58.08</c:v>
                </c:pt>
                <c:pt idx="462">
                  <c:v>60.81</c:v>
                </c:pt>
                <c:pt idx="463">
                  <c:v>61.12</c:v>
                </c:pt>
                <c:pt idx="464">
                  <c:v>61.67</c:v>
                </c:pt>
                <c:pt idx="465">
                  <c:v>61.67</c:v>
                </c:pt>
                <c:pt idx="466">
                  <c:v>61.67</c:v>
                </c:pt>
                <c:pt idx="467">
                  <c:v>60.12</c:v>
                </c:pt>
                <c:pt idx="468">
                  <c:v>60.57</c:v>
                </c:pt>
                <c:pt idx="469">
                  <c:v>60.53</c:v>
                </c:pt>
                <c:pt idx="470">
                  <c:v>60.35</c:v>
                </c:pt>
                <c:pt idx="471">
                  <c:v>60.35</c:v>
                </c:pt>
                <c:pt idx="472">
                  <c:v>60.35</c:v>
                </c:pt>
                <c:pt idx="473">
                  <c:v>60.35</c:v>
                </c:pt>
                <c:pt idx="474">
                  <c:v>59.71</c:v>
                </c:pt>
                <c:pt idx="475">
                  <c:v>59.82</c:v>
                </c:pt>
                <c:pt idx="476">
                  <c:v>61.07</c:v>
                </c:pt>
                <c:pt idx="477">
                  <c:v>59.38</c:v>
                </c:pt>
                <c:pt idx="478">
                  <c:v>58.18</c:v>
                </c:pt>
                <c:pt idx="479">
                  <c:v>58.18</c:v>
                </c:pt>
                <c:pt idx="480">
                  <c:v>58.18</c:v>
                </c:pt>
                <c:pt idx="481">
                  <c:v>58.29</c:v>
                </c:pt>
                <c:pt idx="482">
                  <c:v>57.8</c:v>
                </c:pt>
                <c:pt idx="483">
                  <c:v>58.55</c:v>
                </c:pt>
                <c:pt idx="484">
                  <c:v>57.5</c:v>
                </c:pt>
                <c:pt idx="485">
                  <c:v>57.28</c:v>
                </c:pt>
                <c:pt idx="486">
                  <c:v>57.28</c:v>
                </c:pt>
                <c:pt idx="487">
                  <c:v>57.28</c:v>
                </c:pt>
                <c:pt idx="488">
                  <c:v>58.11</c:v>
                </c:pt>
                <c:pt idx="489">
                  <c:v>57.38</c:v>
                </c:pt>
                <c:pt idx="490">
                  <c:v>57.08</c:v>
                </c:pt>
                <c:pt idx="491">
                  <c:v>56.92</c:v>
                </c:pt>
                <c:pt idx="492">
                  <c:v>56.8</c:v>
                </c:pt>
                <c:pt idx="493">
                  <c:v>56.8</c:v>
                </c:pt>
                <c:pt idx="494">
                  <c:v>56.8</c:v>
                </c:pt>
                <c:pt idx="495">
                  <c:v>57.52</c:v>
                </c:pt>
                <c:pt idx="496">
                  <c:v>55.25</c:v>
                </c:pt>
                <c:pt idx="497">
                  <c:v>55.33</c:v>
                </c:pt>
                <c:pt idx="498">
                  <c:v>57.66</c:v>
                </c:pt>
                <c:pt idx="499">
                  <c:v>56.87</c:v>
                </c:pt>
                <c:pt idx="500">
                  <c:v>56.87</c:v>
                </c:pt>
                <c:pt idx="501">
                  <c:v>56.87</c:v>
                </c:pt>
                <c:pt idx="502">
                  <c:v>58.11</c:v>
                </c:pt>
                <c:pt idx="503">
                  <c:v>58.82</c:v>
                </c:pt>
                <c:pt idx="504">
                  <c:v>59.68</c:v>
                </c:pt>
                <c:pt idx="505">
                  <c:v>59.7</c:v>
                </c:pt>
                <c:pt idx="506">
                  <c:v>60.09</c:v>
                </c:pt>
                <c:pt idx="507">
                  <c:v>60.09</c:v>
                </c:pt>
                <c:pt idx="508">
                  <c:v>60.09</c:v>
                </c:pt>
                <c:pt idx="509">
                  <c:v>59.22</c:v>
                </c:pt>
                <c:pt idx="510">
                  <c:v>60.36</c:v>
                </c:pt>
                <c:pt idx="511">
                  <c:v>61.9</c:v>
                </c:pt>
                <c:pt idx="512">
                  <c:v>60.33</c:v>
                </c:pt>
                <c:pt idx="513">
                  <c:v>60.46</c:v>
                </c:pt>
                <c:pt idx="514">
                  <c:v>60.46</c:v>
                </c:pt>
                <c:pt idx="515">
                  <c:v>60.46</c:v>
                </c:pt>
                <c:pt idx="516">
                  <c:v>60.92</c:v>
                </c:pt>
                <c:pt idx="517">
                  <c:v>61.51</c:v>
                </c:pt>
                <c:pt idx="518">
                  <c:v>62.46</c:v>
                </c:pt>
                <c:pt idx="519">
                  <c:v>62.92</c:v>
                </c:pt>
                <c:pt idx="520">
                  <c:v>62.9</c:v>
                </c:pt>
                <c:pt idx="521">
                  <c:v>62.9</c:v>
                </c:pt>
                <c:pt idx="522">
                  <c:v>62.9</c:v>
                </c:pt>
                <c:pt idx="523">
                  <c:v>62.8</c:v>
                </c:pt>
                <c:pt idx="524">
                  <c:v>61.04</c:v>
                </c:pt>
                <c:pt idx="525">
                  <c:v>58.91</c:v>
                </c:pt>
                <c:pt idx="526">
                  <c:v>58.55</c:v>
                </c:pt>
                <c:pt idx="527">
                  <c:v>58.85</c:v>
                </c:pt>
                <c:pt idx="528">
                  <c:v>58.85</c:v>
                </c:pt>
                <c:pt idx="529">
                  <c:v>58.85</c:v>
                </c:pt>
                <c:pt idx="530">
                  <c:v>58.85</c:v>
                </c:pt>
                <c:pt idx="531">
                  <c:v>58.62</c:v>
                </c:pt>
                <c:pt idx="532">
                  <c:v>59.46</c:v>
                </c:pt>
                <c:pt idx="533">
                  <c:v>59.6</c:v>
                </c:pt>
                <c:pt idx="534">
                  <c:v>61.17</c:v>
                </c:pt>
                <c:pt idx="535">
                  <c:v>61.17</c:v>
                </c:pt>
                <c:pt idx="536">
                  <c:v>61.17</c:v>
                </c:pt>
                <c:pt idx="537">
                  <c:v>61.84</c:v>
                </c:pt>
                <c:pt idx="538">
                  <c:v>61.65</c:v>
                </c:pt>
                <c:pt idx="539">
                  <c:v>60.72</c:v>
                </c:pt>
                <c:pt idx="540">
                  <c:v>60.44</c:v>
                </c:pt>
                <c:pt idx="541">
                  <c:v>59.41</c:v>
                </c:pt>
                <c:pt idx="542">
                  <c:v>59.41</c:v>
                </c:pt>
                <c:pt idx="543">
                  <c:v>59.41</c:v>
                </c:pt>
                <c:pt idx="544">
                  <c:v>59.4</c:v>
                </c:pt>
                <c:pt idx="545">
                  <c:v>59.4</c:v>
                </c:pt>
                <c:pt idx="546">
                  <c:v>59.34</c:v>
                </c:pt>
                <c:pt idx="547">
                  <c:v>58.49</c:v>
                </c:pt>
                <c:pt idx="548">
                  <c:v>57.84</c:v>
                </c:pt>
                <c:pt idx="549">
                  <c:v>57.84</c:v>
                </c:pt>
                <c:pt idx="550">
                  <c:v>57.84</c:v>
                </c:pt>
                <c:pt idx="551">
                  <c:v>57.54</c:v>
                </c:pt>
                <c:pt idx="552">
                  <c:v>57.17</c:v>
                </c:pt>
                <c:pt idx="553">
                  <c:v>56.85</c:v>
                </c:pt>
                <c:pt idx="554">
                  <c:v>56.66</c:v>
                </c:pt>
                <c:pt idx="555">
                  <c:v>55.8</c:v>
                </c:pt>
                <c:pt idx="556">
                  <c:v>55.8</c:v>
                </c:pt>
                <c:pt idx="557">
                  <c:v>55.8</c:v>
                </c:pt>
                <c:pt idx="558">
                  <c:v>57.49</c:v>
                </c:pt>
                <c:pt idx="559">
                  <c:v>57.4</c:v>
                </c:pt>
                <c:pt idx="560">
                  <c:v>57.95</c:v>
                </c:pt>
                <c:pt idx="561">
                  <c:v>58.44</c:v>
                </c:pt>
                <c:pt idx="562">
                  <c:v>57.42</c:v>
                </c:pt>
                <c:pt idx="563">
                  <c:v>57.42</c:v>
                </c:pt>
                <c:pt idx="564">
                  <c:v>57.42</c:v>
                </c:pt>
                <c:pt idx="565">
                  <c:v>57.41</c:v>
                </c:pt>
                <c:pt idx="566">
                  <c:v>57.295000000000002</c:v>
                </c:pt>
                <c:pt idx="567">
                  <c:v>58.32</c:v>
                </c:pt>
                <c:pt idx="568">
                  <c:v>57.325000000000003</c:v>
                </c:pt>
                <c:pt idx="569">
                  <c:v>57.325000000000003</c:v>
                </c:pt>
                <c:pt idx="570">
                  <c:v>57.325000000000003</c:v>
                </c:pt>
                <c:pt idx="571">
                  <c:v>57.325000000000003</c:v>
                </c:pt>
                <c:pt idx="572">
                  <c:v>57.09</c:v>
                </c:pt>
                <c:pt idx="573">
                  <c:v>55.884999999999998</c:v>
                </c:pt>
                <c:pt idx="574">
                  <c:v>54.96</c:v>
                </c:pt>
                <c:pt idx="575">
                  <c:v>56.09</c:v>
                </c:pt>
                <c:pt idx="576">
                  <c:v>55.56</c:v>
                </c:pt>
                <c:pt idx="577">
                  <c:v>55.56</c:v>
                </c:pt>
                <c:pt idx="578">
                  <c:v>55.56</c:v>
                </c:pt>
                <c:pt idx="579">
                  <c:v>55.5</c:v>
                </c:pt>
                <c:pt idx="580">
                  <c:v>55.76</c:v>
                </c:pt>
                <c:pt idx="581">
                  <c:v>56.17</c:v>
                </c:pt>
                <c:pt idx="582">
                  <c:v>55.88</c:v>
                </c:pt>
                <c:pt idx="583">
                  <c:v>56.94</c:v>
                </c:pt>
                <c:pt idx="584">
                  <c:v>56.94</c:v>
                </c:pt>
                <c:pt idx="585">
                  <c:v>56.94</c:v>
                </c:pt>
                <c:pt idx="586">
                  <c:v>56.1</c:v>
                </c:pt>
                <c:pt idx="587">
                  <c:v>55.42</c:v>
                </c:pt>
                <c:pt idx="588">
                  <c:v>55.59</c:v>
                </c:pt>
                <c:pt idx="589">
                  <c:v>55.05</c:v>
                </c:pt>
                <c:pt idx="590">
                  <c:v>56.16</c:v>
                </c:pt>
                <c:pt idx="591">
                  <c:v>56.16</c:v>
                </c:pt>
                <c:pt idx="592">
                  <c:v>56.16</c:v>
                </c:pt>
                <c:pt idx="593">
                  <c:v>56.24</c:v>
                </c:pt>
                <c:pt idx="594">
                  <c:v>54.69</c:v>
                </c:pt>
                <c:pt idx="595">
                  <c:v>54.84</c:v>
                </c:pt>
                <c:pt idx="596">
                  <c:v>55.06</c:v>
                </c:pt>
                <c:pt idx="597">
                  <c:v>54.15</c:v>
                </c:pt>
                <c:pt idx="598">
                  <c:v>54.15</c:v>
                </c:pt>
                <c:pt idx="599">
                  <c:v>54.15</c:v>
                </c:pt>
                <c:pt idx="600">
                  <c:v>54.29</c:v>
                </c:pt>
                <c:pt idx="601">
                  <c:v>54.12</c:v>
                </c:pt>
                <c:pt idx="602">
                  <c:v>54.39</c:v>
                </c:pt>
                <c:pt idx="603">
                  <c:v>54.91</c:v>
                </c:pt>
                <c:pt idx="604">
                  <c:v>54.91</c:v>
                </c:pt>
                <c:pt idx="605">
                  <c:v>54.91</c:v>
                </c:pt>
                <c:pt idx="606">
                  <c:v>54.91</c:v>
                </c:pt>
                <c:pt idx="607">
                  <c:v>54.24</c:v>
                </c:pt>
                <c:pt idx="608">
                  <c:v>54.54</c:v>
                </c:pt>
                <c:pt idx="609">
                  <c:v>54.45</c:v>
                </c:pt>
                <c:pt idx="610">
                  <c:v>55.24</c:v>
                </c:pt>
                <c:pt idx="611">
                  <c:v>55.31</c:v>
                </c:pt>
                <c:pt idx="612">
                  <c:v>55.31</c:v>
                </c:pt>
                <c:pt idx="613">
                  <c:v>55.31</c:v>
                </c:pt>
                <c:pt idx="614">
                  <c:v>56.3</c:v>
                </c:pt>
                <c:pt idx="615">
                  <c:v>54.86</c:v>
                </c:pt>
                <c:pt idx="616">
                  <c:v>56.68</c:v>
                </c:pt>
                <c:pt idx="617">
                  <c:v>57.39</c:v>
                </c:pt>
                <c:pt idx="618">
                  <c:v>57.39</c:v>
                </c:pt>
                <c:pt idx="619">
                  <c:v>57.39</c:v>
                </c:pt>
                <c:pt idx="620">
                  <c:v>57.39</c:v>
                </c:pt>
                <c:pt idx="621">
                  <c:v>57.66</c:v>
                </c:pt>
                <c:pt idx="622">
                  <c:v>56.68</c:v>
                </c:pt>
                <c:pt idx="623">
                  <c:v>56.64</c:v>
                </c:pt>
                <c:pt idx="624">
                  <c:v>56.71</c:v>
                </c:pt>
                <c:pt idx="625">
                  <c:v>56.71</c:v>
                </c:pt>
                <c:pt idx="626">
                  <c:v>56.71</c:v>
                </c:pt>
                <c:pt idx="627">
                  <c:v>56.71</c:v>
                </c:pt>
                <c:pt idx="628">
                  <c:v>56.08</c:v>
                </c:pt>
                <c:pt idx="629">
                  <c:v>55.22</c:v>
                </c:pt>
                <c:pt idx="630">
                  <c:v>56.93</c:v>
                </c:pt>
                <c:pt idx="631">
                  <c:v>55.19</c:v>
                </c:pt>
                <c:pt idx="632">
                  <c:v>55.44</c:v>
                </c:pt>
                <c:pt idx="633">
                  <c:v>55.44</c:v>
                </c:pt>
                <c:pt idx="634">
                  <c:v>55.44</c:v>
                </c:pt>
                <c:pt idx="635">
                  <c:v>55.22</c:v>
                </c:pt>
                <c:pt idx="636">
                  <c:v>53.93</c:v>
                </c:pt>
                <c:pt idx="637">
                  <c:v>48.89</c:v>
                </c:pt>
                <c:pt idx="638">
                  <c:v>50.78</c:v>
                </c:pt>
                <c:pt idx="639">
                  <c:v>51.7</c:v>
                </c:pt>
                <c:pt idx="640">
                  <c:v>51.7</c:v>
                </c:pt>
                <c:pt idx="641">
                  <c:v>51.7</c:v>
                </c:pt>
                <c:pt idx="642">
                  <c:v>50.97</c:v>
                </c:pt>
                <c:pt idx="643">
                  <c:v>49.97</c:v>
                </c:pt>
                <c:pt idx="644">
                  <c:v>49.72</c:v>
                </c:pt>
                <c:pt idx="645">
                  <c:v>49.52</c:v>
                </c:pt>
                <c:pt idx="646">
                  <c:v>49.26</c:v>
                </c:pt>
                <c:pt idx="647">
                  <c:v>49.26</c:v>
                </c:pt>
                <c:pt idx="648">
                  <c:v>49.26</c:v>
                </c:pt>
                <c:pt idx="649">
                  <c:v>47.92</c:v>
                </c:pt>
                <c:pt idx="650">
                  <c:v>47.45</c:v>
                </c:pt>
                <c:pt idx="651">
                  <c:v>46.52</c:v>
                </c:pt>
                <c:pt idx="652">
                  <c:v>47.12</c:v>
                </c:pt>
                <c:pt idx="653">
                  <c:v>47.92</c:v>
                </c:pt>
                <c:pt idx="654">
                  <c:v>47.92</c:v>
                </c:pt>
                <c:pt idx="655">
                  <c:v>47.92</c:v>
                </c:pt>
                <c:pt idx="656">
                  <c:v>47.32</c:v>
                </c:pt>
                <c:pt idx="657">
                  <c:v>47.32</c:v>
                </c:pt>
                <c:pt idx="658">
                  <c:v>47.72</c:v>
                </c:pt>
                <c:pt idx="659">
                  <c:v>48.61</c:v>
                </c:pt>
                <c:pt idx="660">
                  <c:v>48.33</c:v>
                </c:pt>
                <c:pt idx="661">
                  <c:v>48.33</c:v>
                </c:pt>
                <c:pt idx="662">
                  <c:v>48.33</c:v>
                </c:pt>
                <c:pt idx="663">
                  <c:v>49.79</c:v>
                </c:pt>
                <c:pt idx="664">
                  <c:v>50.12</c:v>
                </c:pt>
                <c:pt idx="665">
                  <c:v>50.54</c:v>
                </c:pt>
                <c:pt idx="666">
                  <c:v>49.51</c:v>
                </c:pt>
                <c:pt idx="667">
                  <c:v>49.69</c:v>
                </c:pt>
                <c:pt idx="668">
                  <c:v>49.69</c:v>
                </c:pt>
                <c:pt idx="669">
                  <c:v>49.69</c:v>
                </c:pt>
                <c:pt idx="670">
                  <c:v>48.59</c:v>
                </c:pt>
                <c:pt idx="671">
                  <c:v>48.17</c:v>
                </c:pt>
                <c:pt idx="672">
                  <c:v>49.33</c:v>
                </c:pt>
                <c:pt idx="673">
                  <c:v>49.53</c:v>
                </c:pt>
                <c:pt idx="674">
                  <c:v>49.54</c:v>
                </c:pt>
                <c:pt idx="675">
                  <c:v>49.54</c:v>
                </c:pt>
                <c:pt idx="676">
                  <c:v>49.54</c:v>
                </c:pt>
                <c:pt idx="677">
                  <c:v>49.72</c:v>
                </c:pt>
                <c:pt idx="678">
                  <c:v>47.82</c:v>
                </c:pt>
                <c:pt idx="679">
                  <c:v>45.31</c:v>
                </c:pt>
                <c:pt idx="680">
                  <c:v>45.56</c:v>
                </c:pt>
                <c:pt idx="681">
                  <c:v>45.56</c:v>
                </c:pt>
                <c:pt idx="682">
                  <c:v>45.56</c:v>
                </c:pt>
                <c:pt idx="683">
                  <c:v>45.56</c:v>
                </c:pt>
                <c:pt idx="684">
                  <c:v>45.33</c:v>
                </c:pt>
                <c:pt idx="685">
                  <c:v>44.87</c:v>
                </c:pt>
                <c:pt idx="686">
                  <c:v>45.09</c:v>
                </c:pt>
                <c:pt idx="687">
                  <c:v>44.51</c:v>
                </c:pt>
                <c:pt idx="688">
                  <c:v>45.88</c:v>
                </c:pt>
                <c:pt idx="689">
                  <c:v>45.88</c:v>
                </c:pt>
                <c:pt idx="690">
                  <c:v>45.88</c:v>
                </c:pt>
                <c:pt idx="691">
                  <c:v>46.34</c:v>
                </c:pt>
                <c:pt idx="692">
                  <c:v>46.5</c:v>
                </c:pt>
                <c:pt idx="693">
                  <c:v>45.63</c:v>
                </c:pt>
                <c:pt idx="694">
                  <c:v>47.18</c:v>
                </c:pt>
                <c:pt idx="695">
                  <c:v>49.56</c:v>
                </c:pt>
                <c:pt idx="696">
                  <c:v>49.56</c:v>
                </c:pt>
                <c:pt idx="697">
                  <c:v>49.56</c:v>
                </c:pt>
                <c:pt idx="698">
                  <c:v>48.99</c:v>
                </c:pt>
                <c:pt idx="699">
                  <c:v>48.11</c:v>
                </c:pt>
                <c:pt idx="700">
                  <c:v>47.49</c:v>
                </c:pt>
                <c:pt idx="701">
                  <c:v>46.68</c:v>
                </c:pt>
                <c:pt idx="702">
                  <c:v>46</c:v>
                </c:pt>
                <c:pt idx="703">
                  <c:v>46</c:v>
                </c:pt>
                <c:pt idx="704">
                  <c:v>46</c:v>
                </c:pt>
                <c:pt idx="705">
                  <c:v>44.07</c:v>
                </c:pt>
                <c:pt idx="706">
                  <c:v>44.04</c:v>
                </c:pt>
                <c:pt idx="707">
                  <c:v>47.5</c:v>
                </c:pt>
                <c:pt idx="708">
                  <c:v>47.52</c:v>
                </c:pt>
                <c:pt idx="709">
                  <c:v>48.42</c:v>
                </c:pt>
                <c:pt idx="710">
                  <c:v>48.42</c:v>
                </c:pt>
                <c:pt idx="711">
                  <c:v>48.42</c:v>
                </c:pt>
                <c:pt idx="712">
                  <c:v>49.1</c:v>
                </c:pt>
                <c:pt idx="713">
                  <c:v>48.27</c:v>
                </c:pt>
                <c:pt idx="714">
                  <c:v>49.27</c:v>
                </c:pt>
                <c:pt idx="715">
                  <c:v>48.64</c:v>
                </c:pt>
                <c:pt idx="716">
                  <c:v>48.27</c:v>
                </c:pt>
                <c:pt idx="717">
                  <c:v>48.27</c:v>
                </c:pt>
                <c:pt idx="718">
                  <c:v>48.27</c:v>
                </c:pt>
                <c:pt idx="719">
                  <c:v>48.63</c:v>
                </c:pt>
                <c:pt idx="720">
                  <c:v>46.884999999999998</c:v>
                </c:pt>
                <c:pt idx="721">
                  <c:v>47.28</c:v>
                </c:pt>
                <c:pt idx="722">
                  <c:v>46.89</c:v>
                </c:pt>
                <c:pt idx="723">
                  <c:v>46.08</c:v>
                </c:pt>
                <c:pt idx="724">
                  <c:v>46.08</c:v>
                </c:pt>
                <c:pt idx="725">
                  <c:v>46.08</c:v>
                </c:pt>
                <c:pt idx="726">
                  <c:v>46.33</c:v>
                </c:pt>
                <c:pt idx="727">
                  <c:v>46.63</c:v>
                </c:pt>
                <c:pt idx="728">
                  <c:v>47.4</c:v>
                </c:pt>
                <c:pt idx="729">
                  <c:v>48.73</c:v>
                </c:pt>
                <c:pt idx="730">
                  <c:v>49.6</c:v>
                </c:pt>
                <c:pt idx="731">
                  <c:v>49.6</c:v>
                </c:pt>
                <c:pt idx="732">
                  <c:v>49.6</c:v>
                </c:pt>
                <c:pt idx="733">
                  <c:v>48.9</c:v>
                </c:pt>
                <c:pt idx="734">
                  <c:v>47.58</c:v>
                </c:pt>
                <c:pt idx="735">
                  <c:v>47.98</c:v>
                </c:pt>
                <c:pt idx="736">
                  <c:v>47.7</c:v>
                </c:pt>
                <c:pt idx="737">
                  <c:v>47.7</c:v>
                </c:pt>
                <c:pt idx="738">
                  <c:v>47.7</c:v>
                </c:pt>
                <c:pt idx="739">
                  <c:v>47.7</c:v>
                </c:pt>
                <c:pt idx="740">
                  <c:v>47.79</c:v>
                </c:pt>
                <c:pt idx="741">
                  <c:v>48.09</c:v>
                </c:pt>
                <c:pt idx="742">
                  <c:v>47.81</c:v>
                </c:pt>
                <c:pt idx="743">
                  <c:v>47.22</c:v>
                </c:pt>
                <c:pt idx="744">
                  <c:v>47.05</c:v>
                </c:pt>
                <c:pt idx="745">
                  <c:v>47.05</c:v>
                </c:pt>
                <c:pt idx="746">
                  <c:v>47.05</c:v>
                </c:pt>
                <c:pt idx="747">
                  <c:v>47</c:v>
                </c:pt>
                <c:pt idx="748">
                  <c:v>47.06</c:v>
                </c:pt>
                <c:pt idx="749">
                  <c:v>47.36</c:v>
                </c:pt>
                <c:pt idx="750">
                  <c:v>48.1</c:v>
                </c:pt>
                <c:pt idx="751">
                  <c:v>47.64</c:v>
                </c:pt>
                <c:pt idx="752">
                  <c:v>47.64</c:v>
                </c:pt>
                <c:pt idx="753">
                  <c:v>47.64</c:v>
                </c:pt>
                <c:pt idx="754">
                  <c:v>47.1</c:v>
                </c:pt>
                <c:pt idx="755">
                  <c:v>46.85</c:v>
                </c:pt>
                <c:pt idx="756">
                  <c:v>46.57</c:v>
                </c:pt>
                <c:pt idx="757">
                  <c:v>46.3</c:v>
                </c:pt>
                <c:pt idx="758">
                  <c:v>46.49</c:v>
                </c:pt>
                <c:pt idx="759">
                  <c:v>46.49</c:v>
                </c:pt>
                <c:pt idx="760">
                  <c:v>46.49</c:v>
                </c:pt>
                <c:pt idx="761">
                  <c:v>46.66</c:v>
                </c:pt>
                <c:pt idx="762">
                  <c:v>45.98</c:v>
                </c:pt>
                <c:pt idx="763">
                  <c:v>45.28</c:v>
                </c:pt>
                <c:pt idx="764">
                  <c:v>45.42</c:v>
                </c:pt>
                <c:pt idx="765">
                  <c:v>45.3</c:v>
                </c:pt>
                <c:pt idx="766">
                  <c:v>45.3</c:v>
                </c:pt>
                <c:pt idx="767">
                  <c:v>45.3</c:v>
                </c:pt>
                <c:pt idx="768">
                  <c:v>46.69</c:v>
                </c:pt>
                <c:pt idx="769">
                  <c:v>45.93</c:v>
                </c:pt>
                <c:pt idx="770">
                  <c:v>45.66</c:v>
                </c:pt>
                <c:pt idx="771">
                  <c:v>46.19</c:v>
                </c:pt>
                <c:pt idx="772">
                  <c:v>46.23</c:v>
                </c:pt>
                <c:pt idx="773">
                  <c:v>46.23</c:v>
                </c:pt>
                <c:pt idx="774">
                  <c:v>46.23</c:v>
                </c:pt>
                <c:pt idx="775">
                  <c:v>44.94</c:v>
                </c:pt>
                <c:pt idx="776">
                  <c:v>45.38</c:v>
                </c:pt>
                <c:pt idx="777">
                  <c:v>45.07</c:v>
                </c:pt>
                <c:pt idx="778">
                  <c:v>45.14</c:v>
                </c:pt>
                <c:pt idx="779">
                  <c:v>44.11</c:v>
                </c:pt>
                <c:pt idx="780">
                  <c:v>44.11</c:v>
                </c:pt>
                <c:pt idx="781">
                  <c:v>44.11</c:v>
                </c:pt>
                <c:pt idx="782">
                  <c:v>44.29</c:v>
                </c:pt>
                <c:pt idx="783">
                  <c:v>44.29</c:v>
                </c:pt>
                <c:pt idx="784">
                  <c:v>44.43</c:v>
                </c:pt>
                <c:pt idx="785">
                  <c:v>43.95</c:v>
                </c:pt>
                <c:pt idx="786">
                  <c:v>43.73</c:v>
                </c:pt>
                <c:pt idx="787">
                  <c:v>43.73</c:v>
                </c:pt>
                <c:pt idx="788">
                  <c:v>43.73</c:v>
                </c:pt>
                <c:pt idx="789">
                  <c:v>44.17</c:v>
                </c:pt>
                <c:pt idx="790">
                  <c:v>43.73</c:v>
                </c:pt>
                <c:pt idx="791">
                  <c:v>44</c:v>
                </c:pt>
                <c:pt idx="792">
                  <c:v>43.88</c:v>
                </c:pt>
                <c:pt idx="793">
                  <c:v>44.11</c:v>
                </c:pt>
                <c:pt idx="794">
                  <c:v>44.11</c:v>
                </c:pt>
                <c:pt idx="795">
                  <c:v>44.11</c:v>
                </c:pt>
                <c:pt idx="796">
                  <c:v>44.75</c:v>
                </c:pt>
                <c:pt idx="797">
                  <c:v>45.19</c:v>
                </c:pt>
                <c:pt idx="798">
                  <c:v>45.91</c:v>
                </c:pt>
                <c:pt idx="799">
                  <c:v>45.91</c:v>
                </c:pt>
                <c:pt idx="800">
                  <c:v>45</c:v>
                </c:pt>
                <c:pt idx="801">
                  <c:v>45</c:v>
                </c:pt>
                <c:pt idx="802">
                  <c:v>45</c:v>
                </c:pt>
                <c:pt idx="803">
                  <c:v>44.84</c:v>
                </c:pt>
                <c:pt idx="804">
                  <c:v>44.65</c:v>
                </c:pt>
                <c:pt idx="805">
                  <c:v>44.42</c:v>
                </c:pt>
                <c:pt idx="806">
                  <c:v>45.31</c:v>
                </c:pt>
                <c:pt idx="807">
                  <c:v>44.42</c:v>
                </c:pt>
                <c:pt idx="808">
                  <c:v>44.42</c:v>
                </c:pt>
                <c:pt idx="809">
                  <c:v>44.42</c:v>
                </c:pt>
                <c:pt idx="810">
                  <c:v>45.03</c:v>
                </c:pt>
                <c:pt idx="811">
                  <c:v>45.04</c:v>
                </c:pt>
                <c:pt idx="812">
                  <c:v>46.08</c:v>
                </c:pt>
                <c:pt idx="813">
                  <c:v>47.72</c:v>
                </c:pt>
                <c:pt idx="814">
                  <c:v>47.72</c:v>
                </c:pt>
                <c:pt idx="815">
                  <c:v>47.72</c:v>
                </c:pt>
                <c:pt idx="816">
                  <c:v>47.72</c:v>
                </c:pt>
                <c:pt idx="817">
                  <c:v>49.67</c:v>
                </c:pt>
                <c:pt idx="818">
                  <c:v>49.48</c:v>
                </c:pt>
                <c:pt idx="819">
                  <c:v>48.8</c:v>
                </c:pt>
                <c:pt idx="820">
                  <c:v>49.6</c:v>
                </c:pt>
                <c:pt idx="821">
                  <c:v>49.41</c:v>
                </c:pt>
                <c:pt idx="822">
                  <c:v>49.41</c:v>
                </c:pt>
                <c:pt idx="823">
                  <c:v>49.41</c:v>
                </c:pt>
                <c:pt idx="824">
                  <c:v>48.48</c:v>
                </c:pt>
                <c:pt idx="825">
                  <c:v>47.96</c:v>
                </c:pt>
                <c:pt idx="826">
                  <c:v>46.96</c:v>
                </c:pt>
                <c:pt idx="827">
                  <c:v>47.09</c:v>
                </c:pt>
                <c:pt idx="828">
                  <c:v>47.56</c:v>
                </c:pt>
                <c:pt idx="829">
                  <c:v>47.56</c:v>
                </c:pt>
                <c:pt idx="830">
                  <c:v>47.56</c:v>
                </c:pt>
                <c:pt idx="831">
                  <c:v>47.05</c:v>
                </c:pt>
                <c:pt idx="832">
                  <c:v>47.55</c:v>
                </c:pt>
                <c:pt idx="833">
                  <c:v>47.48</c:v>
                </c:pt>
                <c:pt idx="834">
                  <c:v>48.62</c:v>
                </c:pt>
                <c:pt idx="835">
                  <c:v>48.62</c:v>
                </c:pt>
                <c:pt idx="836">
                  <c:v>48.62</c:v>
                </c:pt>
                <c:pt idx="837">
                  <c:v>48.62</c:v>
                </c:pt>
                <c:pt idx="838">
                  <c:v>49.57</c:v>
                </c:pt>
                <c:pt idx="839">
                  <c:v>48.33</c:v>
                </c:pt>
                <c:pt idx="840">
                  <c:v>48.79</c:v>
                </c:pt>
                <c:pt idx="841">
                  <c:v>48.16</c:v>
                </c:pt>
                <c:pt idx="842">
                  <c:v>48.12</c:v>
                </c:pt>
                <c:pt idx="843">
                  <c:v>48.12</c:v>
                </c:pt>
                <c:pt idx="844">
                  <c:v>48.12</c:v>
                </c:pt>
                <c:pt idx="845">
                  <c:v>47.96</c:v>
                </c:pt>
                <c:pt idx="846">
                  <c:v>47.75</c:v>
                </c:pt>
                <c:pt idx="847">
                  <c:v>46.41</c:v>
                </c:pt>
                <c:pt idx="848">
                  <c:v>46.72</c:v>
                </c:pt>
                <c:pt idx="849">
                  <c:v>47.05</c:v>
                </c:pt>
                <c:pt idx="850">
                  <c:v>47.05</c:v>
                </c:pt>
                <c:pt idx="851">
                  <c:v>47.05</c:v>
                </c:pt>
                <c:pt idx="852">
                  <c:v>47.9</c:v>
                </c:pt>
                <c:pt idx="853">
                  <c:v>47.72</c:v>
                </c:pt>
                <c:pt idx="854">
                  <c:v>46.68</c:v>
                </c:pt>
                <c:pt idx="855">
                  <c:v>48.6</c:v>
                </c:pt>
                <c:pt idx="856">
                  <c:v>50.42</c:v>
                </c:pt>
                <c:pt idx="857">
                  <c:v>50.42</c:v>
                </c:pt>
                <c:pt idx="858">
                  <c:v>50.42</c:v>
                </c:pt>
                <c:pt idx="859">
                  <c:v>48.68</c:v>
                </c:pt>
                <c:pt idx="860">
                  <c:v>47.52</c:v>
                </c:pt>
                <c:pt idx="861">
                  <c:v>46.4</c:v>
                </c:pt>
                <c:pt idx="862">
                  <c:v>46.78</c:v>
                </c:pt>
                <c:pt idx="863">
                  <c:v>47.5</c:v>
                </c:pt>
                <c:pt idx="864">
                  <c:v>47.5</c:v>
                </c:pt>
                <c:pt idx="865">
                  <c:v>47.5</c:v>
                </c:pt>
                <c:pt idx="866">
                  <c:v>48.12</c:v>
                </c:pt>
                <c:pt idx="867">
                  <c:v>49.61</c:v>
                </c:pt>
                <c:pt idx="868">
                  <c:v>49.75</c:v>
                </c:pt>
                <c:pt idx="869">
                  <c:v>54.34</c:v>
                </c:pt>
                <c:pt idx="870">
                  <c:v>54.54</c:v>
                </c:pt>
                <c:pt idx="871">
                  <c:v>54.54</c:v>
                </c:pt>
                <c:pt idx="872">
                  <c:v>54.54</c:v>
                </c:pt>
                <c:pt idx="873">
                  <c:v>55.85</c:v>
                </c:pt>
                <c:pt idx="874">
                  <c:v>56.55</c:v>
                </c:pt>
                <c:pt idx="875">
                  <c:v>57.15</c:v>
                </c:pt>
                <c:pt idx="876">
                  <c:v>56.04</c:v>
                </c:pt>
                <c:pt idx="877">
                  <c:v>55.36</c:v>
                </c:pt>
                <c:pt idx="878">
                  <c:v>55.36</c:v>
                </c:pt>
                <c:pt idx="879">
                  <c:v>55.36</c:v>
                </c:pt>
                <c:pt idx="880">
                  <c:v>56.075000000000003</c:v>
                </c:pt>
                <c:pt idx="881">
                  <c:v>57.09</c:v>
                </c:pt>
                <c:pt idx="882">
                  <c:v>57.56</c:v>
                </c:pt>
                <c:pt idx="883">
                  <c:v>56.52</c:v>
                </c:pt>
                <c:pt idx="884">
                  <c:v>55.704999999999998</c:v>
                </c:pt>
                <c:pt idx="885">
                  <c:v>55.704999999999998</c:v>
                </c:pt>
                <c:pt idx="886">
                  <c:v>55.704999999999998</c:v>
                </c:pt>
                <c:pt idx="887">
                  <c:v>55.704999999999998</c:v>
                </c:pt>
                <c:pt idx="888">
                  <c:v>55.38</c:v>
                </c:pt>
                <c:pt idx="889">
                  <c:v>56.86</c:v>
                </c:pt>
                <c:pt idx="890">
                  <c:v>61.01</c:v>
                </c:pt>
                <c:pt idx="891">
                  <c:v>60.89</c:v>
                </c:pt>
                <c:pt idx="892">
                  <c:v>60.89</c:v>
                </c:pt>
                <c:pt idx="893">
                  <c:v>60.89</c:v>
                </c:pt>
                <c:pt idx="894">
                  <c:v>59.98</c:v>
                </c:pt>
                <c:pt idx="895">
                  <c:v>57.96</c:v>
                </c:pt>
                <c:pt idx="896">
                  <c:v>54.27</c:v>
                </c:pt>
                <c:pt idx="897">
                  <c:v>55.27</c:v>
                </c:pt>
                <c:pt idx="898">
                  <c:v>54.46</c:v>
                </c:pt>
                <c:pt idx="899">
                  <c:v>54.46</c:v>
                </c:pt>
                <c:pt idx="900">
                  <c:v>54.46</c:v>
                </c:pt>
                <c:pt idx="901">
                  <c:v>53.86</c:v>
                </c:pt>
                <c:pt idx="902">
                  <c:v>53.93</c:v>
                </c:pt>
                <c:pt idx="903">
                  <c:v>54.38</c:v>
                </c:pt>
                <c:pt idx="904">
                  <c:v>54.76</c:v>
                </c:pt>
                <c:pt idx="905">
                  <c:v>54.49</c:v>
                </c:pt>
                <c:pt idx="906">
                  <c:v>54.49</c:v>
                </c:pt>
                <c:pt idx="907">
                  <c:v>54.49</c:v>
                </c:pt>
                <c:pt idx="908">
                  <c:v>54.84</c:v>
                </c:pt>
                <c:pt idx="909">
                  <c:v>54.79</c:v>
                </c:pt>
                <c:pt idx="910">
                  <c:v>55.27</c:v>
                </c:pt>
                <c:pt idx="911">
                  <c:v>54.69</c:v>
                </c:pt>
                <c:pt idx="912">
                  <c:v>56.08</c:v>
                </c:pt>
                <c:pt idx="913">
                  <c:v>56.08</c:v>
                </c:pt>
                <c:pt idx="914">
                  <c:v>56.08</c:v>
                </c:pt>
                <c:pt idx="915">
                  <c:v>55.85</c:v>
                </c:pt>
                <c:pt idx="916">
                  <c:v>55.87</c:v>
                </c:pt>
                <c:pt idx="917">
                  <c:v>56.26</c:v>
                </c:pt>
                <c:pt idx="918">
                  <c:v>56.71</c:v>
                </c:pt>
                <c:pt idx="919">
                  <c:v>57.01</c:v>
                </c:pt>
                <c:pt idx="920">
                  <c:v>57.01</c:v>
                </c:pt>
                <c:pt idx="921">
                  <c:v>57.01</c:v>
                </c:pt>
                <c:pt idx="922">
                  <c:v>57.39</c:v>
                </c:pt>
                <c:pt idx="923">
                  <c:v>57.04</c:v>
                </c:pt>
                <c:pt idx="924">
                  <c:v>56.8</c:v>
                </c:pt>
                <c:pt idx="925">
                  <c:v>58.09</c:v>
                </c:pt>
                <c:pt idx="926">
                  <c:v>58.39</c:v>
                </c:pt>
                <c:pt idx="927">
                  <c:v>58.39</c:v>
                </c:pt>
                <c:pt idx="928">
                  <c:v>58.39</c:v>
                </c:pt>
                <c:pt idx="929">
                  <c:v>59.4</c:v>
                </c:pt>
                <c:pt idx="930">
                  <c:v>59.49</c:v>
                </c:pt>
                <c:pt idx="931">
                  <c:v>59.5</c:v>
                </c:pt>
                <c:pt idx="932">
                  <c:v>61.36</c:v>
                </c:pt>
                <c:pt idx="933">
                  <c:v>61.36</c:v>
                </c:pt>
                <c:pt idx="934">
                  <c:v>61.36</c:v>
                </c:pt>
                <c:pt idx="935">
                  <c:v>61.36</c:v>
                </c:pt>
                <c:pt idx="936">
                  <c:v>58.44</c:v>
                </c:pt>
                <c:pt idx="937">
                  <c:v>56.61</c:v>
                </c:pt>
                <c:pt idx="938">
                  <c:v>54.96</c:v>
                </c:pt>
                <c:pt idx="939">
                  <c:v>54.34</c:v>
                </c:pt>
                <c:pt idx="940">
                  <c:v>53.62</c:v>
                </c:pt>
                <c:pt idx="941">
                  <c:v>53.62</c:v>
                </c:pt>
                <c:pt idx="942">
                  <c:v>53.62</c:v>
                </c:pt>
                <c:pt idx="943">
                  <c:v>53.13</c:v>
                </c:pt>
                <c:pt idx="944">
                  <c:v>53.39</c:v>
                </c:pt>
                <c:pt idx="945">
                  <c:v>54.25</c:v>
                </c:pt>
                <c:pt idx="946">
                  <c:v>54.71</c:v>
                </c:pt>
                <c:pt idx="947">
                  <c:v>54.47</c:v>
                </c:pt>
                <c:pt idx="948">
                  <c:v>54.47</c:v>
                </c:pt>
                <c:pt idx="949">
                  <c:v>54.47</c:v>
                </c:pt>
                <c:pt idx="950">
                  <c:v>54.74</c:v>
                </c:pt>
                <c:pt idx="951">
                  <c:v>57.17</c:v>
                </c:pt>
                <c:pt idx="952">
                  <c:v>57.22</c:v>
                </c:pt>
                <c:pt idx="953">
                  <c:v>56.15</c:v>
                </c:pt>
                <c:pt idx="954">
                  <c:v>55.03</c:v>
                </c:pt>
                <c:pt idx="955">
                  <c:v>55.03</c:v>
                </c:pt>
                <c:pt idx="956">
                  <c:v>55.03</c:v>
                </c:pt>
                <c:pt idx="957">
                  <c:v>54.79</c:v>
                </c:pt>
                <c:pt idx="958">
                  <c:v>53.99</c:v>
                </c:pt>
                <c:pt idx="959">
                  <c:v>53.73</c:v>
                </c:pt>
                <c:pt idx="960">
                  <c:v>54.92</c:v>
                </c:pt>
                <c:pt idx="961">
                  <c:v>54.67</c:v>
                </c:pt>
                <c:pt idx="962">
                  <c:v>54.67</c:v>
                </c:pt>
                <c:pt idx="963">
                  <c:v>54.67</c:v>
                </c:pt>
                <c:pt idx="964">
                  <c:v>55.72</c:v>
                </c:pt>
                <c:pt idx="965">
                  <c:v>55.34</c:v>
                </c:pt>
                <c:pt idx="966">
                  <c:v>56.36</c:v>
                </c:pt>
                <c:pt idx="967">
                  <c:v>54.1</c:v>
                </c:pt>
                <c:pt idx="968">
                  <c:v>54.1</c:v>
                </c:pt>
                <c:pt idx="969">
                  <c:v>54.1</c:v>
                </c:pt>
                <c:pt idx="970">
                  <c:v>54.1</c:v>
                </c:pt>
                <c:pt idx="971">
                  <c:v>54.74</c:v>
                </c:pt>
                <c:pt idx="972">
                  <c:v>52.5</c:v>
                </c:pt>
                <c:pt idx="973">
                  <c:v>53.61</c:v>
                </c:pt>
                <c:pt idx="974">
                  <c:v>52.66</c:v>
                </c:pt>
                <c:pt idx="975">
                  <c:v>54.95</c:v>
                </c:pt>
                <c:pt idx="976">
                  <c:v>54.95</c:v>
                </c:pt>
                <c:pt idx="977">
                  <c:v>54.95</c:v>
                </c:pt>
                <c:pt idx="978">
                  <c:v>55.86</c:v>
                </c:pt>
                <c:pt idx="979">
                  <c:v>57.23</c:v>
                </c:pt>
                <c:pt idx="980">
                  <c:v>55.49</c:v>
                </c:pt>
                <c:pt idx="981">
                  <c:v>54.45</c:v>
                </c:pt>
                <c:pt idx="982">
                  <c:v>54.45</c:v>
                </c:pt>
                <c:pt idx="983">
                  <c:v>54.45</c:v>
                </c:pt>
                <c:pt idx="984">
                  <c:v>54.45</c:v>
                </c:pt>
                <c:pt idx="985">
                  <c:v>53.17</c:v>
                </c:pt>
                <c:pt idx="986">
                  <c:v>62.19</c:v>
                </c:pt>
                <c:pt idx="987">
                  <c:v>63.78</c:v>
                </c:pt>
                <c:pt idx="988">
                  <c:v>64.63</c:v>
                </c:pt>
                <c:pt idx="989">
                  <c:v>64.63</c:v>
                </c:pt>
                <c:pt idx="990">
                  <c:v>64.63</c:v>
                </c:pt>
                <c:pt idx="991">
                  <c:v>64.63</c:v>
                </c:pt>
                <c:pt idx="992">
                  <c:v>63.08</c:v>
                </c:pt>
                <c:pt idx="993">
                  <c:v>62.58</c:v>
                </c:pt>
                <c:pt idx="994">
                  <c:v>62.19</c:v>
                </c:pt>
                <c:pt idx="995">
                  <c:v>61.08</c:v>
                </c:pt>
                <c:pt idx="996">
                  <c:v>60.03</c:v>
                </c:pt>
                <c:pt idx="997">
                  <c:v>60.03</c:v>
                </c:pt>
                <c:pt idx="998">
                  <c:v>60.03</c:v>
                </c:pt>
                <c:pt idx="999">
                  <c:v>58.28</c:v>
                </c:pt>
                <c:pt idx="1000">
                  <c:v>56.93</c:v>
                </c:pt>
                <c:pt idx="1001">
                  <c:v>57.26</c:v>
                </c:pt>
                <c:pt idx="1002">
                  <c:v>58.44</c:v>
                </c:pt>
                <c:pt idx="1003">
                  <c:v>58.155000000000001</c:v>
                </c:pt>
                <c:pt idx="1004">
                  <c:v>58.155000000000001</c:v>
                </c:pt>
                <c:pt idx="1005">
                  <c:v>58.155000000000001</c:v>
                </c:pt>
                <c:pt idx="1006">
                  <c:v>59.08</c:v>
                </c:pt>
                <c:pt idx="1007">
                  <c:v>59.36</c:v>
                </c:pt>
                <c:pt idx="1008">
                  <c:v>59.07</c:v>
                </c:pt>
                <c:pt idx="1009">
                  <c:v>58.95</c:v>
                </c:pt>
                <c:pt idx="1010">
                  <c:v>59.29</c:v>
                </c:pt>
                <c:pt idx="1011">
                  <c:v>59.29</c:v>
                </c:pt>
                <c:pt idx="1012">
                  <c:v>59.29</c:v>
                </c:pt>
                <c:pt idx="1013">
                  <c:v>58.13</c:v>
                </c:pt>
                <c:pt idx="1014">
                  <c:v>58.28</c:v>
                </c:pt>
                <c:pt idx="1015">
                  <c:v>57.51</c:v>
                </c:pt>
                <c:pt idx="1016">
                  <c:v>56.94</c:v>
                </c:pt>
                <c:pt idx="1017">
                  <c:v>57.85</c:v>
                </c:pt>
                <c:pt idx="1018">
                  <c:v>57.85</c:v>
                </c:pt>
                <c:pt idx="1019">
                  <c:v>57.85</c:v>
                </c:pt>
                <c:pt idx="1020">
                  <c:v>56.88</c:v>
                </c:pt>
                <c:pt idx="1021">
                  <c:v>56.88</c:v>
                </c:pt>
                <c:pt idx="1022">
                  <c:v>56.98</c:v>
                </c:pt>
                <c:pt idx="1023">
                  <c:v>56.41</c:v>
                </c:pt>
                <c:pt idx="1024">
                  <c:v>53.45</c:v>
                </c:pt>
                <c:pt idx="1025">
                  <c:v>53.45</c:v>
                </c:pt>
                <c:pt idx="1026">
                  <c:v>53.45</c:v>
                </c:pt>
                <c:pt idx="1027">
                  <c:v>53.22</c:v>
                </c:pt>
                <c:pt idx="1028">
                  <c:v>53.8</c:v>
                </c:pt>
                <c:pt idx="1029">
                  <c:v>53.61</c:v>
                </c:pt>
                <c:pt idx="1030">
                  <c:v>52.97</c:v>
                </c:pt>
                <c:pt idx="1031">
                  <c:v>53.81</c:v>
                </c:pt>
                <c:pt idx="1032">
                  <c:v>53.81</c:v>
                </c:pt>
                <c:pt idx="1033">
                  <c:v>53.81</c:v>
                </c:pt>
                <c:pt idx="1034">
                  <c:v>57.38</c:v>
                </c:pt>
                <c:pt idx="1035">
                  <c:v>58</c:v>
                </c:pt>
                <c:pt idx="1036">
                  <c:v>59.66</c:v>
                </c:pt>
                <c:pt idx="1037">
                  <c:v>59.2</c:v>
                </c:pt>
                <c:pt idx="1038">
                  <c:v>57.48</c:v>
                </c:pt>
                <c:pt idx="1039">
                  <c:v>57.48</c:v>
                </c:pt>
                <c:pt idx="1040">
                  <c:v>57.48</c:v>
                </c:pt>
                <c:pt idx="1041">
                  <c:v>57.94</c:v>
                </c:pt>
                <c:pt idx="1042">
                  <c:v>57.26</c:v>
                </c:pt>
                <c:pt idx="1043">
                  <c:v>57.26</c:v>
                </c:pt>
                <c:pt idx="1044">
                  <c:v>56.51</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Industry!$O$32:$O$36</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Industry!$R$32:$R$36</c:f>
              <c:numCache>
                <c:formatCode>General</c:formatCode>
                <c:ptCount val="5"/>
                <c:pt idx="0">
                  <c:v>2</c:v>
                </c:pt>
                <c:pt idx="1">
                  <c:v>4</c:v>
                </c:pt>
                <c:pt idx="2">
                  <c:v>3</c:v>
                </c:pt>
                <c:pt idx="3">
                  <c:v>5</c:v>
                </c:pt>
                <c:pt idx="4">
                  <c:v>5</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CALM US Equity</c:v>
                </c:pt>
              </c:strCache>
            </c:strRef>
          </c:tx>
          <c:spPr>
            <a:ln w="28575" cap="rnd">
              <a:solidFill>
                <a:schemeClr val="accent1"/>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Data'!$U$5:$U$159</c:f>
              <c:numCache>
                <c:formatCode>General</c:formatCode>
                <c:ptCount val="155"/>
                <c:pt idx="0">
                  <c:v>1.9165702957211301</c:v>
                </c:pt>
                <c:pt idx="1">
                  <c:v>1.9165702957211301</c:v>
                </c:pt>
                <c:pt idx="2">
                  <c:v>1.8997191475301503</c:v>
                </c:pt>
                <c:pt idx="3">
                  <c:v>1.8182719312737485</c:v>
                </c:pt>
                <c:pt idx="4">
                  <c:v>1.7814306955228811</c:v>
                </c:pt>
                <c:pt idx="5">
                  <c:v>1.7351726416652899</c:v>
                </c:pt>
                <c:pt idx="6">
                  <c:v>1.7867173302494632</c:v>
                </c:pt>
                <c:pt idx="7">
                  <c:v>1.7298860069387079</c:v>
                </c:pt>
                <c:pt idx="8">
                  <c:v>1.6980009912440113</c:v>
                </c:pt>
                <c:pt idx="9">
                  <c:v>1.6912274905005782</c:v>
                </c:pt>
                <c:pt idx="10">
                  <c:v>1.6831323310754998</c:v>
                </c:pt>
                <c:pt idx="11">
                  <c:v>1.6828019164050882</c:v>
                </c:pt>
                <c:pt idx="12">
                  <c:v>1.6621509995043779</c:v>
                </c:pt>
                <c:pt idx="13">
                  <c:v>1.5876424913266147</c:v>
                </c:pt>
                <c:pt idx="14">
                  <c:v>1.6056500908640343</c:v>
                </c:pt>
                <c:pt idx="15">
                  <c:v>1.5780604658846853</c:v>
                </c:pt>
                <c:pt idx="16">
                  <c:v>1.5919378820419625</c:v>
                </c:pt>
                <c:pt idx="17">
                  <c:v>1.5521229142573931</c:v>
                </c:pt>
                <c:pt idx="18">
                  <c:v>1.6003634561374525</c:v>
                </c:pt>
                <c:pt idx="19">
                  <c:v>1.5998678341318355</c:v>
                </c:pt>
                <c:pt idx="20">
                  <c:v>1.5380802907649098</c:v>
                </c:pt>
                <c:pt idx="21">
                  <c:v>1.5950768214108706</c:v>
                </c:pt>
                <c:pt idx="22">
                  <c:v>1.4923178589129358</c:v>
                </c:pt>
                <c:pt idx="23">
                  <c:v>1.5099950437799439</c:v>
                </c:pt>
                <c:pt idx="24">
                  <c:v>1.5534445729390385</c:v>
                </c:pt>
                <c:pt idx="25">
                  <c:v>1.4533289278043944</c:v>
                </c:pt>
                <c:pt idx="26">
                  <c:v>1.4477118784074012</c:v>
                </c:pt>
                <c:pt idx="27">
                  <c:v>1.4627457459111186</c:v>
                </c:pt>
                <c:pt idx="28">
                  <c:v>1.4549810011564512</c:v>
                </c:pt>
                <c:pt idx="29">
                  <c:v>1.5027259210308936</c:v>
                </c:pt>
                <c:pt idx="30">
                  <c:v>1.8830332066743765</c:v>
                </c:pt>
                <c:pt idx="31">
                  <c:v>1.7782917561539733</c:v>
                </c:pt>
                <c:pt idx="32">
                  <c:v>1.837270774822402</c:v>
                </c:pt>
                <c:pt idx="33">
                  <c:v>1.8871633900545184</c:v>
                </c:pt>
                <c:pt idx="34">
                  <c:v>1.8167850652568973</c:v>
                </c:pt>
                <c:pt idx="35">
                  <c:v>1.7128696514125228</c:v>
                </c:pt>
                <c:pt idx="36">
                  <c:v>1.7003138939368907</c:v>
                </c:pt>
                <c:pt idx="37">
                  <c:v>1.6975053692383941</c:v>
                </c:pt>
                <c:pt idx="38">
                  <c:v>1.7621014373038162</c:v>
                </c:pt>
                <c:pt idx="39">
                  <c:v>1.7214604328432181</c:v>
                </c:pt>
                <c:pt idx="40">
                  <c:v>1.6296051544688583</c:v>
                </c:pt>
                <c:pt idx="41">
                  <c:v>1.5962332727573105</c:v>
                </c:pt>
                <c:pt idx="42">
                  <c:v>1.5717825871468694</c:v>
                </c:pt>
                <c:pt idx="43">
                  <c:v>1.5341153147199735</c:v>
                </c:pt>
                <c:pt idx="44">
                  <c:v>1.465554270609615</c:v>
                </c:pt>
                <c:pt idx="45">
                  <c:v>1.4901701635552618</c:v>
                </c:pt>
                <c:pt idx="46">
                  <c:v>1.4630761605815299</c:v>
                </c:pt>
                <c:pt idx="47">
                  <c:v>1.5235420452668098</c:v>
                </c:pt>
                <c:pt idx="48">
                  <c:v>1.4439121096976706</c:v>
                </c:pt>
                <c:pt idx="49">
                  <c:v>1.2694531637204691</c:v>
                </c:pt>
                <c:pt idx="50">
                  <c:v>1.2374029406905667</c:v>
                </c:pt>
                <c:pt idx="51">
                  <c:v>1.1721460432843218</c:v>
                </c:pt>
                <c:pt idx="52">
                  <c:v>1.1447216256401784</c:v>
                </c:pt>
                <c:pt idx="53">
                  <c:v>1.17412853130679</c:v>
                </c:pt>
                <c:pt idx="54">
                  <c:v>1.1777630926813152</c:v>
                </c:pt>
                <c:pt idx="55">
                  <c:v>1.1868494961176277</c:v>
                </c:pt>
                <c:pt idx="56">
                  <c:v>1.1590946638030728</c:v>
                </c:pt>
                <c:pt idx="57">
                  <c:v>1.1430695522881216</c:v>
                </c:pt>
                <c:pt idx="58">
                  <c:v>1.1858582521063936</c:v>
                </c:pt>
                <c:pt idx="59">
                  <c:v>1.0710391541384436</c:v>
                </c:pt>
                <c:pt idx="60">
                  <c:v>1.0626135800429537</c:v>
                </c:pt>
                <c:pt idx="61">
                  <c:v>1.0325458450355196</c:v>
                </c:pt>
                <c:pt idx="62">
                  <c:v>1.0213117462415331</c:v>
                </c:pt>
                <c:pt idx="63">
                  <c:v>1.0044605980505534</c:v>
                </c:pt>
                <c:pt idx="64">
                  <c:v>0.97356682636709069</c:v>
                </c:pt>
                <c:pt idx="65">
                  <c:v>0.96761936229968615</c:v>
                </c:pt>
                <c:pt idx="66">
                  <c:v>1.0046258053857591</c:v>
                </c:pt>
                <c:pt idx="67">
                  <c:v>1</c:v>
                </c:pt>
                <c:pt idx="68">
                  <c:v>1.0089211961011069</c:v>
                </c:pt>
                <c:pt idx="69">
                  <c:v>0.96728894762927464</c:v>
                </c:pt>
                <c:pt idx="70">
                  <c:v>0.94300346935403923</c:v>
                </c:pt>
                <c:pt idx="71">
                  <c:v>0.91409218569304473</c:v>
                </c:pt>
                <c:pt idx="72">
                  <c:v>0.98595737650751691</c:v>
                </c:pt>
                <c:pt idx="73">
                  <c:v>1.0226334049231784</c:v>
                </c:pt>
                <c:pt idx="74">
                  <c:v>1.0318850156946968</c:v>
                </c:pt>
                <c:pt idx="75">
                  <c:v>0.97323641169667929</c:v>
                </c:pt>
                <c:pt idx="76">
                  <c:v>0.98232281513299191</c:v>
                </c:pt>
                <c:pt idx="77">
                  <c:v>1.0031389393689079</c:v>
                </c:pt>
                <c:pt idx="78">
                  <c:v>0.98034032711052377</c:v>
                </c:pt>
                <c:pt idx="79">
                  <c:v>0.93920370064430858</c:v>
                </c:pt>
                <c:pt idx="80">
                  <c:v>0.95737650751693382</c:v>
                </c:pt>
                <c:pt idx="81">
                  <c:v>0.963489178919544</c:v>
                </c:pt>
                <c:pt idx="82">
                  <c:v>0.90797951429043444</c:v>
                </c:pt>
                <c:pt idx="83">
                  <c:v>0.92796960185032218</c:v>
                </c:pt>
                <c:pt idx="84">
                  <c:v>0.91838757640839253</c:v>
                </c:pt>
                <c:pt idx="85">
                  <c:v>0.9059970262679663</c:v>
                </c:pt>
                <c:pt idx="86">
                  <c:v>0.89856269618371054</c:v>
                </c:pt>
                <c:pt idx="87">
                  <c:v>0.89955394019494472</c:v>
                </c:pt>
                <c:pt idx="88">
                  <c:v>0.93639517594581201</c:v>
                </c:pt>
                <c:pt idx="89">
                  <c:v>0.93573434660498922</c:v>
                </c:pt>
                <c:pt idx="90">
                  <c:v>0.94052535932595405</c:v>
                </c:pt>
                <c:pt idx="91">
                  <c:v>0.80769866182058481</c:v>
                </c:pt>
                <c:pt idx="92">
                  <c:v>0.8214108706426565</c:v>
                </c:pt>
                <c:pt idx="93">
                  <c:v>0.76854452337683798</c:v>
                </c:pt>
                <c:pt idx="94">
                  <c:v>0.78836940360151986</c:v>
                </c:pt>
                <c:pt idx="95">
                  <c:v>0.83495787212952255</c:v>
                </c:pt>
                <c:pt idx="96">
                  <c:v>0.81496778456963481</c:v>
                </c:pt>
                <c:pt idx="97">
                  <c:v>0.74855443581695025</c:v>
                </c:pt>
                <c:pt idx="98">
                  <c:v>0.74491987444242524</c:v>
                </c:pt>
                <c:pt idx="99">
                  <c:v>0.75384107054353211</c:v>
                </c:pt>
                <c:pt idx="100">
                  <c:v>0.78456963489178921</c:v>
                </c:pt>
                <c:pt idx="101">
                  <c:v>0.78473484222699486</c:v>
                </c:pt>
                <c:pt idx="102">
                  <c:v>0.81397654055840085</c:v>
                </c:pt>
                <c:pt idx="103">
                  <c:v>0.78110028085246985</c:v>
                </c:pt>
                <c:pt idx="104">
                  <c:v>0.783082768874938</c:v>
                </c:pt>
                <c:pt idx="105">
                  <c:v>0.79266479431686765</c:v>
                </c:pt>
                <c:pt idx="106">
                  <c:v>0.78985626961837108</c:v>
                </c:pt>
                <c:pt idx="107">
                  <c:v>0.78242193953411532</c:v>
                </c:pt>
                <c:pt idx="108">
                  <c:v>0.7693705600528663</c:v>
                </c:pt>
                <c:pt idx="109">
                  <c:v>0.74805881381133321</c:v>
                </c:pt>
                <c:pt idx="110">
                  <c:v>0.75433669254914915</c:v>
                </c:pt>
                <c:pt idx="111">
                  <c:v>0.74458945977201385</c:v>
                </c:pt>
                <c:pt idx="112">
                  <c:v>0.73401619031885013</c:v>
                </c:pt>
                <c:pt idx="113">
                  <c:v>0.72691227490500576</c:v>
                </c:pt>
                <c:pt idx="114">
                  <c:v>0.73385098298364448</c:v>
                </c:pt>
                <c:pt idx="115">
                  <c:v>0.73385098298364448</c:v>
                </c:pt>
                <c:pt idx="116">
                  <c:v>0.76127540062778787</c:v>
                </c:pt>
                <c:pt idx="117">
                  <c:v>0.80621179580373359</c:v>
                </c:pt>
                <c:pt idx="118">
                  <c:v>0.77581364612588799</c:v>
                </c:pt>
                <c:pt idx="119">
                  <c:v>0.78440442755658346</c:v>
                </c:pt>
                <c:pt idx="120">
                  <c:v>0.80604658846852795</c:v>
                </c:pt>
                <c:pt idx="121">
                  <c:v>0.76672724268957537</c:v>
                </c:pt>
                <c:pt idx="122">
                  <c:v>0.7711878407401288</c:v>
                </c:pt>
                <c:pt idx="123">
                  <c:v>0.76656203535436973</c:v>
                </c:pt>
                <c:pt idx="124">
                  <c:v>0.82190649264827353</c:v>
                </c:pt>
                <c:pt idx="125">
                  <c:v>0.94415992070047905</c:v>
                </c:pt>
                <c:pt idx="126">
                  <c:v>0.95093342144391213</c:v>
                </c:pt>
                <c:pt idx="127">
                  <c:v>0.93936890797951422</c:v>
                </c:pt>
                <c:pt idx="128">
                  <c:v>0.8965802081612424</c:v>
                </c:pt>
                <c:pt idx="129">
                  <c:v>0.8983974888485049</c:v>
                </c:pt>
                <c:pt idx="130">
                  <c:v>0.91310094168181066</c:v>
                </c:pt>
                <c:pt idx="131">
                  <c:v>0.92945646786717329</c:v>
                </c:pt>
                <c:pt idx="132">
                  <c:v>0.93837766396828015</c:v>
                </c:pt>
                <c:pt idx="133">
                  <c:v>0.98298364447381459</c:v>
                </c:pt>
                <c:pt idx="134">
                  <c:v>0.90797951429043444</c:v>
                </c:pt>
                <c:pt idx="135">
                  <c:v>0.896249793490831</c:v>
                </c:pt>
                <c:pt idx="136">
                  <c:v>0.94531637204691887</c:v>
                </c:pt>
                <c:pt idx="137">
                  <c:v>0.88765901206013542</c:v>
                </c:pt>
                <c:pt idx="138">
                  <c:v>0.93110854121923015</c:v>
                </c:pt>
                <c:pt idx="139">
                  <c:v>0.88567652403766728</c:v>
                </c:pt>
                <c:pt idx="140">
                  <c:v>0.91673550305633567</c:v>
                </c:pt>
                <c:pt idx="141">
                  <c:v>1.0536923839418471</c:v>
                </c:pt>
                <c:pt idx="142">
                  <c:v>1.0274244176441434</c:v>
                </c:pt>
                <c:pt idx="143">
                  <c:v>0.94597720138774155</c:v>
                </c:pt>
                <c:pt idx="144">
                  <c:v>0.97587972905997022</c:v>
                </c:pt>
                <c:pt idx="145">
                  <c:v>0.95010738476788359</c:v>
                </c:pt>
                <c:pt idx="146">
                  <c:v>0.94135139600198237</c:v>
                </c:pt>
                <c:pt idx="147">
                  <c:v>0.88567652403766728</c:v>
                </c:pt>
                <c:pt idx="148">
                  <c:v>0.98562696183710552</c:v>
                </c:pt>
                <c:pt idx="149">
                  <c:v>0.94597720138774155</c:v>
                </c:pt>
                <c:pt idx="150">
                  <c:v>0.98000991244011237</c:v>
                </c:pt>
                <c:pt idx="151">
                  <c:v>0.98480092516107709</c:v>
                </c:pt>
                <c:pt idx="152">
                  <c:v>0.91293573434660491</c:v>
                </c:pt>
                <c:pt idx="153">
                  <c:v>0.91244011234098787</c:v>
                </c:pt>
                <c:pt idx="154">
                  <c:v>1</c:v>
                </c:pt>
              </c:numCache>
            </c:numRef>
          </c:val>
          <c:smooth val="0"/>
          <c:extLst>
            <c:ext xmlns:c16="http://schemas.microsoft.com/office/drawing/2014/chart" uri="{C3380CC4-5D6E-409C-BE32-E72D297353CC}">
              <c16:uniqueId val="{00000000-FDC8-481D-BAD7-1015841AA028}"/>
            </c:ext>
          </c:extLst>
        </c:ser>
        <c:ser>
          <c:idx val="1"/>
          <c:order val="1"/>
          <c:tx>
            <c:strRef>
              <c:f>'Stock Data'!$V$4</c:f>
              <c:strCache>
                <c:ptCount val="1"/>
                <c:pt idx="0">
                  <c:v>SPX Index</c:v>
                </c:pt>
              </c:strCache>
            </c:strRef>
          </c:tx>
          <c:spPr>
            <a:ln w="19050" cap="rnd">
              <a:solidFill>
                <a:schemeClr val="accent3"/>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Data'!$V$5:$V$159</c:f>
              <c:numCache>
                <c:formatCode>General</c:formatCode>
                <c:ptCount val="155"/>
                <c:pt idx="0">
                  <c:v>1.7589881802653478</c:v>
                </c:pt>
                <c:pt idx="1">
                  <c:v>1.7589881802653478</c:v>
                </c:pt>
                <c:pt idx="2">
                  <c:v>1.7728066591907963</c:v>
                </c:pt>
                <c:pt idx="3">
                  <c:v>1.7578448656399683</c:v>
                </c:pt>
                <c:pt idx="4">
                  <c:v>1.7672737840972339</c:v>
                </c:pt>
                <c:pt idx="5">
                  <c:v>1.7270877829840785</c:v>
                </c:pt>
                <c:pt idx="6">
                  <c:v>1.7467379890274697</c:v>
                </c:pt>
                <c:pt idx="7">
                  <c:v>1.7299474404283728</c:v>
                </c:pt>
                <c:pt idx="8">
                  <c:v>1.7118901979277765</c:v>
                </c:pt>
                <c:pt idx="9">
                  <c:v>1.7068892246023761</c:v>
                </c:pt>
                <c:pt idx="10">
                  <c:v>1.699346638188902</c:v>
                </c:pt>
                <c:pt idx="11">
                  <c:v>1.6703305742071513</c:v>
                </c:pt>
                <c:pt idx="12">
                  <c:v>1.6403192507313651</c:v>
                </c:pt>
                <c:pt idx="13">
                  <c:v>1.6556977920593099</c:v>
                </c:pt>
                <c:pt idx="14">
                  <c:v>1.6369331750422917</c:v>
                </c:pt>
                <c:pt idx="15">
                  <c:v>1.6235451527024174</c:v>
                </c:pt>
                <c:pt idx="16">
                  <c:v>1.6287325658228438</c:v>
                </c:pt>
                <c:pt idx="17">
                  <c:v>1.6139517285436584</c:v>
                </c:pt>
                <c:pt idx="18">
                  <c:v>1.5372811046009502</c:v>
                </c:pt>
                <c:pt idx="19">
                  <c:v>1.5246470667262544</c:v>
                </c:pt>
                <c:pt idx="20">
                  <c:v>1.4497777802148994</c:v>
                </c:pt>
                <c:pt idx="21">
                  <c:v>1.4796273397508837</c:v>
                </c:pt>
                <c:pt idx="22">
                  <c:v>1.3661567903840934</c:v>
                </c:pt>
                <c:pt idx="23">
                  <c:v>1.5444535531860641</c:v>
                </c:pt>
                <c:pt idx="24">
                  <c:v>1.5838197675534438</c:v>
                </c:pt>
                <c:pt idx="25">
                  <c:v>1.5394059699119071</c:v>
                </c:pt>
                <c:pt idx="26">
                  <c:v>1.5277288068675645</c:v>
                </c:pt>
                <c:pt idx="27">
                  <c:v>1.5842310318071773</c:v>
                </c:pt>
                <c:pt idx="28">
                  <c:v>1.632787631364657</c:v>
                </c:pt>
                <c:pt idx="29">
                  <c:v>1.6805847629335753</c:v>
                </c:pt>
                <c:pt idx="30">
                  <c:v>1.6638380825215433</c:v>
                </c:pt>
                <c:pt idx="31">
                  <c:v>1.655442808221995</c:v>
                </c:pt>
                <c:pt idx="32">
                  <c:v>1.6636187415862187</c:v>
                </c:pt>
                <c:pt idx="33">
                  <c:v>1.658557449503604</c:v>
                </c:pt>
                <c:pt idx="34">
                  <c:v>1.6019866805217025</c:v>
                </c:pt>
                <c:pt idx="35">
                  <c:v>1.6201152088262791</c:v>
                </c:pt>
                <c:pt idx="36">
                  <c:v>1.6126027817914124</c:v>
                </c:pt>
                <c:pt idx="37">
                  <c:v>1.6560350287473713</c:v>
                </c:pt>
                <c:pt idx="38">
                  <c:v>1.6589330708553474</c:v>
                </c:pt>
                <c:pt idx="39">
                  <c:v>1.6546285049996023</c:v>
                </c:pt>
                <c:pt idx="40">
                  <c:v>1.6587329222518639</c:v>
                </c:pt>
                <c:pt idx="41">
                  <c:v>1.6509874454732143</c:v>
                </c:pt>
                <c:pt idx="42">
                  <c:v>1.6222949093710672</c:v>
                </c:pt>
                <c:pt idx="43">
                  <c:v>1.6406674544661926</c:v>
                </c:pt>
                <c:pt idx="44">
                  <c:v>1.5854949839469854</c:v>
                </c:pt>
                <c:pt idx="45">
                  <c:v>1.5992476605918367</c:v>
                </c:pt>
                <c:pt idx="46">
                  <c:v>1.6042596009640033</c:v>
                </c:pt>
                <c:pt idx="47">
                  <c:v>1.5944057094445465</c:v>
                </c:pt>
                <c:pt idx="48">
                  <c:v>1.5768227917165896</c:v>
                </c:pt>
                <c:pt idx="49">
                  <c:v>1.5652032056677698</c:v>
                </c:pt>
                <c:pt idx="50">
                  <c:v>1.5718327854379555</c:v>
                </c:pt>
                <c:pt idx="51">
                  <c:v>1.5448675592014893</c:v>
                </c:pt>
                <c:pt idx="52">
                  <c:v>1.5067406211186938</c:v>
                </c:pt>
                <c:pt idx="53">
                  <c:v>1.5159008469301867</c:v>
                </c:pt>
                <c:pt idx="54">
                  <c:v>1.542460292436302</c:v>
                </c:pt>
                <c:pt idx="55">
                  <c:v>1.5345969199049156</c:v>
                </c:pt>
                <c:pt idx="56">
                  <c:v>1.4899911989449701</c:v>
                </c:pt>
                <c:pt idx="57">
                  <c:v>1.4366913516610962</c:v>
                </c:pt>
                <c:pt idx="58">
                  <c:v>1.490542293044973</c:v>
                </c:pt>
                <c:pt idx="59">
                  <c:v>1.5232515100252515</c:v>
                </c:pt>
                <c:pt idx="60">
                  <c:v>1.5538111858393491</c:v>
                </c:pt>
                <c:pt idx="61">
                  <c:v>1.5290750118581191</c:v>
                </c:pt>
                <c:pt idx="62">
                  <c:v>1.5104392576406045</c:v>
                </c:pt>
                <c:pt idx="63">
                  <c:v>1.4995517219634305</c:v>
                </c:pt>
                <c:pt idx="64">
                  <c:v>1.5044128654425615</c:v>
                </c:pt>
                <c:pt idx="65">
                  <c:v>1.4737846455861749</c:v>
                </c:pt>
                <c:pt idx="66">
                  <c:v>1.4507593309004769</c:v>
                </c:pt>
                <c:pt idx="67">
                  <c:v>1.4547897205870661</c:v>
                </c:pt>
                <c:pt idx="68">
                  <c:v>1.4590038083069896</c:v>
                </c:pt>
                <c:pt idx="69">
                  <c:v>1.438514623185982</c:v>
                </c:pt>
                <c:pt idx="70">
                  <c:v>1.4223437127291769</c:v>
                </c:pt>
                <c:pt idx="71">
                  <c:v>1.3806661932558144</c:v>
                </c:pt>
                <c:pt idx="72">
                  <c:v>1.3902239745125833</c:v>
                </c:pt>
                <c:pt idx="73">
                  <c:v>1.3849762426349426</c:v>
                </c:pt>
                <c:pt idx="74">
                  <c:v>1.4284331654461258</c:v>
                </c:pt>
                <c:pt idx="75">
                  <c:v>1.4273090431525874</c:v>
                </c:pt>
                <c:pt idx="76">
                  <c:v>1.42669763029537</c:v>
                </c:pt>
                <c:pt idx="77">
                  <c:v>1.4198240337346359</c:v>
                </c:pt>
                <c:pt idx="78">
                  <c:v>1.4189357029465715</c:v>
                </c:pt>
                <c:pt idx="79">
                  <c:v>1.3924448014827446</c:v>
                </c:pt>
                <c:pt idx="80">
                  <c:v>1.3923159386832415</c:v>
                </c:pt>
                <c:pt idx="81">
                  <c:v>1.364166271396023</c:v>
                </c:pt>
                <c:pt idx="82">
                  <c:v>1.3580411757770838</c:v>
                </c:pt>
                <c:pt idx="83">
                  <c:v>1.3583318025163889</c:v>
                </c:pt>
                <c:pt idx="84">
                  <c:v>1.3503094078068922</c:v>
                </c:pt>
                <c:pt idx="85">
                  <c:v>1.3337573924749611</c:v>
                </c:pt>
                <c:pt idx="86">
                  <c:v>1.3067181386728228</c:v>
                </c:pt>
                <c:pt idx="87">
                  <c:v>1.3041189485892266</c:v>
                </c:pt>
                <c:pt idx="88">
                  <c:v>1.3003709603568676</c:v>
                </c:pt>
                <c:pt idx="89">
                  <c:v>1.3091226636763187</c:v>
                </c:pt>
                <c:pt idx="90">
                  <c:v>1.307373419717105</c:v>
                </c:pt>
                <c:pt idx="91">
                  <c:v>1.2731918767084602</c:v>
                </c:pt>
                <c:pt idx="92">
                  <c:v>1.2522119162446639</c:v>
                </c:pt>
                <c:pt idx="93">
                  <c:v>1.24884229112574</c:v>
                </c:pt>
                <c:pt idx="94">
                  <c:v>1.2442635491008391</c:v>
                </c:pt>
                <c:pt idx="95">
                  <c:v>1.2326138036734122</c:v>
                </c:pt>
                <c:pt idx="96">
                  <c:v>1.2004474555080622</c:v>
                </c:pt>
                <c:pt idx="97">
                  <c:v>1.1498400182052977</c:v>
                </c:pt>
                <c:pt idx="98">
                  <c:v>1.1646126301994084</c:v>
                </c:pt>
                <c:pt idx="99">
                  <c:v>1.1990272229518355</c:v>
                </c:pt>
                <c:pt idx="100">
                  <c:v>1.1949255474612657</c:v>
                </c:pt>
                <c:pt idx="101">
                  <c:v>1.1596143986356993</c:v>
                </c:pt>
                <c:pt idx="102">
                  <c:v>1.1717000841720839</c:v>
                </c:pt>
                <c:pt idx="103">
                  <c:v>1.2184251869196032</c:v>
                </c:pt>
                <c:pt idx="104">
                  <c:v>1.2233466491559486</c:v>
                </c:pt>
                <c:pt idx="105">
                  <c:v>1.2329236227445584</c:v>
                </c:pt>
                <c:pt idx="106">
                  <c:v>1.233142963679883</c:v>
                </c:pt>
                <c:pt idx="107">
                  <c:v>1.2029616509792203</c:v>
                </c:pt>
                <c:pt idx="108">
                  <c:v>1.216755454049445</c:v>
                </c:pt>
                <c:pt idx="109">
                  <c:v>1.2336227719759054</c:v>
                </c:pt>
                <c:pt idx="110">
                  <c:v>1.254830298660101</c:v>
                </c:pt>
                <c:pt idx="111">
                  <c:v>1.2522886855720274</c:v>
                </c:pt>
                <c:pt idx="112">
                  <c:v>1.2488669669809638</c:v>
                </c:pt>
                <c:pt idx="113">
                  <c:v>1.217139300686263</c:v>
                </c:pt>
                <c:pt idx="114">
                  <c:v>1.2004556807931368</c:v>
                </c:pt>
                <c:pt idx="115">
                  <c:v>1.2004556807931368</c:v>
                </c:pt>
                <c:pt idx="116">
                  <c:v>1.2032796953354408</c:v>
                </c:pt>
                <c:pt idx="117">
                  <c:v>1.1978784248030729</c:v>
                </c:pt>
                <c:pt idx="118">
                  <c:v>1.1745295822377713</c:v>
                </c:pt>
                <c:pt idx="119">
                  <c:v>1.1530533629078028</c:v>
                </c:pt>
                <c:pt idx="120">
                  <c:v>1.1366192433286084</c:v>
                </c:pt>
                <c:pt idx="121">
                  <c:v>1.1268366376131318</c:v>
                </c:pt>
                <c:pt idx="122">
                  <c:v>1.1293782507012056</c:v>
                </c:pt>
                <c:pt idx="123">
                  <c:v>1.1294906629305594</c:v>
                </c:pt>
                <c:pt idx="124">
                  <c:v>1.1163439156195423</c:v>
                </c:pt>
                <c:pt idx="125">
                  <c:v>1.1391663399400651</c:v>
                </c:pt>
                <c:pt idx="126">
                  <c:v>1.1265734284907423</c:v>
                </c:pt>
                <c:pt idx="127">
                  <c:v>1.1242867992399839</c:v>
                </c:pt>
                <c:pt idx="128">
                  <c:v>1.0888275952830733</c:v>
                </c:pt>
                <c:pt idx="129">
                  <c:v>1.0974915622283943</c:v>
                </c:pt>
                <c:pt idx="130">
                  <c:v>1.0745759180103585</c:v>
                </c:pt>
                <c:pt idx="131">
                  <c:v>1.0929676554373247</c:v>
                </c:pt>
                <c:pt idx="132">
                  <c:v>1.0885205179736188</c:v>
                </c:pt>
                <c:pt idx="133">
                  <c:v>1.0959753680129631</c:v>
                </c:pt>
                <c:pt idx="134">
                  <c:v>1.1340282785300868</c:v>
                </c:pt>
                <c:pt idx="135">
                  <c:v>1.1416695683644569</c:v>
                </c:pt>
                <c:pt idx="136">
                  <c:v>1.1177065711802461</c:v>
                </c:pt>
                <c:pt idx="137">
                  <c:v>1.1013519626901069</c:v>
                </c:pt>
                <c:pt idx="138">
                  <c:v>1.0942288658154411</c:v>
                </c:pt>
                <c:pt idx="139">
                  <c:v>1.0745649509635922</c:v>
                </c:pt>
                <c:pt idx="140">
                  <c:v>1.0484880555151908</c:v>
                </c:pt>
                <c:pt idx="141">
                  <c:v>1.0498890957395766</c:v>
                </c:pt>
                <c:pt idx="142">
                  <c:v>1.0477971315689183</c:v>
                </c:pt>
                <c:pt idx="143">
                  <c:v>1.1020922383468275</c:v>
                </c:pt>
                <c:pt idx="144">
                  <c:v>1.0805995684467098</c:v>
                </c:pt>
                <c:pt idx="145">
                  <c:v>1.0850878323357891</c:v>
                </c:pt>
                <c:pt idx="146">
                  <c:v>1.0976862273084949</c:v>
                </c:pt>
                <c:pt idx="147">
                  <c:v>1.0944372397039994</c:v>
                </c:pt>
                <c:pt idx="148">
                  <c:v>1.049576534906739</c:v>
                </c:pt>
                <c:pt idx="149">
                  <c:v>1.0572507258814079</c:v>
                </c:pt>
                <c:pt idx="150">
                  <c:v>1.0580759961505666</c:v>
                </c:pt>
                <c:pt idx="151">
                  <c:v>1.0199298657359299</c:v>
                </c:pt>
                <c:pt idx="152">
                  <c:v>0.98397440291284766</c:v>
                </c:pt>
                <c:pt idx="153">
                  <c:v>1.0393826649375288</c:v>
                </c:pt>
                <c:pt idx="154">
                  <c:v>1</c:v>
                </c:pt>
              </c:numCache>
            </c:numRef>
          </c:val>
          <c:smooth val="0"/>
          <c:extLst>
            <c:ext xmlns:c16="http://schemas.microsoft.com/office/drawing/2014/chart" uri="{C3380CC4-5D6E-409C-BE32-E72D297353CC}">
              <c16:uniqueId val="{00000001-FDC8-481D-BAD7-1015841AA028}"/>
            </c:ext>
          </c:extLst>
        </c:ser>
        <c:ser>
          <c:idx val="2"/>
          <c:order val="2"/>
          <c:tx>
            <c:strRef>
              <c:f>'Stock Data'!$W$4</c:f>
              <c:strCache>
                <c:ptCount val="1"/>
                <c:pt idx="0">
                  <c:v>PPIJFFAK Index</c:v>
                </c:pt>
              </c:strCache>
            </c:strRef>
          </c:tx>
          <c:spPr>
            <a:ln w="19050" cap="rnd">
              <a:solidFill>
                <a:schemeClr val="accent1">
                  <a:lumMod val="60000"/>
                  <a:lumOff val="40000"/>
                </a:schemeClr>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Data'!$W$5:$W$159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CAL-MAINE FOODS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0</c:v>
                </c:pt>
                <c:pt idx="1">
                  <c:v>2.2382250161683964E-5</c:v>
                </c:pt>
                <c:pt idx="2">
                  <c:v>0</c:v>
                </c:pt>
                <c:pt idx="3">
                  <c:v>0</c:v>
                </c:pt>
                <c:pt idx="4">
                  <c:v>0</c:v>
                </c:pt>
                <c:pt idx="5">
                  <c:v>0</c:v>
                </c:pt>
                <c:pt idx="6">
                  <c:v>4.8028791402500209E-5</c:v>
                </c:pt>
                <c:pt idx="7">
                  <c:v>8.793939933194151E-5</c:v>
                </c:pt>
              </c:numCache>
            </c:numRef>
          </c:val>
          <c:smooth val="0"/>
          <c:extLst>
            <c:ext xmlns:c16="http://schemas.microsoft.com/office/drawing/2014/chart" uri="{C3380CC4-5D6E-409C-BE32-E72D297353CC}">
              <c16:uniqueId val="{00000000-1963-4974-94B4-575120D8A498}"/>
            </c:ext>
          </c:extLst>
        </c:ser>
        <c:ser>
          <c:idx val="1"/>
          <c:order val="1"/>
          <c:tx>
            <c:strRef>
              <c:f>Inputs!$B$136</c:f>
              <c:strCache>
                <c:ptCount val="1"/>
                <c:pt idx="0">
                  <c:v>VITAL FARMS INC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Inputs!$P$136:$W$136</c:f>
              <c:numCache>
                <c:formatCode>General</c:formatCode>
                <c:ptCount val="8"/>
                <c:pt idx="0">
                  <c:v>0</c:v>
                </c:pt>
                <c:pt idx="1">
                  <c:v>0</c:v>
                </c:pt>
                <c:pt idx="2">
                  <c:v>0</c:v>
                </c:pt>
                <c:pt idx="3">
                  <c:v>5.637483666231099E-6</c:v>
                </c:pt>
                <c:pt idx="4">
                  <c:v>4.5189554658663631E-6</c:v>
                </c:pt>
                <c:pt idx="5">
                  <c:v>1.1001242922248308E-5</c:v>
                </c:pt>
                <c:pt idx="6">
                  <c:v>1.1499246593777353E-5</c:v>
                </c:pt>
                <c:pt idx="7">
                  <c:v>9.5760068744052109E-6</c:v>
                </c:pt>
              </c:numCache>
            </c:numRef>
          </c:val>
          <c:smooth val="0"/>
          <c:extLst>
            <c:ext xmlns:c16="http://schemas.microsoft.com/office/drawing/2014/chart" uri="{C3380CC4-5D6E-409C-BE32-E72D297353CC}">
              <c16:uniqueId val="{00000001-1963-4974-94B4-575120D8A498}"/>
            </c:ext>
          </c:extLst>
        </c:ser>
        <c:ser>
          <c:idx val="2"/>
          <c:order val="2"/>
          <c:tx>
            <c:strRef>
              <c:f>Inputs!$B$137</c:f>
              <c:strCache>
                <c:ptCount val="1"/>
                <c:pt idx="0">
                  <c:v>POST HOLDINGS 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0</c:v>
                </c:pt>
                <c:pt idx="1">
                  <c:v>0</c:v>
                </c:pt>
                <c:pt idx="2">
                  <c:v>0</c:v>
                </c:pt>
                <c:pt idx="3">
                  <c:v>5.5212416867004755E-5</c:v>
                </c:pt>
                <c:pt idx="4">
                  <c:v>6.02541811391973E-5</c:v>
                </c:pt>
                <c:pt idx="5">
                  <c:v>5.6555236532677054E-5</c:v>
                </c:pt>
                <c:pt idx="6">
                  <c:v>4.8469174653125451E-5</c:v>
                </c:pt>
                <c:pt idx="7">
                  <c:v>3.9885392606056018E-5</c:v>
                </c:pt>
              </c:numCache>
            </c:numRef>
          </c:val>
          <c:smooth val="0"/>
          <c:extLst>
            <c:ext xmlns:c16="http://schemas.microsoft.com/office/drawing/2014/chart" uri="{C3380CC4-5D6E-409C-BE32-E72D297353CC}">
              <c16:uniqueId val="{00000002-1963-4974-94B4-575120D8A498}"/>
            </c:ext>
          </c:extLst>
        </c:ser>
        <c:ser>
          <c:idx val="3"/>
          <c:order val="3"/>
          <c:tx>
            <c:strRef>
              <c:f>Inputs!$B$138</c:f>
              <c:strCache>
                <c:ptCount val="1"/>
                <c:pt idx="0">
                  <c:v>TYSON FOODS-A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7.9579194981704127E-5</c:v>
                </c:pt>
                <c:pt idx="1">
                  <c:v>8.6887046839109153E-5</c:v>
                </c:pt>
                <c:pt idx="2">
                  <c:v>1.0376134889753567E-4</c:v>
                </c:pt>
                <c:pt idx="3">
                  <c:v>8.8715989348153295E-5</c:v>
                </c:pt>
                <c:pt idx="4">
                  <c:v>8.1325639227188676E-5</c:v>
                </c:pt>
                <c:pt idx="5">
                  <c:v>6.685146953943171E-5</c:v>
                </c:pt>
                <c:pt idx="6">
                  <c:v>0</c:v>
                </c:pt>
                <c:pt idx="7">
                  <c:v>0</c:v>
                </c:pt>
              </c:numCache>
            </c:numRef>
          </c:val>
          <c:smooth val="0"/>
          <c:extLst>
            <c:ext xmlns:c16="http://schemas.microsoft.com/office/drawing/2014/chart" uri="{C3380CC4-5D6E-409C-BE32-E72D297353CC}">
              <c16:uniqueId val="{00000003-1963-4974-94B4-575120D8A498}"/>
            </c:ext>
          </c:extLst>
        </c:ser>
        <c:ser>
          <c:idx val="4"/>
          <c:order val="4"/>
          <c:tx>
            <c:strRef>
              <c:f>Inputs!$B$139</c:f>
              <c:strCache>
                <c:ptCount val="1"/>
                <c:pt idx="0">
                  <c:v>LAMB WESTON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0</c:v>
                </c:pt>
                <c:pt idx="1">
                  <c:v>0</c:v>
                </c:pt>
                <c:pt idx="2">
                  <c:v>0</c:v>
                </c:pt>
                <c:pt idx="3">
                  <c:v>1.8154598671026262E-4</c:v>
                </c:pt>
                <c:pt idx="4">
                  <c:v>2.1254651447873818E-4</c:v>
                </c:pt>
                <c:pt idx="5">
                  <c:v>1.7079826294859598E-4</c:v>
                </c:pt>
                <c:pt idx="6">
                  <c:v>1.3865940268381114E-4</c:v>
                </c:pt>
                <c:pt idx="7">
                  <c:v>1.1392123817181026E-4</c:v>
                </c:pt>
              </c:numCache>
            </c:numRef>
          </c:val>
          <c:smooth val="0"/>
          <c:extLst>
            <c:ext xmlns:c16="http://schemas.microsoft.com/office/drawing/2014/chart" uri="{C3380CC4-5D6E-409C-BE32-E72D297353CC}">
              <c16:uniqueId val="{00000004-1963-4974-94B4-575120D8A498}"/>
            </c:ext>
          </c:extLst>
        </c:ser>
        <c:ser>
          <c:idx val="5"/>
          <c:order val="5"/>
          <c:tx>
            <c:strRef>
              <c:f>Inputs!$B$140</c:f>
              <c:strCache>
                <c:ptCount val="1"/>
                <c:pt idx="0">
                  <c:v>HORMEL FOODS CRP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2.3997768643839188E-5</c:v>
                </c:pt>
                <c:pt idx="1">
                  <c:v>2.2627989565982588E-5</c:v>
                </c:pt>
                <c:pt idx="2">
                  <c:v>8.3521482961977582E-5</c:v>
                </c:pt>
                <c:pt idx="3">
                  <c:v>1.0079812981515668E-4</c:v>
                </c:pt>
                <c:pt idx="4">
                  <c:v>5.8739320065739294E-5</c:v>
                </c:pt>
                <c:pt idx="5">
                  <c:v>5.079459460240412E-5</c:v>
                </c:pt>
                <c:pt idx="6">
                  <c:v>5.1638107648135715E-5</c:v>
                </c:pt>
                <c:pt idx="7">
                  <c:v>0</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CAL-MAINE FOODS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General</c:formatCode>
                <c:ptCount val="8"/>
                <c:pt idx="0">
                  <c:v>0</c:v>
                </c:pt>
                <c:pt idx="1">
                  <c:v>0</c:v>
                </c:pt>
                <c:pt idx="2">
                  <c:v>0</c:v>
                </c:pt>
                <c:pt idx="3">
                  <c:v>0</c:v>
                </c:pt>
                <c:pt idx="4">
                  <c:v>2.8197677220017687E-4</c:v>
                </c:pt>
                <c:pt idx="5">
                  <c:v>2.2873023741826139E-4</c:v>
                </c:pt>
                <c:pt idx="6">
                  <c:v>1.2765902669777704E-4</c:v>
                </c:pt>
                <c:pt idx="7">
                  <c:v>1.8313622985819983E-4</c:v>
                </c:pt>
              </c:numCache>
            </c:numRef>
          </c:val>
          <c:smooth val="0"/>
          <c:extLst>
            <c:ext xmlns:c16="http://schemas.microsoft.com/office/drawing/2014/chart" uri="{C3380CC4-5D6E-409C-BE32-E72D297353CC}">
              <c16:uniqueId val="{00000000-6538-4B8D-A781-ADEA5CE732E8}"/>
            </c:ext>
          </c:extLst>
        </c:ser>
        <c:ser>
          <c:idx val="1"/>
          <c:order val="1"/>
          <c:tx>
            <c:strRef>
              <c:f>Inputs!$B$145</c:f>
              <c:strCache>
                <c:ptCount val="1"/>
                <c:pt idx="0">
                  <c:v>VITAL FARMS INC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Inputs!$P$145:$W$145</c:f>
              <c:numCache>
                <c:formatCode>General</c:formatCode>
                <c:ptCount val="8"/>
                <c:pt idx="0">
                  <c:v>0</c:v>
                </c:pt>
                <c:pt idx="1">
                  <c:v>0</c:v>
                </c:pt>
                <c:pt idx="2">
                  <c:v>0</c:v>
                </c:pt>
                <c:pt idx="3">
                  <c:v>0</c:v>
                </c:pt>
                <c:pt idx="4">
                  <c:v>0</c:v>
                </c:pt>
                <c:pt idx="5">
                  <c:v>1.2768954564286702E-5</c:v>
                </c:pt>
                <c:pt idx="6">
                  <c:v>2.5594618708634184E-5</c:v>
                </c:pt>
                <c:pt idx="7">
                  <c:v>4.7565012444190809E-5</c:v>
                </c:pt>
              </c:numCache>
            </c:numRef>
          </c:val>
          <c:smooth val="0"/>
          <c:extLst>
            <c:ext xmlns:c16="http://schemas.microsoft.com/office/drawing/2014/chart" uri="{C3380CC4-5D6E-409C-BE32-E72D297353CC}">
              <c16:uniqueId val="{00000001-6538-4B8D-A781-ADEA5CE732E8}"/>
            </c:ext>
          </c:extLst>
        </c:ser>
        <c:ser>
          <c:idx val="2"/>
          <c:order val="2"/>
          <c:tx>
            <c:strRef>
              <c:f>Inputs!$B$146</c:f>
              <c:strCache>
                <c:ptCount val="1"/>
                <c:pt idx="0">
                  <c:v>POST HOLDINGS 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General</c:formatCode>
                <c:ptCount val="8"/>
                <c:pt idx="0">
                  <c:v>0</c:v>
                </c:pt>
                <c:pt idx="1">
                  <c:v>0</c:v>
                </c:pt>
                <c:pt idx="2">
                  <c:v>8.7573885339106857E-4</c:v>
                </c:pt>
                <c:pt idx="3">
                  <c:v>0</c:v>
                </c:pt>
                <c:pt idx="4">
                  <c:v>4.7633264400586257E-4</c:v>
                </c:pt>
                <c:pt idx="5">
                  <c:v>4.4037291495761555E-4</c:v>
                </c:pt>
                <c:pt idx="6">
                  <c:v>3.7442855099413535E-4</c:v>
                </c:pt>
                <c:pt idx="7">
                  <c:v>3.0861070089742133E-4</c:v>
                </c:pt>
              </c:numCache>
            </c:numRef>
          </c:val>
          <c:smooth val="0"/>
          <c:extLst>
            <c:ext xmlns:c16="http://schemas.microsoft.com/office/drawing/2014/chart" uri="{C3380CC4-5D6E-409C-BE32-E72D297353CC}">
              <c16:uniqueId val="{00000002-6538-4B8D-A781-ADEA5CE732E8}"/>
            </c:ext>
          </c:extLst>
        </c:ser>
        <c:ser>
          <c:idx val="3"/>
          <c:order val="3"/>
          <c:tx>
            <c:strRef>
              <c:f>Inputs!$B$147</c:f>
              <c:strCache>
                <c:ptCount val="1"/>
                <c:pt idx="0">
                  <c:v>TYSON FOODS-A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General</c:formatCode>
                <c:ptCount val="8"/>
                <c:pt idx="0">
                  <c:v>3.4165708311552535E-4</c:v>
                </c:pt>
                <c:pt idx="1">
                  <c:v>4.1803907420353539E-4</c:v>
                </c:pt>
                <c:pt idx="2">
                  <c:v>4.1231456196203279E-4</c:v>
                </c:pt>
                <c:pt idx="3">
                  <c:v>3.9635750839411832E-4</c:v>
                </c:pt>
                <c:pt idx="4">
                  <c:v>3.7726412888690515E-4</c:v>
                </c:pt>
                <c:pt idx="5">
                  <c:v>3.18638545850381E-4</c:v>
                </c:pt>
                <c:pt idx="6">
                  <c:v>0</c:v>
                </c:pt>
                <c:pt idx="7">
                  <c:v>0</c:v>
                </c:pt>
              </c:numCache>
            </c:numRef>
          </c:val>
          <c:smooth val="0"/>
          <c:extLst>
            <c:ext xmlns:c16="http://schemas.microsoft.com/office/drawing/2014/chart" uri="{C3380CC4-5D6E-409C-BE32-E72D297353CC}">
              <c16:uniqueId val="{00000003-6538-4B8D-A781-ADEA5CE732E8}"/>
            </c:ext>
          </c:extLst>
        </c:ser>
        <c:ser>
          <c:idx val="4"/>
          <c:order val="4"/>
          <c:tx>
            <c:strRef>
              <c:f>Inputs!$B$148</c:f>
              <c:strCache>
                <c:ptCount val="1"/>
                <c:pt idx="0">
                  <c:v>LAMB WESTON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General</c:formatCode>
                <c:ptCount val="8"/>
                <c:pt idx="0">
                  <c:v>0</c:v>
                </c:pt>
                <c:pt idx="1">
                  <c:v>0</c:v>
                </c:pt>
                <c:pt idx="2">
                  <c:v>1.0588792759217355E-3</c:v>
                </c:pt>
                <c:pt idx="3">
                  <c:v>1.2622877333614598E-3</c:v>
                </c:pt>
                <c:pt idx="4">
                  <c:v>1.1069192840992672E-3</c:v>
                </c:pt>
                <c:pt idx="5">
                  <c:v>9.6491985654687841E-4</c:v>
                </c:pt>
                <c:pt idx="6">
                  <c:v>9.6912495794864123E-4</c:v>
                </c:pt>
                <c:pt idx="7">
                  <c:v>0</c:v>
                </c:pt>
              </c:numCache>
            </c:numRef>
          </c:val>
          <c:smooth val="0"/>
          <c:extLst>
            <c:ext xmlns:c16="http://schemas.microsoft.com/office/drawing/2014/chart" uri="{C3380CC4-5D6E-409C-BE32-E72D297353CC}">
              <c16:uniqueId val="{00000004-6538-4B8D-A781-ADEA5CE732E8}"/>
            </c:ext>
          </c:extLst>
        </c:ser>
        <c:ser>
          <c:idx val="5"/>
          <c:order val="5"/>
          <c:tx>
            <c:strRef>
              <c:f>Inputs!$B$149</c:f>
              <c:strCache>
                <c:ptCount val="1"/>
                <c:pt idx="0">
                  <c:v>HORMEL FOODS CRP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0</c:v>
                </c:pt>
                <c:pt idx="1">
                  <c:v>0</c:v>
                </c:pt>
                <c:pt idx="2">
                  <c:v>0</c:v>
                </c:pt>
                <c:pt idx="3">
                  <c:v>3.6030636328686106E-4</c:v>
                </c:pt>
                <c:pt idx="4">
                  <c:v>1.9768862083705094E-4</c:v>
                </c:pt>
                <c:pt idx="5">
                  <c:v>2.9198865445051475E-4</c:v>
                </c:pt>
                <c:pt idx="6">
                  <c:v>2.9105426007080095E-4</c:v>
                </c:pt>
                <c:pt idx="7">
                  <c:v>2.5801798319357341E-4</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CAL-MAINE FOODS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VITAL FARMS INC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0</c:v>
                </c:pt>
                <c:pt idx="1">
                  <c:v>0</c:v>
                </c:pt>
                <c:pt idx="2">
                  <c:v>0</c:v>
                </c:pt>
                <c:pt idx="3">
                  <c:v>0</c:v>
                </c:pt>
                <c:pt idx="4">
                  <c:v>2.1464080244997143E-5</c:v>
                </c:pt>
                <c:pt idx="5">
                  <c:v>3.0247203424941307E-5</c:v>
                </c:pt>
                <c:pt idx="6">
                  <c:v>1.0808359312249263E-6</c:v>
                </c:pt>
                <c:pt idx="7">
                  <c:v>5.739666538568745E-7</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POST HOLDINGS 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TYSON FOODS-A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9.3021432305279671E-5</c:v>
                </c:pt>
                <c:pt idx="1">
                  <c:v>1.6004194547088784E-4</c:v>
                </c:pt>
                <c:pt idx="2">
                  <c:v>1.3349840820657942E-4</c:v>
                </c:pt>
                <c:pt idx="3">
                  <c:v>2.3156188491374319E-4</c:v>
                </c:pt>
                <c:pt idx="4">
                  <c:v>3.0965163552891669E-4</c:v>
                </c:pt>
                <c:pt idx="5">
                  <c:v>2.283491610675275E-3</c:v>
                </c:pt>
                <c:pt idx="6">
                  <c:v>0</c:v>
                </c:pt>
                <c:pt idx="7">
                  <c:v>0</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LAMB WESTON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0</c:v>
                </c:pt>
                <c:pt idx="1">
                  <c:v>0</c:v>
                </c:pt>
                <c:pt idx="2">
                  <c:v>1.3658991082124317E-3</c:v>
                </c:pt>
                <c:pt idx="3">
                  <c:v>2.360273177934817E-4</c:v>
                </c:pt>
                <c:pt idx="4">
                  <c:v>4.9061538042441909E-4</c:v>
                </c:pt>
                <c:pt idx="5">
                  <c:v>7.084827636683012E-4</c:v>
                </c:pt>
                <c:pt idx="6">
                  <c:v>7.3561843531566552E-4</c:v>
                </c:pt>
                <c:pt idx="7">
                  <c:v>2.1275279856515554E-4</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HORMEL FOODS CRP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CAL-MAINE FOODS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0</c:v>
                </c:pt>
                <c:pt idx="1">
                  <c:v>0</c:v>
                </c:pt>
                <c:pt idx="2">
                  <c:v>0</c:v>
                </c:pt>
                <c:pt idx="3">
                  <c:v>0</c:v>
                </c:pt>
                <c:pt idx="4">
                  <c:v>0</c:v>
                </c:pt>
                <c:pt idx="5">
                  <c:v>1.6555412318200005E-4</c:v>
                </c:pt>
                <c:pt idx="6">
                  <c:v>1.0434881001532951E-4</c:v>
                </c:pt>
                <c:pt idx="7">
                  <c:v>1.5920140747054625E-4</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VITAL FARMS INC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POST HOLDINGS 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0</c:v>
                </c:pt>
                <c:pt idx="1">
                  <c:v>0</c:v>
                </c:pt>
                <c:pt idx="2">
                  <c:v>2.1122669905476051E-5</c:v>
                </c:pt>
                <c:pt idx="3">
                  <c:v>7.8794286416200183E-5</c:v>
                </c:pt>
                <c:pt idx="4">
                  <c:v>9.0016463549300304E-5</c:v>
                </c:pt>
                <c:pt idx="5">
                  <c:v>6.7176134809953506E-5</c:v>
                </c:pt>
                <c:pt idx="6">
                  <c:v>0</c:v>
                </c:pt>
                <c:pt idx="7">
                  <c:v>0</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TYSON FOODS-A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3.5322268687924725E-5</c:v>
                </c:pt>
                <c:pt idx="1">
                  <c:v>4.8859482672525721E-5</c:v>
                </c:pt>
                <c:pt idx="2">
                  <c:v>2.5913689423417048E-5</c:v>
                </c:pt>
                <c:pt idx="3">
                  <c:v>6.807178418432325E-5</c:v>
                </c:pt>
                <c:pt idx="4">
                  <c:v>2.84067674126974E-5</c:v>
                </c:pt>
                <c:pt idx="5">
                  <c:v>2.5526256521902328E-5</c:v>
                </c:pt>
                <c:pt idx="6">
                  <c:v>0</c:v>
                </c:pt>
                <c:pt idx="7">
                  <c:v>0</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LAMB WESTON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0</c:v>
                </c:pt>
                <c:pt idx="1">
                  <c:v>0</c:v>
                </c:pt>
                <c:pt idx="2">
                  <c:v>0</c:v>
                </c:pt>
                <c:pt idx="3">
                  <c:v>7.9495570087543508E-5</c:v>
                </c:pt>
                <c:pt idx="4">
                  <c:v>8.5370889972486309E-5</c:v>
                </c:pt>
                <c:pt idx="5">
                  <c:v>7.4877894069140495E-5</c:v>
                </c:pt>
                <c:pt idx="6">
                  <c:v>4.8139647889956272E-5</c:v>
                </c:pt>
                <c:pt idx="7">
                  <c:v>4.0396437627558904E-5</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HORMEL FOODS CRP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0</c:v>
                </c:pt>
                <c:pt idx="1">
                  <c:v>0</c:v>
                </c:pt>
                <c:pt idx="2">
                  <c:v>0</c:v>
                </c:pt>
                <c:pt idx="3">
                  <c:v>0</c:v>
                </c:pt>
                <c:pt idx="4">
                  <c:v>7.9831803248655011E-6</c:v>
                </c:pt>
                <c:pt idx="5">
                  <c:v>6.6979933711143747E-6</c:v>
                </c:pt>
                <c:pt idx="6">
                  <c:v>6.3816627731934155E-6</c:v>
                </c:pt>
                <c:pt idx="7">
                  <c:v>0</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CAL-MAINE FOODS</c:v>
                </c:pt>
              </c:strCache>
            </c:strRef>
          </c:tx>
          <c:spPr>
            <a:ln w="28575" cap="rnd">
              <a:solidFill>
                <a:schemeClr val="accent1"/>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Data'!$C$5:$C$159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VITAL FARMS INC</c:v>
                </c:pt>
              </c:strCache>
            </c:strRef>
          </c:tx>
          <c:spPr>
            <a:ln w="28575" cap="rnd">
              <a:solidFill>
                <a:schemeClr val="accent3"/>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Data'!$D$5:$D$159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POST HOLDINGS IN</c:v>
                </c:pt>
              </c:strCache>
            </c:strRef>
          </c:tx>
          <c:spPr>
            <a:ln w="28575" cap="rnd">
              <a:solidFill>
                <a:schemeClr val="accent5"/>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Data'!$E$5:$E$159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TYSON FOODS-A</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Data'!$F$5:$F$159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LAMB WESTON</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Data'!$G$5:$G$159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HORMEL FOODS CRP</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Data'!$H$5:$H$159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CAL-MAINE FOODS</c:v>
                </c:pt>
              </c:strCache>
            </c:strRef>
          </c:tx>
          <c:spPr>
            <a:ln w="28575" cap="rnd">
              <a:solidFill>
                <a:schemeClr val="accent1"/>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Data'!$J$5:$J$159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VITAL FARMS INC</c:v>
                </c:pt>
              </c:strCache>
            </c:strRef>
          </c:tx>
          <c:spPr>
            <a:ln w="28575" cap="rnd">
              <a:solidFill>
                <a:schemeClr val="accent2"/>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Data'!$K$5:$K$159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POST HOLDINGS IN</c:v>
                </c:pt>
              </c:strCache>
            </c:strRef>
          </c:tx>
          <c:spPr>
            <a:ln w="28575" cap="rnd">
              <a:solidFill>
                <a:schemeClr val="accent3"/>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Data'!$L$5:$L$159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TYSON FOODS-A</c:v>
                </c:pt>
              </c:strCache>
            </c:strRef>
          </c:tx>
          <c:spPr>
            <a:ln w="28575" cap="rnd">
              <a:solidFill>
                <a:schemeClr val="accent4"/>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Data'!$M$5:$M$159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LAMB WESTON</c:v>
                </c:pt>
              </c:strCache>
            </c:strRef>
          </c:tx>
          <c:spPr>
            <a:ln w="28575" cap="rnd">
              <a:solidFill>
                <a:schemeClr val="accent5"/>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Data'!$N$5:$N$159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HORMEL FOODS CRP</c:v>
                </c:pt>
              </c:strCache>
            </c:strRef>
          </c:tx>
          <c:spPr>
            <a:ln w="28575" cap="rnd">
              <a:solidFill>
                <a:schemeClr val="accent6"/>
              </a:solidFill>
              <a:round/>
            </a:ln>
            <a:effectLst/>
          </c:spPr>
          <c:marker>
            <c:symbol val="none"/>
          </c:marker>
          <c:cat>
            <c:numRef>
              <c:f>'Stock Data'!$B$5:$B$159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Data'!$O$5:$O$159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0.36678873350991714</c:v>
                </c:pt>
                <c:pt idx="1">
                  <c:v>0.48001130958397886</c:v>
                </c:pt>
                <c:pt idx="2">
                  <c:v>0.19751987507053542</c:v>
                </c:pt>
                <c:pt idx="3">
                  <c:v>0.29220077440929743</c:v>
                </c:pt>
                <c:pt idx="4">
                  <c:v>0.41123863436982316</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Sensitivity!$AJ$28:$AJ$34</c:f>
              <c:numCache>
                <c:formatCode>General</c:formatCode>
                <c:ptCount val="7"/>
                <c:pt idx="0">
                  <c:v>-45.59</c:v>
                </c:pt>
                <c:pt idx="1">
                  <c:v>-45.59</c:v>
                </c:pt>
                <c:pt idx="2">
                  <c:v>-45.59</c:v>
                </c:pt>
                <c:pt idx="3">
                  <c:v>-45.59</c:v>
                </c:pt>
                <c:pt idx="4">
                  <c:v>-45.59</c:v>
                </c:pt>
                <c:pt idx="5">
                  <c:v>-45.59</c:v>
                </c:pt>
                <c:pt idx="6">
                  <c:v>-45.59</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Sensitivity!$AK$28:$AK$34</c:f>
              <c:numCache>
                <c:formatCode>General</c:formatCode>
                <c:ptCount val="7"/>
                <c:pt idx="0">
                  <c:v>-45.59</c:v>
                </c:pt>
                <c:pt idx="1">
                  <c:v>-45.59</c:v>
                </c:pt>
                <c:pt idx="2">
                  <c:v>-45.59</c:v>
                </c:pt>
                <c:pt idx="3">
                  <c:v>-45.59</c:v>
                </c:pt>
                <c:pt idx="4">
                  <c:v>-45.59</c:v>
                </c:pt>
                <c:pt idx="5">
                  <c:v>-45.59</c:v>
                </c:pt>
                <c:pt idx="6">
                  <c:v>-45.59</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Data'!$U$4</c:f>
              <c:strCache>
                <c:ptCount val="1"/>
                <c:pt idx="0">
                  <c:v>CALM US Equity</c:v>
                </c:pt>
              </c:strCache>
            </c:strRef>
          </c:tx>
          <c:spPr>
            <a:ln w="28575" cap="rnd">
              <a:solidFill>
                <a:schemeClr val="accent1"/>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Data'!$U$5:$U$159</c:f>
              <c:numCache>
                <c:formatCode>General</c:formatCode>
                <c:ptCount val="155"/>
                <c:pt idx="0">
                  <c:v>1.9165702957211301</c:v>
                </c:pt>
                <c:pt idx="1">
                  <c:v>1.9165702957211301</c:v>
                </c:pt>
                <c:pt idx="2">
                  <c:v>1.8997191475301503</c:v>
                </c:pt>
                <c:pt idx="3">
                  <c:v>1.8182719312737485</c:v>
                </c:pt>
                <c:pt idx="4">
                  <c:v>1.7814306955228811</c:v>
                </c:pt>
                <c:pt idx="5">
                  <c:v>1.7351726416652899</c:v>
                </c:pt>
                <c:pt idx="6">
                  <c:v>1.7867173302494632</c:v>
                </c:pt>
                <c:pt idx="7">
                  <c:v>1.7298860069387079</c:v>
                </c:pt>
                <c:pt idx="8">
                  <c:v>1.6980009912440113</c:v>
                </c:pt>
                <c:pt idx="9">
                  <c:v>1.6912274905005782</c:v>
                </c:pt>
                <c:pt idx="10">
                  <c:v>1.6831323310754998</c:v>
                </c:pt>
                <c:pt idx="11">
                  <c:v>1.6828019164050882</c:v>
                </c:pt>
                <c:pt idx="12">
                  <c:v>1.6621509995043779</c:v>
                </c:pt>
                <c:pt idx="13">
                  <c:v>1.5876424913266147</c:v>
                </c:pt>
                <c:pt idx="14">
                  <c:v>1.6056500908640343</c:v>
                </c:pt>
                <c:pt idx="15">
                  <c:v>1.5780604658846853</c:v>
                </c:pt>
                <c:pt idx="16">
                  <c:v>1.5919378820419625</c:v>
                </c:pt>
                <c:pt idx="17">
                  <c:v>1.5521229142573931</c:v>
                </c:pt>
                <c:pt idx="18">
                  <c:v>1.6003634561374525</c:v>
                </c:pt>
                <c:pt idx="19">
                  <c:v>1.5998678341318355</c:v>
                </c:pt>
                <c:pt idx="20">
                  <c:v>1.5380802907649098</c:v>
                </c:pt>
                <c:pt idx="21">
                  <c:v>1.5950768214108706</c:v>
                </c:pt>
                <c:pt idx="22">
                  <c:v>1.4923178589129358</c:v>
                </c:pt>
                <c:pt idx="23">
                  <c:v>1.5099950437799439</c:v>
                </c:pt>
                <c:pt idx="24">
                  <c:v>1.5534445729390385</c:v>
                </c:pt>
                <c:pt idx="25">
                  <c:v>1.4533289278043944</c:v>
                </c:pt>
                <c:pt idx="26">
                  <c:v>1.4477118784074012</c:v>
                </c:pt>
                <c:pt idx="27">
                  <c:v>1.4627457459111186</c:v>
                </c:pt>
                <c:pt idx="28">
                  <c:v>1.4549810011564512</c:v>
                </c:pt>
                <c:pt idx="29">
                  <c:v>1.5027259210308936</c:v>
                </c:pt>
                <c:pt idx="30">
                  <c:v>1.8830332066743765</c:v>
                </c:pt>
                <c:pt idx="31">
                  <c:v>1.7782917561539733</c:v>
                </c:pt>
                <c:pt idx="32">
                  <c:v>1.837270774822402</c:v>
                </c:pt>
                <c:pt idx="33">
                  <c:v>1.8871633900545184</c:v>
                </c:pt>
                <c:pt idx="34">
                  <c:v>1.8167850652568973</c:v>
                </c:pt>
                <c:pt idx="35">
                  <c:v>1.7128696514125228</c:v>
                </c:pt>
                <c:pt idx="36">
                  <c:v>1.7003138939368907</c:v>
                </c:pt>
                <c:pt idx="37">
                  <c:v>1.6975053692383941</c:v>
                </c:pt>
                <c:pt idx="38">
                  <c:v>1.7621014373038162</c:v>
                </c:pt>
                <c:pt idx="39">
                  <c:v>1.7214604328432181</c:v>
                </c:pt>
                <c:pt idx="40">
                  <c:v>1.6296051544688583</c:v>
                </c:pt>
                <c:pt idx="41">
                  <c:v>1.5962332727573105</c:v>
                </c:pt>
                <c:pt idx="42">
                  <c:v>1.5717825871468694</c:v>
                </c:pt>
                <c:pt idx="43">
                  <c:v>1.5341153147199735</c:v>
                </c:pt>
                <c:pt idx="44">
                  <c:v>1.465554270609615</c:v>
                </c:pt>
                <c:pt idx="45">
                  <c:v>1.4901701635552618</c:v>
                </c:pt>
                <c:pt idx="46">
                  <c:v>1.4630761605815299</c:v>
                </c:pt>
                <c:pt idx="47">
                  <c:v>1.5235420452668098</c:v>
                </c:pt>
                <c:pt idx="48">
                  <c:v>1.4439121096976706</c:v>
                </c:pt>
                <c:pt idx="49">
                  <c:v>1.2694531637204691</c:v>
                </c:pt>
                <c:pt idx="50">
                  <c:v>1.2374029406905667</c:v>
                </c:pt>
                <c:pt idx="51">
                  <c:v>1.1721460432843218</c:v>
                </c:pt>
                <c:pt idx="52">
                  <c:v>1.1447216256401784</c:v>
                </c:pt>
                <c:pt idx="53">
                  <c:v>1.17412853130679</c:v>
                </c:pt>
                <c:pt idx="54">
                  <c:v>1.1777630926813152</c:v>
                </c:pt>
                <c:pt idx="55">
                  <c:v>1.1868494961176277</c:v>
                </c:pt>
                <c:pt idx="56">
                  <c:v>1.1590946638030728</c:v>
                </c:pt>
                <c:pt idx="57">
                  <c:v>1.1430695522881216</c:v>
                </c:pt>
                <c:pt idx="58">
                  <c:v>1.1858582521063936</c:v>
                </c:pt>
                <c:pt idx="59">
                  <c:v>1.0710391541384436</c:v>
                </c:pt>
                <c:pt idx="60">
                  <c:v>1.0626135800429537</c:v>
                </c:pt>
                <c:pt idx="61">
                  <c:v>1.0325458450355196</c:v>
                </c:pt>
                <c:pt idx="62">
                  <c:v>1.0213117462415331</c:v>
                </c:pt>
                <c:pt idx="63">
                  <c:v>1.0044605980505534</c:v>
                </c:pt>
                <c:pt idx="64">
                  <c:v>0.97356682636709069</c:v>
                </c:pt>
                <c:pt idx="65">
                  <c:v>0.96761936229968615</c:v>
                </c:pt>
                <c:pt idx="66">
                  <c:v>1.0046258053857591</c:v>
                </c:pt>
                <c:pt idx="67">
                  <c:v>1</c:v>
                </c:pt>
                <c:pt idx="68">
                  <c:v>1.0089211961011069</c:v>
                </c:pt>
                <c:pt idx="69">
                  <c:v>0.96728894762927464</c:v>
                </c:pt>
                <c:pt idx="70">
                  <c:v>0.94300346935403923</c:v>
                </c:pt>
                <c:pt idx="71">
                  <c:v>0.91409218569304473</c:v>
                </c:pt>
                <c:pt idx="72">
                  <c:v>0.98595737650751691</c:v>
                </c:pt>
                <c:pt idx="73">
                  <c:v>1.0226334049231784</c:v>
                </c:pt>
                <c:pt idx="74">
                  <c:v>1.0318850156946968</c:v>
                </c:pt>
                <c:pt idx="75">
                  <c:v>0.97323641169667929</c:v>
                </c:pt>
                <c:pt idx="76">
                  <c:v>0.98232281513299191</c:v>
                </c:pt>
                <c:pt idx="77">
                  <c:v>1.0031389393689079</c:v>
                </c:pt>
                <c:pt idx="78">
                  <c:v>0.98034032711052377</c:v>
                </c:pt>
                <c:pt idx="79">
                  <c:v>0.93920370064430858</c:v>
                </c:pt>
                <c:pt idx="80">
                  <c:v>0.95737650751693382</c:v>
                </c:pt>
                <c:pt idx="81">
                  <c:v>0.963489178919544</c:v>
                </c:pt>
                <c:pt idx="82">
                  <c:v>0.90797951429043444</c:v>
                </c:pt>
                <c:pt idx="83">
                  <c:v>0.92796960185032218</c:v>
                </c:pt>
                <c:pt idx="84">
                  <c:v>0.91838757640839253</c:v>
                </c:pt>
                <c:pt idx="85">
                  <c:v>0.9059970262679663</c:v>
                </c:pt>
                <c:pt idx="86">
                  <c:v>0.89856269618371054</c:v>
                </c:pt>
                <c:pt idx="87">
                  <c:v>0.89955394019494472</c:v>
                </c:pt>
                <c:pt idx="88">
                  <c:v>0.93639517594581201</c:v>
                </c:pt>
                <c:pt idx="89">
                  <c:v>0.93573434660498922</c:v>
                </c:pt>
                <c:pt idx="90">
                  <c:v>0.94052535932595405</c:v>
                </c:pt>
                <c:pt idx="91">
                  <c:v>0.80769866182058481</c:v>
                </c:pt>
                <c:pt idx="92">
                  <c:v>0.8214108706426565</c:v>
                </c:pt>
                <c:pt idx="93">
                  <c:v>0.76854452337683798</c:v>
                </c:pt>
                <c:pt idx="94">
                  <c:v>0.78836940360151986</c:v>
                </c:pt>
                <c:pt idx="95">
                  <c:v>0.83495787212952255</c:v>
                </c:pt>
                <c:pt idx="96">
                  <c:v>0.81496778456963481</c:v>
                </c:pt>
                <c:pt idx="97">
                  <c:v>0.74855443581695025</c:v>
                </c:pt>
                <c:pt idx="98">
                  <c:v>0.74491987444242524</c:v>
                </c:pt>
                <c:pt idx="99">
                  <c:v>0.75384107054353211</c:v>
                </c:pt>
                <c:pt idx="100">
                  <c:v>0.78456963489178921</c:v>
                </c:pt>
                <c:pt idx="101">
                  <c:v>0.78473484222699486</c:v>
                </c:pt>
                <c:pt idx="102">
                  <c:v>0.81397654055840085</c:v>
                </c:pt>
                <c:pt idx="103">
                  <c:v>0.78110028085246985</c:v>
                </c:pt>
                <c:pt idx="104">
                  <c:v>0.783082768874938</c:v>
                </c:pt>
                <c:pt idx="105">
                  <c:v>0.79266479431686765</c:v>
                </c:pt>
                <c:pt idx="106">
                  <c:v>0.78985626961837108</c:v>
                </c:pt>
                <c:pt idx="107">
                  <c:v>0.78242193953411532</c:v>
                </c:pt>
                <c:pt idx="108">
                  <c:v>0.7693705600528663</c:v>
                </c:pt>
                <c:pt idx="109">
                  <c:v>0.74805881381133321</c:v>
                </c:pt>
                <c:pt idx="110">
                  <c:v>0.75433669254914915</c:v>
                </c:pt>
                <c:pt idx="111">
                  <c:v>0.74458945977201385</c:v>
                </c:pt>
                <c:pt idx="112">
                  <c:v>0.73401619031885013</c:v>
                </c:pt>
                <c:pt idx="113">
                  <c:v>0.72691227490500576</c:v>
                </c:pt>
                <c:pt idx="114">
                  <c:v>0.73385098298364448</c:v>
                </c:pt>
                <c:pt idx="115">
                  <c:v>0.73385098298364448</c:v>
                </c:pt>
                <c:pt idx="116">
                  <c:v>0.76127540062778787</c:v>
                </c:pt>
                <c:pt idx="117">
                  <c:v>0.80621179580373359</c:v>
                </c:pt>
                <c:pt idx="118">
                  <c:v>0.77581364612588799</c:v>
                </c:pt>
                <c:pt idx="119">
                  <c:v>0.78440442755658346</c:v>
                </c:pt>
                <c:pt idx="120">
                  <c:v>0.80604658846852795</c:v>
                </c:pt>
                <c:pt idx="121">
                  <c:v>0.76672724268957537</c:v>
                </c:pt>
                <c:pt idx="122">
                  <c:v>0.7711878407401288</c:v>
                </c:pt>
                <c:pt idx="123">
                  <c:v>0.76656203535436973</c:v>
                </c:pt>
                <c:pt idx="124">
                  <c:v>0.82190649264827353</c:v>
                </c:pt>
                <c:pt idx="125">
                  <c:v>0.94415992070047905</c:v>
                </c:pt>
                <c:pt idx="126">
                  <c:v>0.95093342144391213</c:v>
                </c:pt>
                <c:pt idx="127">
                  <c:v>0.93936890797951422</c:v>
                </c:pt>
                <c:pt idx="128">
                  <c:v>0.8965802081612424</c:v>
                </c:pt>
                <c:pt idx="129">
                  <c:v>0.8983974888485049</c:v>
                </c:pt>
                <c:pt idx="130">
                  <c:v>0.91310094168181066</c:v>
                </c:pt>
                <c:pt idx="131">
                  <c:v>0.92945646786717329</c:v>
                </c:pt>
                <c:pt idx="132">
                  <c:v>0.93837766396828015</c:v>
                </c:pt>
                <c:pt idx="133">
                  <c:v>0.98298364447381459</c:v>
                </c:pt>
                <c:pt idx="134">
                  <c:v>0.90797951429043444</c:v>
                </c:pt>
                <c:pt idx="135">
                  <c:v>0.896249793490831</c:v>
                </c:pt>
                <c:pt idx="136">
                  <c:v>0.94531637204691887</c:v>
                </c:pt>
                <c:pt idx="137">
                  <c:v>0.88765901206013542</c:v>
                </c:pt>
                <c:pt idx="138">
                  <c:v>0.93110854121923015</c:v>
                </c:pt>
                <c:pt idx="139">
                  <c:v>0.88567652403766728</c:v>
                </c:pt>
                <c:pt idx="140">
                  <c:v>0.91673550305633567</c:v>
                </c:pt>
                <c:pt idx="141">
                  <c:v>1.0536923839418471</c:v>
                </c:pt>
                <c:pt idx="142">
                  <c:v>1.0274244176441434</c:v>
                </c:pt>
                <c:pt idx="143">
                  <c:v>0.94597720138774155</c:v>
                </c:pt>
                <c:pt idx="144">
                  <c:v>0.97587972905997022</c:v>
                </c:pt>
                <c:pt idx="145">
                  <c:v>0.95010738476788359</c:v>
                </c:pt>
                <c:pt idx="146">
                  <c:v>0.94135139600198237</c:v>
                </c:pt>
                <c:pt idx="147">
                  <c:v>0.88567652403766728</c:v>
                </c:pt>
                <c:pt idx="148">
                  <c:v>0.98562696183710552</c:v>
                </c:pt>
                <c:pt idx="149">
                  <c:v>0.94597720138774155</c:v>
                </c:pt>
                <c:pt idx="150">
                  <c:v>0.98000991244011237</c:v>
                </c:pt>
                <c:pt idx="151">
                  <c:v>0.98480092516107709</c:v>
                </c:pt>
                <c:pt idx="152">
                  <c:v>0.91293573434660491</c:v>
                </c:pt>
                <c:pt idx="153">
                  <c:v>0.91244011234098787</c:v>
                </c:pt>
                <c:pt idx="154">
                  <c:v>1</c:v>
                </c:pt>
              </c:numCache>
            </c:numRef>
          </c:val>
          <c:smooth val="0"/>
          <c:extLst>
            <c:ext xmlns:c16="http://schemas.microsoft.com/office/drawing/2014/chart" uri="{C3380CC4-5D6E-409C-BE32-E72D297353CC}">
              <c16:uniqueId val="{00000000-0BFC-4092-BBEE-7B7B9EC025B0}"/>
            </c:ext>
          </c:extLst>
        </c:ser>
        <c:ser>
          <c:idx val="1"/>
          <c:order val="1"/>
          <c:tx>
            <c:strRef>
              <c:f>'Stock Data'!$V$4</c:f>
              <c:strCache>
                <c:ptCount val="1"/>
                <c:pt idx="0">
                  <c:v>SPX Index</c:v>
                </c:pt>
              </c:strCache>
            </c:strRef>
          </c:tx>
          <c:spPr>
            <a:ln w="28575" cap="rnd">
              <a:solidFill>
                <a:schemeClr val="accent3"/>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Data'!$V$5:$V$159</c:f>
              <c:numCache>
                <c:formatCode>General</c:formatCode>
                <c:ptCount val="155"/>
                <c:pt idx="0">
                  <c:v>1.7589881802653478</c:v>
                </c:pt>
                <c:pt idx="1">
                  <c:v>1.7589881802653478</c:v>
                </c:pt>
                <c:pt idx="2">
                  <c:v>1.7728066591907963</c:v>
                </c:pt>
                <c:pt idx="3">
                  <c:v>1.7578448656399683</c:v>
                </c:pt>
                <c:pt idx="4">
                  <c:v>1.7672737840972339</c:v>
                </c:pt>
                <c:pt idx="5">
                  <c:v>1.7270877829840785</c:v>
                </c:pt>
                <c:pt idx="6">
                  <c:v>1.7467379890274697</c:v>
                </c:pt>
                <c:pt idx="7">
                  <c:v>1.7299474404283728</c:v>
                </c:pt>
                <c:pt idx="8">
                  <c:v>1.7118901979277765</c:v>
                </c:pt>
                <c:pt idx="9">
                  <c:v>1.7068892246023761</c:v>
                </c:pt>
                <c:pt idx="10">
                  <c:v>1.699346638188902</c:v>
                </c:pt>
                <c:pt idx="11">
                  <c:v>1.6703305742071513</c:v>
                </c:pt>
                <c:pt idx="12">
                  <c:v>1.6403192507313651</c:v>
                </c:pt>
                <c:pt idx="13">
                  <c:v>1.6556977920593099</c:v>
                </c:pt>
                <c:pt idx="14">
                  <c:v>1.6369331750422917</c:v>
                </c:pt>
                <c:pt idx="15">
                  <c:v>1.6235451527024174</c:v>
                </c:pt>
                <c:pt idx="16">
                  <c:v>1.6287325658228438</c:v>
                </c:pt>
                <c:pt idx="17">
                  <c:v>1.6139517285436584</c:v>
                </c:pt>
                <c:pt idx="18">
                  <c:v>1.5372811046009502</c:v>
                </c:pt>
                <c:pt idx="19">
                  <c:v>1.5246470667262544</c:v>
                </c:pt>
                <c:pt idx="20">
                  <c:v>1.4497777802148994</c:v>
                </c:pt>
                <c:pt idx="21">
                  <c:v>1.4796273397508837</c:v>
                </c:pt>
                <c:pt idx="22">
                  <c:v>1.3661567903840934</c:v>
                </c:pt>
                <c:pt idx="23">
                  <c:v>1.5444535531860641</c:v>
                </c:pt>
                <c:pt idx="24">
                  <c:v>1.5838197675534438</c:v>
                </c:pt>
                <c:pt idx="25">
                  <c:v>1.5394059699119071</c:v>
                </c:pt>
                <c:pt idx="26">
                  <c:v>1.5277288068675645</c:v>
                </c:pt>
                <c:pt idx="27">
                  <c:v>1.5842310318071773</c:v>
                </c:pt>
                <c:pt idx="28">
                  <c:v>1.632787631364657</c:v>
                </c:pt>
                <c:pt idx="29">
                  <c:v>1.6805847629335753</c:v>
                </c:pt>
                <c:pt idx="30">
                  <c:v>1.6638380825215433</c:v>
                </c:pt>
                <c:pt idx="31">
                  <c:v>1.655442808221995</c:v>
                </c:pt>
                <c:pt idx="32">
                  <c:v>1.6636187415862187</c:v>
                </c:pt>
                <c:pt idx="33">
                  <c:v>1.658557449503604</c:v>
                </c:pt>
                <c:pt idx="34">
                  <c:v>1.6019866805217025</c:v>
                </c:pt>
                <c:pt idx="35">
                  <c:v>1.6201152088262791</c:v>
                </c:pt>
                <c:pt idx="36">
                  <c:v>1.6126027817914124</c:v>
                </c:pt>
                <c:pt idx="37">
                  <c:v>1.6560350287473713</c:v>
                </c:pt>
                <c:pt idx="38">
                  <c:v>1.6589330708553474</c:v>
                </c:pt>
                <c:pt idx="39">
                  <c:v>1.6546285049996023</c:v>
                </c:pt>
                <c:pt idx="40">
                  <c:v>1.6587329222518639</c:v>
                </c:pt>
                <c:pt idx="41">
                  <c:v>1.6509874454732143</c:v>
                </c:pt>
                <c:pt idx="42">
                  <c:v>1.6222949093710672</c:v>
                </c:pt>
                <c:pt idx="43">
                  <c:v>1.6406674544661926</c:v>
                </c:pt>
                <c:pt idx="44">
                  <c:v>1.5854949839469854</c:v>
                </c:pt>
                <c:pt idx="45">
                  <c:v>1.5992476605918367</c:v>
                </c:pt>
                <c:pt idx="46">
                  <c:v>1.6042596009640033</c:v>
                </c:pt>
                <c:pt idx="47">
                  <c:v>1.5944057094445465</c:v>
                </c:pt>
                <c:pt idx="48">
                  <c:v>1.5768227917165896</c:v>
                </c:pt>
                <c:pt idx="49">
                  <c:v>1.5652032056677698</c:v>
                </c:pt>
                <c:pt idx="50">
                  <c:v>1.5718327854379555</c:v>
                </c:pt>
                <c:pt idx="51">
                  <c:v>1.5448675592014893</c:v>
                </c:pt>
                <c:pt idx="52">
                  <c:v>1.5067406211186938</c:v>
                </c:pt>
                <c:pt idx="53">
                  <c:v>1.5159008469301867</c:v>
                </c:pt>
                <c:pt idx="54">
                  <c:v>1.542460292436302</c:v>
                </c:pt>
                <c:pt idx="55">
                  <c:v>1.5345969199049156</c:v>
                </c:pt>
                <c:pt idx="56">
                  <c:v>1.4899911989449701</c:v>
                </c:pt>
                <c:pt idx="57">
                  <c:v>1.4366913516610962</c:v>
                </c:pt>
                <c:pt idx="58">
                  <c:v>1.490542293044973</c:v>
                </c:pt>
                <c:pt idx="59">
                  <c:v>1.5232515100252515</c:v>
                </c:pt>
                <c:pt idx="60">
                  <c:v>1.5538111858393491</c:v>
                </c:pt>
                <c:pt idx="61">
                  <c:v>1.5290750118581191</c:v>
                </c:pt>
                <c:pt idx="62">
                  <c:v>1.5104392576406045</c:v>
                </c:pt>
                <c:pt idx="63">
                  <c:v>1.4995517219634305</c:v>
                </c:pt>
                <c:pt idx="64">
                  <c:v>1.5044128654425615</c:v>
                </c:pt>
                <c:pt idx="65">
                  <c:v>1.4737846455861749</c:v>
                </c:pt>
                <c:pt idx="66">
                  <c:v>1.4507593309004769</c:v>
                </c:pt>
                <c:pt idx="67">
                  <c:v>1.4547897205870661</c:v>
                </c:pt>
                <c:pt idx="68">
                  <c:v>1.4590038083069896</c:v>
                </c:pt>
                <c:pt idx="69">
                  <c:v>1.438514623185982</c:v>
                </c:pt>
                <c:pt idx="70">
                  <c:v>1.4223437127291769</c:v>
                </c:pt>
                <c:pt idx="71">
                  <c:v>1.3806661932558144</c:v>
                </c:pt>
                <c:pt idx="72">
                  <c:v>1.3902239745125833</c:v>
                </c:pt>
                <c:pt idx="73">
                  <c:v>1.3849762426349426</c:v>
                </c:pt>
                <c:pt idx="74">
                  <c:v>1.4284331654461258</c:v>
                </c:pt>
                <c:pt idx="75">
                  <c:v>1.4273090431525874</c:v>
                </c:pt>
                <c:pt idx="76">
                  <c:v>1.42669763029537</c:v>
                </c:pt>
                <c:pt idx="77">
                  <c:v>1.4198240337346359</c:v>
                </c:pt>
                <c:pt idx="78">
                  <c:v>1.4189357029465715</c:v>
                </c:pt>
                <c:pt idx="79">
                  <c:v>1.3924448014827446</c:v>
                </c:pt>
                <c:pt idx="80">
                  <c:v>1.3923159386832415</c:v>
                </c:pt>
                <c:pt idx="81">
                  <c:v>1.364166271396023</c:v>
                </c:pt>
                <c:pt idx="82">
                  <c:v>1.3580411757770838</c:v>
                </c:pt>
                <c:pt idx="83">
                  <c:v>1.3583318025163889</c:v>
                </c:pt>
                <c:pt idx="84">
                  <c:v>1.3503094078068922</c:v>
                </c:pt>
                <c:pt idx="85">
                  <c:v>1.3337573924749611</c:v>
                </c:pt>
                <c:pt idx="86">
                  <c:v>1.3067181386728228</c:v>
                </c:pt>
                <c:pt idx="87">
                  <c:v>1.3041189485892266</c:v>
                </c:pt>
                <c:pt idx="88">
                  <c:v>1.3003709603568676</c:v>
                </c:pt>
                <c:pt idx="89">
                  <c:v>1.3091226636763187</c:v>
                </c:pt>
                <c:pt idx="90">
                  <c:v>1.307373419717105</c:v>
                </c:pt>
                <c:pt idx="91">
                  <c:v>1.2731918767084602</c:v>
                </c:pt>
                <c:pt idx="92">
                  <c:v>1.2522119162446639</c:v>
                </c:pt>
                <c:pt idx="93">
                  <c:v>1.24884229112574</c:v>
                </c:pt>
                <c:pt idx="94">
                  <c:v>1.2442635491008391</c:v>
                </c:pt>
                <c:pt idx="95">
                  <c:v>1.2326138036734122</c:v>
                </c:pt>
                <c:pt idx="96">
                  <c:v>1.2004474555080622</c:v>
                </c:pt>
                <c:pt idx="97">
                  <c:v>1.1498400182052977</c:v>
                </c:pt>
                <c:pt idx="98">
                  <c:v>1.1646126301994084</c:v>
                </c:pt>
                <c:pt idx="99">
                  <c:v>1.1990272229518355</c:v>
                </c:pt>
                <c:pt idx="100">
                  <c:v>1.1949255474612657</c:v>
                </c:pt>
                <c:pt idx="101">
                  <c:v>1.1596143986356993</c:v>
                </c:pt>
                <c:pt idx="102">
                  <c:v>1.1717000841720839</c:v>
                </c:pt>
                <c:pt idx="103">
                  <c:v>1.2184251869196032</c:v>
                </c:pt>
                <c:pt idx="104">
                  <c:v>1.2233466491559486</c:v>
                </c:pt>
                <c:pt idx="105">
                  <c:v>1.2329236227445584</c:v>
                </c:pt>
                <c:pt idx="106">
                  <c:v>1.233142963679883</c:v>
                </c:pt>
                <c:pt idx="107">
                  <c:v>1.2029616509792203</c:v>
                </c:pt>
                <c:pt idx="108">
                  <c:v>1.216755454049445</c:v>
                </c:pt>
                <c:pt idx="109">
                  <c:v>1.2336227719759054</c:v>
                </c:pt>
                <c:pt idx="110">
                  <c:v>1.254830298660101</c:v>
                </c:pt>
                <c:pt idx="111">
                  <c:v>1.2522886855720274</c:v>
                </c:pt>
                <c:pt idx="112">
                  <c:v>1.2488669669809638</c:v>
                </c:pt>
                <c:pt idx="113">
                  <c:v>1.217139300686263</c:v>
                </c:pt>
                <c:pt idx="114">
                  <c:v>1.2004556807931368</c:v>
                </c:pt>
                <c:pt idx="115">
                  <c:v>1.2004556807931368</c:v>
                </c:pt>
                <c:pt idx="116">
                  <c:v>1.2032796953354408</c:v>
                </c:pt>
                <c:pt idx="117">
                  <c:v>1.1978784248030729</c:v>
                </c:pt>
                <c:pt idx="118">
                  <c:v>1.1745295822377713</c:v>
                </c:pt>
                <c:pt idx="119">
                  <c:v>1.1530533629078028</c:v>
                </c:pt>
                <c:pt idx="120">
                  <c:v>1.1366192433286084</c:v>
                </c:pt>
                <c:pt idx="121">
                  <c:v>1.1268366376131318</c:v>
                </c:pt>
                <c:pt idx="122">
                  <c:v>1.1293782507012056</c:v>
                </c:pt>
                <c:pt idx="123">
                  <c:v>1.1294906629305594</c:v>
                </c:pt>
                <c:pt idx="124">
                  <c:v>1.1163439156195423</c:v>
                </c:pt>
                <c:pt idx="125">
                  <c:v>1.1391663399400651</c:v>
                </c:pt>
                <c:pt idx="126">
                  <c:v>1.1265734284907423</c:v>
                </c:pt>
                <c:pt idx="127">
                  <c:v>1.1242867992399839</c:v>
                </c:pt>
                <c:pt idx="128">
                  <c:v>1.0888275952830733</c:v>
                </c:pt>
                <c:pt idx="129">
                  <c:v>1.0974915622283943</c:v>
                </c:pt>
                <c:pt idx="130">
                  <c:v>1.0745759180103585</c:v>
                </c:pt>
                <c:pt idx="131">
                  <c:v>1.0929676554373247</c:v>
                </c:pt>
                <c:pt idx="132">
                  <c:v>1.0885205179736188</c:v>
                </c:pt>
                <c:pt idx="133">
                  <c:v>1.0959753680129631</c:v>
                </c:pt>
                <c:pt idx="134">
                  <c:v>1.1340282785300868</c:v>
                </c:pt>
                <c:pt idx="135">
                  <c:v>1.1416695683644569</c:v>
                </c:pt>
                <c:pt idx="136">
                  <c:v>1.1177065711802461</c:v>
                </c:pt>
                <c:pt idx="137">
                  <c:v>1.1013519626901069</c:v>
                </c:pt>
                <c:pt idx="138">
                  <c:v>1.0942288658154411</c:v>
                </c:pt>
                <c:pt idx="139">
                  <c:v>1.0745649509635922</c:v>
                </c:pt>
                <c:pt idx="140">
                  <c:v>1.0484880555151908</c:v>
                </c:pt>
                <c:pt idx="141">
                  <c:v>1.0498890957395766</c:v>
                </c:pt>
                <c:pt idx="142">
                  <c:v>1.0477971315689183</c:v>
                </c:pt>
                <c:pt idx="143">
                  <c:v>1.1020922383468275</c:v>
                </c:pt>
                <c:pt idx="144">
                  <c:v>1.0805995684467098</c:v>
                </c:pt>
                <c:pt idx="145">
                  <c:v>1.0850878323357891</c:v>
                </c:pt>
                <c:pt idx="146">
                  <c:v>1.0976862273084949</c:v>
                </c:pt>
                <c:pt idx="147">
                  <c:v>1.0944372397039994</c:v>
                </c:pt>
                <c:pt idx="148">
                  <c:v>1.049576534906739</c:v>
                </c:pt>
                <c:pt idx="149">
                  <c:v>1.0572507258814079</c:v>
                </c:pt>
                <c:pt idx="150">
                  <c:v>1.0580759961505666</c:v>
                </c:pt>
                <c:pt idx="151">
                  <c:v>1.0199298657359299</c:v>
                </c:pt>
                <c:pt idx="152">
                  <c:v>0.98397440291284766</c:v>
                </c:pt>
                <c:pt idx="153">
                  <c:v>1.0393826649375288</c:v>
                </c:pt>
                <c:pt idx="154">
                  <c:v>1</c:v>
                </c:pt>
              </c:numCache>
            </c:numRef>
          </c:val>
          <c:smooth val="0"/>
          <c:extLst>
            <c:ext xmlns:c16="http://schemas.microsoft.com/office/drawing/2014/chart" uri="{C3380CC4-5D6E-409C-BE32-E72D297353CC}">
              <c16:uniqueId val="{00000001-0BFC-4092-BBEE-7B7B9EC025B0}"/>
            </c:ext>
          </c:extLst>
        </c:ser>
        <c:ser>
          <c:idx val="2"/>
          <c:order val="2"/>
          <c:tx>
            <c:strRef>
              <c:f>'Stock Data'!$W$4</c:f>
              <c:strCache>
                <c:ptCount val="1"/>
                <c:pt idx="0">
                  <c:v>PPIJFFAK Index</c:v>
                </c:pt>
              </c:strCache>
            </c:strRef>
          </c:tx>
          <c:spPr>
            <a:ln w="28575" cap="rnd">
              <a:solidFill>
                <a:schemeClr val="accent5"/>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Data'!$W$5:$W$159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0BFC-4092-BBEE-7B7B9EC025B0}"/>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CAL-MAINE FOODS</c:v>
                </c:pt>
              </c:strCache>
            </c:strRef>
          </c:tx>
          <c:spPr>
            <a:ln w="28575" cap="rnd">
              <a:solidFill>
                <a:schemeClr val="accent1"/>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Data'!$AF$5:$AF$159</c:f>
              <c:numCache>
                <c:formatCode>General</c:formatCode>
                <c:ptCount val="155"/>
                <c:pt idx="0">
                  <c:v>1.9165702957211301</c:v>
                </c:pt>
                <c:pt idx="1">
                  <c:v>1.9165702957211301</c:v>
                </c:pt>
                <c:pt idx="2">
                  <c:v>1.8997191475301503</c:v>
                </c:pt>
                <c:pt idx="3">
                  <c:v>1.8182719312737485</c:v>
                </c:pt>
                <c:pt idx="4">
                  <c:v>1.7814306955228811</c:v>
                </c:pt>
                <c:pt idx="5">
                  <c:v>1.7351726416652899</c:v>
                </c:pt>
                <c:pt idx="6">
                  <c:v>1.7867173302494632</c:v>
                </c:pt>
                <c:pt idx="7">
                  <c:v>1.7298860069387079</c:v>
                </c:pt>
                <c:pt idx="8">
                  <c:v>1.6980009912440113</c:v>
                </c:pt>
                <c:pt idx="9">
                  <c:v>1.6912274905005782</c:v>
                </c:pt>
                <c:pt idx="10">
                  <c:v>1.6831323310754998</c:v>
                </c:pt>
                <c:pt idx="11">
                  <c:v>1.6828019164050882</c:v>
                </c:pt>
                <c:pt idx="12">
                  <c:v>1.6621509995043779</c:v>
                </c:pt>
                <c:pt idx="13">
                  <c:v>1.5876424913266147</c:v>
                </c:pt>
                <c:pt idx="14">
                  <c:v>1.6056500908640343</c:v>
                </c:pt>
                <c:pt idx="15">
                  <c:v>1.5780604658846853</c:v>
                </c:pt>
                <c:pt idx="16">
                  <c:v>1.5919378820419625</c:v>
                </c:pt>
                <c:pt idx="17">
                  <c:v>1.5521229142573931</c:v>
                </c:pt>
                <c:pt idx="18">
                  <c:v>1.6003634561374525</c:v>
                </c:pt>
                <c:pt idx="19">
                  <c:v>1.5998678341318355</c:v>
                </c:pt>
                <c:pt idx="20">
                  <c:v>1.5380802907649098</c:v>
                </c:pt>
                <c:pt idx="21">
                  <c:v>1.5950768214108706</c:v>
                </c:pt>
                <c:pt idx="22">
                  <c:v>1.4923178589129358</c:v>
                </c:pt>
                <c:pt idx="23">
                  <c:v>1.5099950437799439</c:v>
                </c:pt>
                <c:pt idx="24">
                  <c:v>1.5534445729390385</c:v>
                </c:pt>
                <c:pt idx="25">
                  <c:v>1.4533289278043944</c:v>
                </c:pt>
                <c:pt idx="26">
                  <c:v>1.4477118784074012</c:v>
                </c:pt>
                <c:pt idx="27">
                  <c:v>1.4627457459111186</c:v>
                </c:pt>
                <c:pt idx="28">
                  <c:v>1.4549810011564512</c:v>
                </c:pt>
                <c:pt idx="29">
                  <c:v>1.5027259210308936</c:v>
                </c:pt>
                <c:pt idx="30">
                  <c:v>1.8830332066743765</c:v>
                </c:pt>
                <c:pt idx="31">
                  <c:v>1.7782917561539733</c:v>
                </c:pt>
                <c:pt idx="32">
                  <c:v>1.837270774822402</c:v>
                </c:pt>
                <c:pt idx="33">
                  <c:v>1.8871633900545184</c:v>
                </c:pt>
                <c:pt idx="34">
                  <c:v>1.8167850652568973</c:v>
                </c:pt>
                <c:pt idx="35">
                  <c:v>1.7128696514125228</c:v>
                </c:pt>
                <c:pt idx="36">
                  <c:v>1.7003138939368907</c:v>
                </c:pt>
                <c:pt idx="37">
                  <c:v>1.6975053692383941</c:v>
                </c:pt>
                <c:pt idx="38">
                  <c:v>1.7621014373038162</c:v>
                </c:pt>
                <c:pt idx="39">
                  <c:v>1.7214604328432181</c:v>
                </c:pt>
                <c:pt idx="40">
                  <c:v>1.6296051544688583</c:v>
                </c:pt>
                <c:pt idx="41">
                  <c:v>1.5962332727573105</c:v>
                </c:pt>
                <c:pt idx="42">
                  <c:v>1.5717825871468694</c:v>
                </c:pt>
                <c:pt idx="43">
                  <c:v>1.5341153147199735</c:v>
                </c:pt>
                <c:pt idx="44">
                  <c:v>1.465554270609615</c:v>
                </c:pt>
                <c:pt idx="45">
                  <c:v>1.4901701635552618</c:v>
                </c:pt>
                <c:pt idx="46">
                  <c:v>1.4630761605815299</c:v>
                </c:pt>
                <c:pt idx="47">
                  <c:v>1.5235420452668098</c:v>
                </c:pt>
                <c:pt idx="48">
                  <c:v>1.4439121096976706</c:v>
                </c:pt>
                <c:pt idx="49">
                  <c:v>1.2694531637204691</c:v>
                </c:pt>
                <c:pt idx="50">
                  <c:v>1.2374029406905667</c:v>
                </c:pt>
                <c:pt idx="51">
                  <c:v>1.1721460432843218</c:v>
                </c:pt>
                <c:pt idx="52">
                  <c:v>1.1447216256401784</c:v>
                </c:pt>
                <c:pt idx="53">
                  <c:v>1.17412853130679</c:v>
                </c:pt>
                <c:pt idx="54">
                  <c:v>1.1777630926813152</c:v>
                </c:pt>
                <c:pt idx="55">
                  <c:v>1.1868494961176277</c:v>
                </c:pt>
                <c:pt idx="56">
                  <c:v>1.1590946638030728</c:v>
                </c:pt>
                <c:pt idx="57">
                  <c:v>1.1430695522881216</c:v>
                </c:pt>
                <c:pt idx="58">
                  <c:v>1.1858582521063936</c:v>
                </c:pt>
                <c:pt idx="59">
                  <c:v>1.0710391541384436</c:v>
                </c:pt>
                <c:pt idx="60">
                  <c:v>1.0626135800429537</c:v>
                </c:pt>
                <c:pt idx="61">
                  <c:v>1.0325458450355196</c:v>
                </c:pt>
                <c:pt idx="62">
                  <c:v>1.0213117462415331</c:v>
                </c:pt>
                <c:pt idx="63">
                  <c:v>1.0044605980505534</c:v>
                </c:pt>
                <c:pt idx="64">
                  <c:v>0.97356682636709069</c:v>
                </c:pt>
                <c:pt idx="65">
                  <c:v>0.96761936229968615</c:v>
                </c:pt>
                <c:pt idx="66">
                  <c:v>1.0046258053857591</c:v>
                </c:pt>
                <c:pt idx="67">
                  <c:v>1</c:v>
                </c:pt>
                <c:pt idx="68">
                  <c:v>1.0089211961011069</c:v>
                </c:pt>
                <c:pt idx="69">
                  <c:v>0.96728894762927464</c:v>
                </c:pt>
                <c:pt idx="70">
                  <c:v>0.94300346935403923</c:v>
                </c:pt>
                <c:pt idx="71">
                  <c:v>0.91409218569304473</c:v>
                </c:pt>
                <c:pt idx="72">
                  <c:v>0.98595737650751691</c:v>
                </c:pt>
                <c:pt idx="73">
                  <c:v>1.0226334049231784</c:v>
                </c:pt>
                <c:pt idx="74">
                  <c:v>1.0318850156946968</c:v>
                </c:pt>
                <c:pt idx="75">
                  <c:v>0.97323641169667929</c:v>
                </c:pt>
                <c:pt idx="76">
                  <c:v>0.98232281513299191</c:v>
                </c:pt>
                <c:pt idx="77">
                  <c:v>1.0031389393689079</c:v>
                </c:pt>
                <c:pt idx="78">
                  <c:v>0.98034032711052377</c:v>
                </c:pt>
                <c:pt idx="79">
                  <c:v>0.93920370064430858</c:v>
                </c:pt>
                <c:pt idx="80">
                  <c:v>0.95737650751693382</c:v>
                </c:pt>
                <c:pt idx="81">
                  <c:v>0.963489178919544</c:v>
                </c:pt>
                <c:pt idx="82">
                  <c:v>0.90797951429043444</c:v>
                </c:pt>
                <c:pt idx="83">
                  <c:v>0.92796960185032218</c:v>
                </c:pt>
                <c:pt idx="84">
                  <c:v>0.91838757640839253</c:v>
                </c:pt>
                <c:pt idx="85">
                  <c:v>0.9059970262679663</c:v>
                </c:pt>
                <c:pt idx="86">
                  <c:v>0.89856269618371054</c:v>
                </c:pt>
                <c:pt idx="87">
                  <c:v>0.89955394019494472</c:v>
                </c:pt>
                <c:pt idx="88">
                  <c:v>0.93639517594581201</c:v>
                </c:pt>
                <c:pt idx="89">
                  <c:v>0.93573434660498922</c:v>
                </c:pt>
                <c:pt idx="90">
                  <c:v>0.94052535932595405</c:v>
                </c:pt>
                <c:pt idx="91">
                  <c:v>0.80769866182058481</c:v>
                </c:pt>
                <c:pt idx="92">
                  <c:v>0.8214108706426565</c:v>
                </c:pt>
                <c:pt idx="93">
                  <c:v>0.76854452337683798</c:v>
                </c:pt>
                <c:pt idx="94">
                  <c:v>0.78836940360151986</c:v>
                </c:pt>
                <c:pt idx="95">
                  <c:v>0.83495787212952255</c:v>
                </c:pt>
                <c:pt idx="96">
                  <c:v>0.81496778456963481</c:v>
                </c:pt>
                <c:pt idx="97">
                  <c:v>0.74855443581695025</c:v>
                </c:pt>
                <c:pt idx="98">
                  <c:v>0.74491987444242524</c:v>
                </c:pt>
                <c:pt idx="99">
                  <c:v>0.75384107054353211</c:v>
                </c:pt>
                <c:pt idx="100">
                  <c:v>0.78456963489178921</c:v>
                </c:pt>
                <c:pt idx="101">
                  <c:v>0.78473484222699486</c:v>
                </c:pt>
                <c:pt idx="102">
                  <c:v>0.81397654055840085</c:v>
                </c:pt>
                <c:pt idx="103">
                  <c:v>0.78110028085246985</c:v>
                </c:pt>
                <c:pt idx="104">
                  <c:v>0.783082768874938</c:v>
                </c:pt>
                <c:pt idx="105">
                  <c:v>0.79266479431686765</c:v>
                </c:pt>
                <c:pt idx="106">
                  <c:v>0.78985626961837108</c:v>
                </c:pt>
                <c:pt idx="107">
                  <c:v>0.78242193953411532</c:v>
                </c:pt>
                <c:pt idx="108">
                  <c:v>0.7693705600528663</c:v>
                </c:pt>
                <c:pt idx="109">
                  <c:v>0.74805881381133321</c:v>
                </c:pt>
                <c:pt idx="110">
                  <c:v>0.75433669254914915</c:v>
                </c:pt>
                <c:pt idx="111">
                  <c:v>0.74458945977201385</c:v>
                </c:pt>
                <c:pt idx="112">
                  <c:v>0.73401619031885013</c:v>
                </c:pt>
                <c:pt idx="113">
                  <c:v>0.72691227490500576</c:v>
                </c:pt>
                <c:pt idx="114">
                  <c:v>0.73385098298364448</c:v>
                </c:pt>
                <c:pt idx="115">
                  <c:v>0.73385098298364448</c:v>
                </c:pt>
                <c:pt idx="116">
                  <c:v>0.76127540062778787</c:v>
                </c:pt>
                <c:pt idx="117">
                  <c:v>0.80621179580373359</c:v>
                </c:pt>
                <c:pt idx="118">
                  <c:v>0.77581364612588799</c:v>
                </c:pt>
                <c:pt idx="119">
                  <c:v>0.78440442755658346</c:v>
                </c:pt>
                <c:pt idx="120">
                  <c:v>0.80604658846852795</c:v>
                </c:pt>
                <c:pt idx="121">
                  <c:v>0.76672724268957537</c:v>
                </c:pt>
                <c:pt idx="122">
                  <c:v>0.7711878407401288</c:v>
                </c:pt>
                <c:pt idx="123">
                  <c:v>0.76656203535436973</c:v>
                </c:pt>
                <c:pt idx="124">
                  <c:v>0.82190649264827353</c:v>
                </c:pt>
                <c:pt idx="125">
                  <c:v>0.94415992070047905</c:v>
                </c:pt>
                <c:pt idx="126">
                  <c:v>0.95093342144391213</c:v>
                </c:pt>
                <c:pt idx="127">
                  <c:v>0.93936890797951422</c:v>
                </c:pt>
                <c:pt idx="128">
                  <c:v>0.8965802081612424</c:v>
                </c:pt>
                <c:pt idx="129">
                  <c:v>0.8983974888485049</c:v>
                </c:pt>
                <c:pt idx="130">
                  <c:v>0.91310094168181066</c:v>
                </c:pt>
                <c:pt idx="131">
                  <c:v>0.92945646786717329</c:v>
                </c:pt>
                <c:pt idx="132">
                  <c:v>0.93837766396828015</c:v>
                </c:pt>
                <c:pt idx="133">
                  <c:v>0.98298364447381459</c:v>
                </c:pt>
                <c:pt idx="134">
                  <c:v>0.90797951429043444</c:v>
                </c:pt>
                <c:pt idx="135">
                  <c:v>0.896249793490831</c:v>
                </c:pt>
                <c:pt idx="136">
                  <c:v>0.94531637204691887</c:v>
                </c:pt>
                <c:pt idx="137">
                  <c:v>0.88765901206013542</c:v>
                </c:pt>
                <c:pt idx="138">
                  <c:v>0.93110854121923015</c:v>
                </c:pt>
                <c:pt idx="139">
                  <c:v>0.88567652403766728</c:v>
                </c:pt>
                <c:pt idx="140">
                  <c:v>0.91673550305633567</c:v>
                </c:pt>
                <c:pt idx="141">
                  <c:v>1.0536923839418471</c:v>
                </c:pt>
                <c:pt idx="142">
                  <c:v>1.0274244176441434</c:v>
                </c:pt>
                <c:pt idx="143">
                  <c:v>0.94597720138774155</c:v>
                </c:pt>
                <c:pt idx="144">
                  <c:v>0.97587972905997022</c:v>
                </c:pt>
                <c:pt idx="145">
                  <c:v>0.95010738476788359</c:v>
                </c:pt>
                <c:pt idx="146">
                  <c:v>0.94135139600198237</c:v>
                </c:pt>
                <c:pt idx="147">
                  <c:v>0.88567652403766728</c:v>
                </c:pt>
                <c:pt idx="148">
                  <c:v>0.98562696183710552</c:v>
                </c:pt>
                <c:pt idx="149">
                  <c:v>0.94597720138774155</c:v>
                </c:pt>
                <c:pt idx="150">
                  <c:v>0.98000991244011237</c:v>
                </c:pt>
                <c:pt idx="151">
                  <c:v>0.98480092516107709</c:v>
                </c:pt>
                <c:pt idx="152">
                  <c:v>0.91293573434660491</c:v>
                </c:pt>
                <c:pt idx="153">
                  <c:v>0.91244011234098787</c:v>
                </c:pt>
                <c:pt idx="154">
                  <c:v>1</c:v>
                </c:pt>
              </c:numCache>
            </c:numRef>
          </c:val>
          <c:smooth val="0"/>
          <c:extLst>
            <c:ext xmlns:c16="http://schemas.microsoft.com/office/drawing/2014/chart" uri="{C3380CC4-5D6E-409C-BE32-E72D297353CC}">
              <c16:uniqueId val="{00000000-7FCB-4865-8E32-ABAA033EDCFC}"/>
            </c:ext>
          </c:extLst>
        </c:ser>
        <c:ser>
          <c:idx val="1"/>
          <c:order val="1"/>
          <c:tx>
            <c:strRef>
              <c:f>Inputs!$B$21</c:f>
              <c:strCache>
                <c:ptCount val="1"/>
                <c:pt idx="0">
                  <c:v>VITAL FARMS INC</c:v>
                </c:pt>
              </c:strCache>
            </c:strRef>
          </c:tx>
          <c:spPr>
            <a:ln w="28575" cap="rnd">
              <a:solidFill>
                <a:schemeClr val="accent3"/>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Data'!$AG$5:$AG$159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7FCB-4865-8E32-ABAA033EDCFC}"/>
            </c:ext>
          </c:extLst>
        </c:ser>
        <c:ser>
          <c:idx val="2"/>
          <c:order val="2"/>
          <c:tx>
            <c:strRef>
              <c:f>Inputs!$B$22</c:f>
              <c:strCache>
                <c:ptCount val="1"/>
                <c:pt idx="0">
                  <c:v>POST HOLDINGS IN</c:v>
                </c:pt>
              </c:strCache>
            </c:strRef>
          </c:tx>
          <c:spPr>
            <a:ln w="28575" cap="rnd">
              <a:solidFill>
                <a:schemeClr val="accent5"/>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Data'!$AH$5:$AH$159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7FCB-4865-8E32-ABAA033EDCFC}"/>
            </c:ext>
          </c:extLst>
        </c:ser>
        <c:ser>
          <c:idx val="3"/>
          <c:order val="3"/>
          <c:tx>
            <c:strRef>
              <c:f>Inputs!$B$23</c:f>
              <c:strCache>
                <c:ptCount val="1"/>
                <c:pt idx="0">
                  <c:v>TYSON FOODS-A</c:v>
                </c:pt>
              </c:strCache>
            </c:strRef>
          </c:tx>
          <c:spPr>
            <a:ln w="28575" cap="rnd">
              <a:solidFill>
                <a:schemeClr val="accent1">
                  <a:lumMod val="60000"/>
                </a:schemeClr>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Data'!$AI$5:$AI$159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7FCB-4865-8E32-ABAA033EDCFC}"/>
            </c:ext>
          </c:extLst>
        </c:ser>
        <c:ser>
          <c:idx val="4"/>
          <c:order val="4"/>
          <c:tx>
            <c:strRef>
              <c:f>Inputs!$B$24</c:f>
              <c:strCache>
                <c:ptCount val="1"/>
                <c:pt idx="0">
                  <c:v>LAMB WESTON</c:v>
                </c:pt>
              </c:strCache>
            </c:strRef>
          </c:tx>
          <c:spPr>
            <a:ln w="28575" cap="rnd">
              <a:solidFill>
                <a:schemeClr val="accent3">
                  <a:lumMod val="60000"/>
                </a:schemeClr>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Data'!$AJ$5:$AJ$159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7FCB-4865-8E32-ABAA033EDCFC}"/>
            </c:ext>
          </c:extLst>
        </c:ser>
        <c:ser>
          <c:idx val="5"/>
          <c:order val="5"/>
          <c:tx>
            <c:strRef>
              <c:f>Inputs!$B$25</c:f>
              <c:strCache>
                <c:ptCount val="1"/>
                <c:pt idx="0">
                  <c:v>HORMEL FOODS CRP</c:v>
                </c:pt>
              </c:strCache>
            </c:strRef>
          </c:tx>
          <c:spPr>
            <a:ln w="28575" cap="rnd">
              <a:solidFill>
                <a:schemeClr val="accent5">
                  <a:lumMod val="60000"/>
                </a:schemeClr>
              </a:solidFill>
              <a:round/>
            </a:ln>
            <a:effectLst/>
          </c:spPr>
          <c:marker>
            <c:symbol val="none"/>
          </c:marker>
          <c:cat>
            <c:numRef>
              <c:f>'Stock Data'!$Q$5:$Q$159</c:f>
              <c:numCache>
                <c:formatCode>m/d/yyyy</c:formatCode>
                <c:ptCount val="155"/>
                <c:pt idx="0">
                  <c:v>45940</c:v>
                </c:pt>
                <c:pt idx="1">
                  <c:v>45933</c:v>
                </c:pt>
                <c:pt idx="2">
                  <c:v>45926</c:v>
                </c:pt>
                <c:pt idx="3">
                  <c:v>45919</c:v>
                </c:pt>
                <c:pt idx="4">
                  <c:v>45912</c:v>
                </c:pt>
                <c:pt idx="5">
                  <c:v>45905</c:v>
                </c:pt>
                <c:pt idx="6">
                  <c:v>45898</c:v>
                </c:pt>
                <c:pt idx="7">
                  <c:v>45891</c:v>
                </c:pt>
                <c:pt idx="8">
                  <c:v>45884</c:v>
                </c:pt>
                <c:pt idx="9">
                  <c:v>45877</c:v>
                </c:pt>
                <c:pt idx="10">
                  <c:v>45870</c:v>
                </c:pt>
                <c:pt idx="11">
                  <c:v>45863</c:v>
                </c:pt>
                <c:pt idx="12">
                  <c:v>45856</c:v>
                </c:pt>
                <c:pt idx="13">
                  <c:v>45849</c:v>
                </c:pt>
                <c:pt idx="14">
                  <c:v>45842</c:v>
                </c:pt>
                <c:pt idx="15">
                  <c:v>45835</c:v>
                </c:pt>
                <c:pt idx="16">
                  <c:v>45828</c:v>
                </c:pt>
                <c:pt idx="17">
                  <c:v>45821</c:v>
                </c:pt>
                <c:pt idx="18">
                  <c:v>45814</c:v>
                </c:pt>
                <c:pt idx="19">
                  <c:v>45807</c:v>
                </c:pt>
                <c:pt idx="20">
                  <c:v>45800</c:v>
                </c:pt>
                <c:pt idx="21">
                  <c:v>45793</c:v>
                </c:pt>
                <c:pt idx="22">
                  <c:v>45786</c:v>
                </c:pt>
                <c:pt idx="23">
                  <c:v>45779</c:v>
                </c:pt>
                <c:pt idx="24">
                  <c:v>45772</c:v>
                </c:pt>
                <c:pt idx="25">
                  <c:v>45765</c:v>
                </c:pt>
                <c:pt idx="26">
                  <c:v>45758</c:v>
                </c:pt>
                <c:pt idx="27">
                  <c:v>45751</c:v>
                </c:pt>
                <c:pt idx="28">
                  <c:v>45744</c:v>
                </c:pt>
                <c:pt idx="29">
                  <c:v>45737</c:v>
                </c:pt>
                <c:pt idx="30">
                  <c:v>45730</c:v>
                </c:pt>
                <c:pt idx="31">
                  <c:v>45723</c:v>
                </c:pt>
                <c:pt idx="32">
                  <c:v>45716</c:v>
                </c:pt>
                <c:pt idx="33">
                  <c:v>45709</c:v>
                </c:pt>
                <c:pt idx="34">
                  <c:v>45702</c:v>
                </c:pt>
                <c:pt idx="35">
                  <c:v>45695</c:v>
                </c:pt>
                <c:pt idx="36">
                  <c:v>45688</c:v>
                </c:pt>
                <c:pt idx="37">
                  <c:v>45681</c:v>
                </c:pt>
                <c:pt idx="38">
                  <c:v>45674</c:v>
                </c:pt>
                <c:pt idx="39">
                  <c:v>45667</c:v>
                </c:pt>
                <c:pt idx="40">
                  <c:v>45660</c:v>
                </c:pt>
                <c:pt idx="41">
                  <c:v>45653</c:v>
                </c:pt>
                <c:pt idx="42">
                  <c:v>45646</c:v>
                </c:pt>
                <c:pt idx="43">
                  <c:v>45639</c:v>
                </c:pt>
                <c:pt idx="44">
                  <c:v>45632</c:v>
                </c:pt>
                <c:pt idx="45">
                  <c:v>45625</c:v>
                </c:pt>
                <c:pt idx="46">
                  <c:v>45618</c:v>
                </c:pt>
                <c:pt idx="47">
                  <c:v>45611</c:v>
                </c:pt>
                <c:pt idx="48">
                  <c:v>45604</c:v>
                </c:pt>
                <c:pt idx="49">
                  <c:v>45597</c:v>
                </c:pt>
                <c:pt idx="50">
                  <c:v>45590</c:v>
                </c:pt>
                <c:pt idx="51">
                  <c:v>45583</c:v>
                </c:pt>
                <c:pt idx="52">
                  <c:v>45576</c:v>
                </c:pt>
                <c:pt idx="53">
                  <c:v>45569</c:v>
                </c:pt>
                <c:pt idx="54">
                  <c:v>45562</c:v>
                </c:pt>
                <c:pt idx="55">
                  <c:v>45555</c:v>
                </c:pt>
                <c:pt idx="56">
                  <c:v>45548</c:v>
                </c:pt>
                <c:pt idx="57">
                  <c:v>45541</c:v>
                </c:pt>
                <c:pt idx="58">
                  <c:v>45534</c:v>
                </c:pt>
                <c:pt idx="59">
                  <c:v>45527</c:v>
                </c:pt>
                <c:pt idx="60">
                  <c:v>45520</c:v>
                </c:pt>
                <c:pt idx="61">
                  <c:v>45513</c:v>
                </c:pt>
                <c:pt idx="62">
                  <c:v>45506</c:v>
                </c:pt>
                <c:pt idx="63">
                  <c:v>45499</c:v>
                </c:pt>
                <c:pt idx="64">
                  <c:v>45492</c:v>
                </c:pt>
                <c:pt idx="65">
                  <c:v>45485</c:v>
                </c:pt>
                <c:pt idx="66">
                  <c:v>45478</c:v>
                </c:pt>
                <c:pt idx="67">
                  <c:v>45471</c:v>
                </c:pt>
                <c:pt idx="68">
                  <c:v>45464</c:v>
                </c:pt>
                <c:pt idx="69">
                  <c:v>45457</c:v>
                </c:pt>
                <c:pt idx="70">
                  <c:v>45450</c:v>
                </c:pt>
                <c:pt idx="71">
                  <c:v>45443</c:v>
                </c:pt>
                <c:pt idx="72">
                  <c:v>45436</c:v>
                </c:pt>
                <c:pt idx="73">
                  <c:v>45429</c:v>
                </c:pt>
                <c:pt idx="74">
                  <c:v>45422</c:v>
                </c:pt>
                <c:pt idx="75">
                  <c:v>45415</c:v>
                </c:pt>
                <c:pt idx="76">
                  <c:v>45408</c:v>
                </c:pt>
                <c:pt idx="77">
                  <c:v>45401</c:v>
                </c:pt>
                <c:pt idx="78">
                  <c:v>45394</c:v>
                </c:pt>
                <c:pt idx="79">
                  <c:v>45387</c:v>
                </c:pt>
                <c:pt idx="80">
                  <c:v>45380</c:v>
                </c:pt>
                <c:pt idx="81">
                  <c:v>45373</c:v>
                </c:pt>
                <c:pt idx="82">
                  <c:v>45366</c:v>
                </c:pt>
                <c:pt idx="83">
                  <c:v>45359</c:v>
                </c:pt>
                <c:pt idx="84">
                  <c:v>45352</c:v>
                </c:pt>
                <c:pt idx="85">
                  <c:v>45345</c:v>
                </c:pt>
                <c:pt idx="86">
                  <c:v>45338</c:v>
                </c:pt>
                <c:pt idx="87">
                  <c:v>45331</c:v>
                </c:pt>
                <c:pt idx="88">
                  <c:v>45324</c:v>
                </c:pt>
                <c:pt idx="89">
                  <c:v>45317</c:v>
                </c:pt>
                <c:pt idx="90">
                  <c:v>45310</c:v>
                </c:pt>
                <c:pt idx="91">
                  <c:v>45303</c:v>
                </c:pt>
                <c:pt idx="92">
                  <c:v>45296</c:v>
                </c:pt>
                <c:pt idx="93">
                  <c:v>45289</c:v>
                </c:pt>
                <c:pt idx="94">
                  <c:v>45282</c:v>
                </c:pt>
                <c:pt idx="95">
                  <c:v>45275</c:v>
                </c:pt>
                <c:pt idx="96">
                  <c:v>45268</c:v>
                </c:pt>
                <c:pt idx="97">
                  <c:v>45261</c:v>
                </c:pt>
                <c:pt idx="98">
                  <c:v>45254</c:v>
                </c:pt>
                <c:pt idx="99">
                  <c:v>45247</c:v>
                </c:pt>
                <c:pt idx="100">
                  <c:v>45240</c:v>
                </c:pt>
                <c:pt idx="101">
                  <c:v>45233</c:v>
                </c:pt>
                <c:pt idx="102">
                  <c:v>45226</c:v>
                </c:pt>
                <c:pt idx="103">
                  <c:v>45219</c:v>
                </c:pt>
                <c:pt idx="104">
                  <c:v>45212</c:v>
                </c:pt>
                <c:pt idx="105">
                  <c:v>45205</c:v>
                </c:pt>
                <c:pt idx="106">
                  <c:v>45198</c:v>
                </c:pt>
                <c:pt idx="107">
                  <c:v>45191</c:v>
                </c:pt>
                <c:pt idx="108">
                  <c:v>45184</c:v>
                </c:pt>
                <c:pt idx="109">
                  <c:v>45177</c:v>
                </c:pt>
                <c:pt idx="110">
                  <c:v>45170</c:v>
                </c:pt>
                <c:pt idx="111">
                  <c:v>45163</c:v>
                </c:pt>
                <c:pt idx="112">
                  <c:v>45156</c:v>
                </c:pt>
                <c:pt idx="113">
                  <c:v>45149</c:v>
                </c:pt>
                <c:pt idx="114">
                  <c:v>45142</c:v>
                </c:pt>
                <c:pt idx="115">
                  <c:v>45135</c:v>
                </c:pt>
                <c:pt idx="116">
                  <c:v>45128</c:v>
                </c:pt>
                <c:pt idx="117">
                  <c:v>45121</c:v>
                </c:pt>
                <c:pt idx="118">
                  <c:v>45114</c:v>
                </c:pt>
                <c:pt idx="119">
                  <c:v>45107</c:v>
                </c:pt>
                <c:pt idx="120">
                  <c:v>45100</c:v>
                </c:pt>
                <c:pt idx="121">
                  <c:v>45093</c:v>
                </c:pt>
                <c:pt idx="122">
                  <c:v>45086</c:v>
                </c:pt>
                <c:pt idx="123">
                  <c:v>45079</c:v>
                </c:pt>
                <c:pt idx="124">
                  <c:v>45072</c:v>
                </c:pt>
                <c:pt idx="125">
                  <c:v>45065</c:v>
                </c:pt>
                <c:pt idx="126">
                  <c:v>45058</c:v>
                </c:pt>
                <c:pt idx="127">
                  <c:v>45051</c:v>
                </c:pt>
                <c:pt idx="128">
                  <c:v>45044</c:v>
                </c:pt>
                <c:pt idx="129">
                  <c:v>45037</c:v>
                </c:pt>
                <c:pt idx="130">
                  <c:v>45030</c:v>
                </c:pt>
                <c:pt idx="131">
                  <c:v>45023</c:v>
                </c:pt>
                <c:pt idx="132">
                  <c:v>45016</c:v>
                </c:pt>
                <c:pt idx="133">
                  <c:v>45009</c:v>
                </c:pt>
                <c:pt idx="134">
                  <c:v>45002</c:v>
                </c:pt>
                <c:pt idx="135">
                  <c:v>44995</c:v>
                </c:pt>
                <c:pt idx="136">
                  <c:v>44988</c:v>
                </c:pt>
                <c:pt idx="137">
                  <c:v>44981</c:v>
                </c:pt>
                <c:pt idx="138">
                  <c:v>44974</c:v>
                </c:pt>
                <c:pt idx="139">
                  <c:v>44967</c:v>
                </c:pt>
                <c:pt idx="140">
                  <c:v>44960</c:v>
                </c:pt>
                <c:pt idx="141">
                  <c:v>44953</c:v>
                </c:pt>
                <c:pt idx="142">
                  <c:v>44946</c:v>
                </c:pt>
                <c:pt idx="143">
                  <c:v>44939</c:v>
                </c:pt>
                <c:pt idx="144">
                  <c:v>44932</c:v>
                </c:pt>
                <c:pt idx="145">
                  <c:v>44925</c:v>
                </c:pt>
                <c:pt idx="146">
                  <c:v>44918</c:v>
                </c:pt>
                <c:pt idx="147">
                  <c:v>44911</c:v>
                </c:pt>
                <c:pt idx="148">
                  <c:v>44904</c:v>
                </c:pt>
                <c:pt idx="149">
                  <c:v>44897</c:v>
                </c:pt>
                <c:pt idx="150">
                  <c:v>44890</c:v>
                </c:pt>
                <c:pt idx="151">
                  <c:v>44883</c:v>
                </c:pt>
                <c:pt idx="152">
                  <c:v>44876</c:v>
                </c:pt>
                <c:pt idx="153">
                  <c:v>44869</c:v>
                </c:pt>
                <c:pt idx="154">
                  <c:v>44862</c:v>
                </c:pt>
              </c:numCache>
            </c:numRef>
          </c:cat>
          <c:val>
            <c:numRef>
              <c:f>'Stock Data'!$AK$5:$AK$159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7FCB-4865-8E32-ABAA033EDCFC}"/>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59376"/>
        <c:crosses val="autoZero"/>
        <c:crossBetween val="between"/>
      </c:valAx>
      <c:spPr>
        <a:noFill/>
        <a:ln>
          <a:noFill/>
        </a:ln>
        <a:effectLst/>
      </c:spPr>
    </c:plotArea>
    <c:legend>
      <c:legendPos val="b"/>
      <c:layout>
        <c:manualLayout>
          <c:xMode val="edge"/>
          <c:yMode val="edge"/>
          <c:x val="0"/>
          <c:y val="0.86841770168981003"/>
          <c:w val="1"/>
          <c:h val="0.114130882867565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chart" Target="../charts/chart5.xml"/><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 Id="rId22"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8.xml"/><Relationship Id="rId16" Type="http://schemas.openxmlformats.org/officeDocument/2006/relationships/hyperlink" Target="#BS!A1"/><Relationship Id="rId1" Type="http://schemas.openxmlformats.org/officeDocument/2006/relationships/chart" Target="../charts/chart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4.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11.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10.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12.xml"/><Relationship Id="rId9" Type="http://schemas.openxmlformats.org/officeDocument/2006/relationships/hyperlink" Target="#Industry!A1"/><Relationship Id="rId14" Type="http://schemas.openxmlformats.org/officeDocument/2006/relationships/hyperlink" Target="#WACC!A1"/><Relationship Id="rId22"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7.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4.xml"/><Relationship Id="rId16" Type="http://schemas.openxmlformats.org/officeDocument/2006/relationships/hyperlink" Target="#BS!A1"/><Relationship Id="rId1" Type="http://schemas.openxmlformats.org/officeDocument/2006/relationships/chart" Target="../charts/chart13.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8.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1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2.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8.xml"/><Relationship Id="rId16" Type="http://schemas.openxmlformats.org/officeDocument/2006/relationships/hyperlink" Target="#BS!A1"/><Relationship Id="rId1" Type="http://schemas.openxmlformats.org/officeDocument/2006/relationships/chart" Target="../charts/chart1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64">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#VALUE!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15" name="Rounded Rectangle 14">
          <a:extLst>
            <a:ext uri="{FF2B5EF4-FFF2-40B4-BE49-F238E27FC236}">
              <a16:creationId xmlns:a16="http://schemas.microsoft.com/office/drawing/2014/main" id="{00000000-0008-0000-0000-00000F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34"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17</xdr:col>
      <xdr:colOff>164139</xdr:colOff>
      <xdr:row>7</xdr:row>
      <xdr:rowOff>171451</xdr:rowOff>
    </xdr:from>
    <xdr:to>
      <xdr:col>24</xdr:col>
      <xdr:colOff>624729</xdr:colOff>
      <xdr:row>34</xdr:row>
      <xdr:rowOff>55471</xdr:rowOff>
    </xdr:to>
    <xdr:graphicFrame macro="">
      <xdr:nvGraphicFramePr>
        <xdr:cNvPr id="31" name="Chart 30">
          <a:extLst>
            <a:ext uri="{FF2B5EF4-FFF2-40B4-BE49-F238E27FC236}">
              <a16:creationId xmlns:a16="http://schemas.microsoft.com/office/drawing/2014/main" id="{F3A1A598-F56B-435F-B2BA-82065D656D30}"/>
            </a:ext>
            <a:ext uri="{147F2762-F138-4A5C-976F-8EAC2B608ADB}">
              <a16:predDERef xmlns:a16="http://schemas.microsoft.com/office/drawing/2014/main" pred="{CDDB93CD-33C0-40F6-8B5D-2ED251111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162">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#VALUE!</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2"/>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26</xdr:row>
      <xdr:rowOff>9525</xdr:rowOff>
    </xdr:from>
    <xdr:to>
      <xdr:col>19</xdr:col>
      <xdr:colOff>200025</xdr:colOff>
      <xdr:row>29</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22</xdr:row>
      <xdr:rowOff>8283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8"/>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9"/>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952500</xdr:colOff>
      <xdr:row>62</xdr:row>
      <xdr:rowOff>38100</xdr:rowOff>
    </xdr:from>
    <xdr:to>
      <xdr:col>3</xdr:col>
      <xdr:colOff>504825</xdr:colOff>
      <xdr:row>69</xdr:row>
      <xdr:rowOff>0</xdr:rowOff>
    </xdr:to>
    <xdr:pic>
      <xdr:nvPicPr>
        <xdr:cNvPr id="6" name="Picture 5">
          <a:extLst>
            <a:ext uri="{FF2B5EF4-FFF2-40B4-BE49-F238E27FC236}">
              <a16:creationId xmlns:a16="http://schemas.microsoft.com/office/drawing/2014/main" id="{4D6022E9-4DB2-C26B-C4F0-45E19A11BFE8}"/>
            </a:ext>
            <a:ext uri="{147F2762-F138-4A5C-976F-8EAC2B608ADB}">
              <a16:predDERef xmlns:a16="http://schemas.microsoft.com/office/drawing/2014/main" pred="{46F2A12C-3138-4B40-B951-424003454913}"/>
            </a:ext>
          </a:extLst>
        </xdr:cNvPr>
        <xdr:cNvPicPr>
          <a:picLocks noChangeAspect="1"/>
        </xdr:cNvPicPr>
      </xdr:nvPicPr>
      <xdr:blipFill>
        <a:blip xmlns:r="http://schemas.openxmlformats.org/officeDocument/2006/relationships" r:embed="rId22"/>
        <a:stretch>
          <a:fillRect/>
        </a:stretch>
      </xdr:blipFill>
      <xdr:spPr>
        <a:xfrm>
          <a:off x="1104900" y="10982325"/>
          <a:ext cx="2590800" cy="1295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14"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42</xdr:col>
      <xdr:colOff>35378</xdr:colOff>
      <xdr:row>39</xdr:row>
      <xdr:rowOff>47625</xdr:rowOff>
    </xdr:from>
    <xdr:to>
      <xdr:col>50</xdr:col>
      <xdr:colOff>578303</xdr:colOff>
      <xdr:row>57</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35</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19052</xdr:colOff>
      <xdr:row>31</xdr:row>
      <xdr:rowOff>95251</xdr:rowOff>
    </xdr:from>
    <xdr:to>
      <xdr:col>9</xdr:col>
      <xdr:colOff>571501</xdr:colOff>
      <xdr:row>54</xdr:row>
      <xdr:rowOff>17318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573727</xdr:colOff>
      <xdr:row>31</xdr:row>
      <xdr:rowOff>55914</xdr:rowOff>
    </xdr:from>
    <xdr:to>
      <xdr:col>20</xdr:col>
      <xdr:colOff>612321</xdr:colOff>
      <xdr:row>55</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raul.vasconcelos@aln.iseg.ulisboa.pt" TargetMode="External"/><Relationship Id="rId7" Type="http://schemas.openxmlformats.org/officeDocument/2006/relationships/hyperlink" Target="mailto:l61952@aln.iseg.ulisboa.pt" TargetMode="External"/><Relationship Id="rId2" Type="http://schemas.openxmlformats.org/officeDocument/2006/relationships/hyperlink" Target="mailto:raul.vasconcelos@aln.iseg.ulisboa.pt" TargetMode="External"/><Relationship Id="rId1" Type="http://schemas.openxmlformats.org/officeDocument/2006/relationships/hyperlink" Target="mailto:lis@iseg.ulisboa.pt" TargetMode="External"/><Relationship Id="rId6" Type="http://schemas.openxmlformats.org/officeDocument/2006/relationships/hyperlink" Target="mailto:raul.vasconcelos@aln.iseg.ulisboa.pt" TargetMode="External"/><Relationship Id="rId5" Type="http://schemas.openxmlformats.org/officeDocument/2006/relationships/hyperlink" Target="mailto:raul.vasconcelos@aln.iseg.ulisboa.pt" TargetMode="External"/><Relationship Id="rId4" Type="http://schemas.openxmlformats.org/officeDocument/2006/relationships/hyperlink" Target="mailto:raul.vasconcelos@aln.iseg.ulisboa.pt"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calmainefoods.com/annual-reports" TargetMode="External"/><Relationship Id="rId1" Type="http://schemas.openxmlformats.org/officeDocument/2006/relationships/hyperlink" Target="https://www.calmainefoods.com/report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AL558"/>
  <sheetViews>
    <sheetView showGridLines="0" topLeftCell="W16" zoomScale="54" zoomScaleNormal="145" workbookViewId="0">
      <selection activeCell="AL51" sqref="AL51"/>
    </sheetView>
  </sheetViews>
  <sheetFormatPr defaultColWidth="9" defaultRowHeight="15" customHeight="1"/>
  <cols>
    <col min="1" max="2" width="9" style="581"/>
    <col min="3" max="5" width="10.125" style="581" bestFit="1" customWidth="1"/>
    <col min="6" max="16384" width="9" style="581"/>
  </cols>
  <sheetData>
    <row r="1" s="576" customFormat="1" ht="15" customHeight="1"/>
    <row r="2" s="576" customFormat="1" ht="15" customHeight="1"/>
    <row r="3" s="576" customFormat="1" ht="15" customHeight="1"/>
    <row r="4" s="576" customFormat="1" ht="15" customHeight="1"/>
    <row r="5" s="581" customFormat="1" ht="3.95" customHeight="1"/>
    <row r="6" s="581" customFormat="1" ht="15" customHeight="1"/>
    <row r="51" spans="37:38" ht="15" customHeight="1">
      <c r="AK51" s="581" t="s">
        <v>0</v>
      </c>
      <c r="AL51" s="581" t="s">
        <v>0</v>
      </c>
    </row>
    <row r="101" spans="3:3" ht="15" customHeight="1">
      <c r="C101" s="609"/>
    </row>
    <row r="102" spans="3:3" ht="15" customHeight="1">
      <c r="C102" s="609"/>
    </row>
    <row r="103" spans="3:3" ht="15" customHeight="1">
      <c r="C103" s="609"/>
    </row>
    <row r="104" spans="3:3" ht="15" customHeight="1">
      <c r="C104" s="609"/>
    </row>
    <row r="105" spans="3:3" ht="15" customHeight="1">
      <c r="C105" s="609"/>
    </row>
    <row r="106" spans="3:3" ht="15" customHeight="1">
      <c r="C106" s="609"/>
    </row>
    <row r="107" spans="3:3" ht="15" customHeight="1">
      <c r="C107" s="609"/>
    </row>
    <row r="108" spans="3:3" ht="15" customHeight="1">
      <c r="C108" s="609"/>
    </row>
    <row r="109" spans="3:3" ht="15" customHeight="1">
      <c r="C109" s="609"/>
    </row>
    <row r="110" spans="3:3" ht="15" customHeight="1">
      <c r="C110" s="609"/>
    </row>
    <row r="111" spans="3:3" ht="15" customHeight="1">
      <c r="C111" s="609"/>
    </row>
    <row r="112" spans="3:3" ht="15" customHeight="1">
      <c r="C112" s="609"/>
    </row>
    <row r="113" spans="3:3" ht="15" customHeight="1">
      <c r="C113" s="609"/>
    </row>
    <row r="114" spans="3:3" ht="15" customHeight="1">
      <c r="C114" s="609"/>
    </row>
    <row r="115" spans="3:3" ht="15" customHeight="1">
      <c r="C115" s="609"/>
    </row>
    <row r="116" spans="3:3" ht="15" customHeight="1">
      <c r="C116" s="609"/>
    </row>
    <row r="117" spans="3:3" ht="15" customHeight="1">
      <c r="C117" s="609"/>
    </row>
    <row r="118" spans="3:3" ht="15" customHeight="1">
      <c r="C118" s="609"/>
    </row>
    <row r="119" spans="3:3" ht="15" customHeight="1">
      <c r="C119" s="609"/>
    </row>
    <row r="120" spans="3:3" ht="15" customHeight="1">
      <c r="C120" s="609"/>
    </row>
    <row r="121" spans="3:3" ht="15" customHeight="1">
      <c r="C121" s="609"/>
    </row>
    <row r="122" spans="3:3" ht="15" customHeight="1">
      <c r="C122" s="609"/>
    </row>
    <row r="123" spans="3:3" ht="15" customHeight="1">
      <c r="C123" s="609"/>
    </row>
    <row r="124" spans="3:3" ht="15" customHeight="1">
      <c r="C124" s="609"/>
    </row>
    <row r="125" spans="3:3" ht="15" customHeight="1">
      <c r="C125" s="609"/>
    </row>
    <row r="126" spans="3:3" ht="15" customHeight="1">
      <c r="C126" s="609"/>
    </row>
    <row r="127" spans="3:3" ht="15" customHeight="1">
      <c r="C127" s="609"/>
    </row>
    <row r="128" spans="3:3" ht="15" customHeight="1">
      <c r="C128" s="609"/>
    </row>
    <row r="129" spans="3:3" ht="15" customHeight="1">
      <c r="C129" s="609"/>
    </row>
    <row r="130" spans="3:3" ht="15" customHeight="1">
      <c r="C130" s="609"/>
    </row>
    <row r="131" spans="3:3" ht="15" customHeight="1">
      <c r="C131" s="609"/>
    </row>
    <row r="132" spans="3:3" ht="15" customHeight="1">
      <c r="C132" s="609"/>
    </row>
    <row r="133" spans="3:3" ht="15" customHeight="1">
      <c r="C133" s="609"/>
    </row>
    <row r="134" spans="3:3" ht="15" customHeight="1">
      <c r="C134" s="609"/>
    </row>
    <row r="135" spans="3:3" ht="15" customHeight="1">
      <c r="C135" s="609"/>
    </row>
    <row r="136" spans="3:3" ht="15" customHeight="1">
      <c r="C136" s="609"/>
    </row>
    <row r="137" spans="3:3" ht="15" customHeight="1">
      <c r="C137" s="609"/>
    </row>
    <row r="138" spans="3:3" ht="15" customHeight="1">
      <c r="C138" s="609"/>
    </row>
    <row r="139" spans="3:3" ht="15" customHeight="1">
      <c r="C139" s="609"/>
    </row>
    <row r="140" spans="3:3" ht="15" customHeight="1">
      <c r="C140" s="609"/>
    </row>
    <row r="141" spans="3:3" ht="15" customHeight="1">
      <c r="C141" s="609"/>
    </row>
    <row r="142" spans="3:3" ht="15" customHeight="1">
      <c r="C142" s="609"/>
    </row>
    <row r="143" spans="3:3" ht="15" customHeight="1">
      <c r="C143" s="609"/>
    </row>
    <row r="144" spans="3:3" ht="15" customHeight="1">
      <c r="C144" s="609"/>
    </row>
    <row r="145" spans="3:12" ht="15" customHeight="1">
      <c r="C145" s="609"/>
    </row>
    <row r="146" spans="3:12" ht="15" customHeight="1">
      <c r="C146" s="609"/>
    </row>
    <row r="147" spans="3:12" ht="15" customHeight="1">
      <c r="C147" s="609"/>
    </row>
    <row r="148" spans="3:12" ht="15" customHeight="1">
      <c r="C148" s="609"/>
    </row>
    <row r="149" spans="3:12" ht="15" customHeight="1">
      <c r="C149" s="609"/>
    </row>
    <row r="150" spans="3:12" ht="15" customHeight="1">
      <c r="C150" s="609"/>
    </row>
    <row r="151" spans="3:12" ht="15" customHeight="1">
      <c r="C151" s="609"/>
    </row>
    <row r="152" spans="3:12" ht="15" customHeight="1">
      <c r="C152" s="609"/>
    </row>
    <row r="153" spans="3:12" ht="15" customHeight="1">
      <c r="C153" s="609"/>
    </row>
    <row r="154" spans="3:12" ht="15" customHeight="1">
      <c r="C154" s="609">
        <f t="shared" ref="C154:C164" ca="1" si="0">+C155+1</f>
        <v>45979</v>
      </c>
    </row>
    <row r="155" spans="3:12" ht="15" customHeight="1">
      <c r="C155" s="609">
        <f t="shared" ca="1" si="0"/>
        <v>45978</v>
      </c>
    </row>
    <row r="156" spans="3:12" ht="15" customHeight="1">
      <c r="C156" s="609">
        <f t="shared" ca="1" si="0"/>
        <v>45977</v>
      </c>
    </row>
    <row r="157" spans="3:12" ht="15" customHeight="1">
      <c r="C157" s="609">
        <f t="shared" ca="1" si="0"/>
        <v>45976</v>
      </c>
    </row>
    <row r="158" spans="3:12" ht="15" customHeight="1">
      <c r="C158" s="609">
        <f t="shared" ca="1" si="0"/>
        <v>45975</v>
      </c>
    </row>
    <row r="159" spans="3:12" ht="15" customHeight="1">
      <c r="C159" s="609">
        <f t="shared" ca="1" si="0"/>
        <v>45974</v>
      </c>
    </row>
    <row r="160" spans="3:12" ht="15" customHeight="1">
      <c r="C160" s="609">
        <f t="shared" ca="1" si="0"/>
        <v>45973</v>
      </c>
      <c r="L160" s="581" t="e">
        <f ca="1">IF(FCFF!$R$157="Revenue Exit",FCFF!$AF$169,IF(FCFF!$R$157="EBITDA Exit",FCFF!Z169,FCFF!AL169))</f>
        <v>#VALUE!</v>
      </c>
    </row>
    <row r="161" spans="3:5" ht="15" customHeight="1">
      <c r="C161" s="609">
        <f t="shared" ca="1" si="0"/>
        <v>45972</v>
      </c>
    </row>
    <row r="162" spans="3:5" ht="15" customHeight="1">
      <c r="C162" s="609">
        <f t="shared" ca="1" si="0"/>
        <v>45971</v>
      </c>
      <c r="E162" s="581" t="e">
        <f ca="1">IF(FCFF!$R$157="Revenue Exit",FCFF!$AF$169,IF(FCFF!$R$157="EBITDA Exit",FCFF!Z169,FCFF!AL169))</f>
        <v>#VALUE!</v>
      </c>
    </row>
    <row r="163" spans="3:5" ht="15" customHeight="1">
      <c r="C163" s="609">
        <f t="shared" ca="1" si="0"/>
        <v>45970</v>
      </c>
      <c r="E163" s="581" t="e">
        <f t="shared" ref="E163:E192" ca="1" si="1">E164+($E$162-$E$193)/COUNTA($C$162:$C$192)</f>
        <v>#VALUE!</v>
      </c>
    </row>
    <row r="164" spans="3:5" ht="15" customHeight="1">
      <c r="C164" s="609">
        <f t="shared" ca="1" si="0"/>
        <v>45969</v>
      </c>
      <c r="E164" s="581" t="e">
        <f t="shared" ca="1" si="1"/>
        <v>#VALUE!</v>
      </c>
    </row>
    <row r="165" spans="3:5" ht="15" customHeight="1">
      <c r="C165" s="609">
        <f t="shared" ref="C165:C191" ca="1" si="2">+C166+1</f>
        <v>45968</v>
      </c>
      <c r="E165" s="581" t="e">
        <f t="shared" ca="1" si="1"/>
        <v>#VALUE!</v>
      </c>
    </row>
    <row r="166" spans="3:5" ht="15" customHeight="1">
      <c r="C166" s="609">
        <f t="shared" ca="1" si="2"/>
        <v>45967</v>
      </c>
      <c r="E166" s="581" t="e">
        <f t="shared" ca="1" si="1"/>
        <v>#VALUE!</v>
      </c>
    </row>
    <row r="167" spans="3:5" ht="15" customHeight="1">
      <c r="C167" s="609">
        <f t="shared" ca="1" si="2"/>
        <v>45966</v>
      </c>
      <c r="E167" s="581" t="e">
        <f t="shared" ca="1" si="1"/>
        <v>#VALUE!</v>
      </c>
    </row>
    <row r="168" spans="3:5" ht="15" customHeight="1">
      <c r="C168" s="609">
        <f t="shared" ca="1" si="2"/>
        <v>45965</v>
      </c>
      <c r="E168" s="581" t="e">
        <f t="shared" ca="1" si="1"/>
        <v>#VALUE!</v>
      </c>
    </row>
    <row r="169" spans="3:5" ht="15" customHeight="1">
      <c r="C169" s="609">
        <f t="shared" ca="1" si="2"/>
        <v>45964</v>
      </c>
      <c r="E169" s="581" t="e">
        <f t="shared" ca="1" si="1"/>
        <v>#VALUE!</v>
      </c>
    </row>
    <row r="170" spans="3:5" ht="15" customHeight="1">
      <c r="C170" s="609">
        <f t="shared" ca="1" si="2"/>
        <v>45963</v>
      </c>
      <c r="E170" s="581" t="e">
        <f t="shared" ca="1" si="1"/>
        <v>#VALUE!</v>
      </c>
    </row>
    <row r="171" spans="3:5" ht="15" customHeight="1">
      <c r="C171" s="609">
        <f t="shared" ca="1" si="2"/>
        <v>45962</v>
      </c>
      <c r="E171" s="581" t="e">
        <f t="shared" ca="1" si="1"/>
        <v>#VALUE!</v>
      </c>
    </row>
    <row r="172" spans="3:5" ht="15" customHeight="1">
      <c r="C172" s="609">
        <f t="shared" ca="1" si="2"/>
        <v>45961</v>
      </c>
      <c r="E172" s="581" t="e">
        <f t="shared" ca="1" si="1"/>
        <v>#VALUE!</v>
      </c>
    </row>
    <row r="173" spans="3:5" ht="15" customHeight="1">
      <c r="C173" s="609">
        <f t="shared" ca="1" si="2"/>
        <v>45960</v>
      </c>
      <c r="E173" s="581" t="e">
        <f t="shared" ca="1" si="1"/>
        <v>#VALUE!</v>
      </c>
    </row>
    <row r="174" spans="3:5" ht="15" customHeight="1">
      <c r="C174" s="609">
        <f t="shared" ca="1" si="2"/>
        <v>45959</v>
      </c>
      <c r="E174" s="581" t="e">
        <f t="shared" ca="1" si="1"/>
        <v>#VALUE!</v>
      </c>
    </row>
    <row r="175" spans="3:5" ht="15" customHeight="1">
      <c r="C175" s="609">
        <f t="shared" ca="1" si="2"/>
        <v>45958</v>
      </c>
      <c r="E175" s="581" t="e">
        <f t="shared" ca="1" si="1"/>
        <v>#VALUE!</v>
      </c>
    </row>
    <row r="176" spans="3:5" ht="15" customHeight="1">
      <c r="C176" s="609">
        <f t="shared" ca="1" si="2"/>
        <v>45957</v>
      </c>
      <c r="E176" s="581" t="e">
        <f t="shared" ca="1" si="1"/>
        <v>#VALUE!</v>
      </c>
    </row>
    <row r="177" spans="3:5" ht="15" customHeight="1">
      <c r="C177" s="609">
        <f t="shared" ca="1" si="2"/>
        <v>45956</v>
      </c>
      <c r="E177" s="581" t="e">
        <f t="shared" ca="1" si="1"/>
        <v>#VALUE!</v>
      </c>
    </row>
    <row r="178" spans="3:5" ht="15" customHeight="1">
      <c r="C178" s="609">
        <f t="shared" ca="1" si="2"/>
        <v>45955</v>
      </c>
      <c r="E178" s="581" t="e">
        <f t="shared" ca="1" si="1"/>
        <v>#VALUE!</v>
      </c>
    </row>
    <row r="179" spans="3:5" ht="15" customHeight="1">
      <c r="C179" s="609">
        <f t="shared" ca="1" si="2"/>
        <v>45954</v>
      </c>
      <c r="E179" s="581" t="e">
        <f t="shared" ca="1" si="1"/>
        <v>#VALUE!</v>
      </c>
    </row>
    <row r="180" spans="3:5" ht="15" customHeight="1">
      <c r="C180" s="609">
        <f t="shared" ca="1" si="2"/>
        <v>45953</v>
      </c>
      <c r="E180" s="581" t="e">
        <f t="shared" ca="1" si="1"/>
        <v>#VALUE!</v>
      </c>
    </row>
    <row r="181" spans="3:5" ht="15" customHeight="1">
      <c r="C181" s="609">
        <f t="shared" ca="1" si="2"/>
        <v>45952</v>
      </c>
      <c r="E181" s="581" t="e">
        <f t="shared" ca="1" si="1"/>
        <v>#VALUE!</v>
      </c>
    </row>
    <row r="182" spans="3:5" ht="15" customHeight="1">
      <c r="C182" s="609">
        <f t="shared" ca="1" si="2"/>
        <v>45951</v>
      </c>
      <c r="E182" s="581" t="e">
        <f t="shared" ca="1" si="1"/>
        <v>#VALUE!</v>
      </c>
    </row>
    <row r="183" spans="3:5" ht="15" customHeight="1">
      <c r="C183" s="609">
        <f t="shared" ca="1" si="2"/>
        <v>45950</v>
      </c>
      <c r="E183" s="581" t="e">
        <f t="shared" ca="1" si="1"/>
        <v>#VALUE!</v>
      </c>
    </row>
    <row r="184" spans="3:5" ht="15" customHeight="1">
      <c r="C184" s="609">
        <f t="shared" ca="1" si="2"/>
        <v>45949</v>
      </c>
      <c r="E184" s="581" t="e">
        <f t="shared" ca="1" si="1"/>
        <v>#VALUE!</v>
      </c>
    </row>
    <row r="185" spans="3:5" ht="15" customHeight="1">
      <c r="C185" s="609">
        <f t="shared" ca="1" si="2"/>
        <v>45948</v>
      </c>
      <c r="E185" s="581" t="e">
        <f t="shared" ca="1" si="1"/>
        <v>#VALUE!</v>
      </c>
    </row>
    <row r="186" spans="3:5" ht="15" customHeight="1">
      <c r="C186" s="609">
        <f t="shared" ca="1" si="2"/>
        <v>45947</v>
      </c>
      <c r="E186" s="581" t="e">
        <f t="shared" ca="1" si="1"/>
        <v>#VALUE!</v>
      </c>
    </row>
    <row r="187" spans="3:5" ht="15" customHeight="1">
      <c r="C187" s="609">
        <f t="shared" ca="1" si="2"/>
        <v>45946</v>
      </c>
      <c r="E187" s="581" t="e">
        <f t="shared" ca="1" si="1"/>
        <v>#VALUE!</v>
      </c>
    </row>
    <row r="188" spans="3:5" ht="15" customHeight="1">
      <c r="C188" s="609">
        <f t="shared" ca="1" si="2"/>
        <v>45945</v>
      </c>
      <c r="E188" s="581" t="e">
        <f t="shared" ca="1" si="1"/>
        <v>#VALUE!</v>
      </c>
    </row>
    <row r="189" spans="3:5" ht="15" customHeight="1">
      <c r="C189" s="609">
        <f t="shared" ca="1" si="2"/>
        <v>45944</v>
      </c>
      <c r="E189" s="581" t="e">
        <f t="shared" ca="1" si="1"/>
        <v>#VALUE!</v>
      </c>
    </row>
    <row r="190" spans="3:5" ht="15" customHeight="1">
      <c r="C190" s="609">
        <f t="shared" ca="1" si="2"/>
        <v>45943</v>
      </c>
      <c r="E190" s="581" t="e">
        <f t="shared" ca="1" si="1"/>
        <v>#VALUE!</v>
      </c>
    </row>
    <row r="191" spans="3:5" ht="15" customHeight="1">
      <c r="C191" s="609">
        <f t="shared" ca="1" si="2"/>
        <v>45942</v>
      </c>
      <c r="E191" s="581" t="e">
        <f t="shared" ca="1" si="1"/>
        <v>#VALUE!</v>
      </c>
    </row>
    <row r="192" spans="3:5" ht="15" customHeight="1">
      <c r="C192" s="609">
        <f ca="1">+C193+1</f>
        <v>45941</v>
      </c>
      <c r="E192" s="581" t="e">
        <f t="shared" ca="1" si="1"/>
        <v>#VALUE!</v>
      </c>
    </row>
    <row r="193" spans="2:5" ht="15" customHeight="1">
      <c r="B193" s="581" t="s">
        <v>1</v>
      </c>
      <c r="C193" s="608">
        <f ca="1">+'Stock Data'!AM4</f>
        <v>45940</v>
      </c>
      <c r="D193" s="581">
        <f ca="1">_xlfn.XLOOKUP(C193,'Stock Data'!$AM$4:$AM$1051,'Stock Data'!$AN$4:$AN$1051)</f>
        <v>111.54</v>
      </c>
      <c r="E193" s="581">
        <f ca="1">D193</f>
        <v>111.54</v>
      </c>
    </row>
    <row r="194" spans="2:5" ht="15" customHeight="1">
      <c r="C194" s="608">
        <f ca="1">+'Stock Data'!AM5</f>
        <v>45939</v>
      </c>
      <c r="D194" s="581">
        <f ca="1">_xlfn.XLOOKUP(C194,'Stock Data'!$AM$4:$AM$1051,'Stock Data'!$AN$4:$AN$1051)</f>
        <v>111.54</v>
      </c>
    </row>
    <row r="195" spans="2:5" ht="15" customHeight="1">
      <c r="C195" s="608">
        <f ca="1">+'Stock Data'!AM6</f>
        <v>45938</v>
      </c>
      <c r="D195" s="581">
        <f ca="1">_xlfn.XLOOKUP(C195,'Stock Data'!$AM$4:$AM$1051,'Stock Data'!$AN$4:$AN$1051)</f>
        <v>113.83</v>
      </c>
    </row>
    <row r="196" spans="2:5" ht="15" customHeight="1">
      <c r="C196" s="608">
        <f ca="1">+'Stock Data'!AM7</f>
        <v>45937</v>
      </c>
      <c r="D196" s="581">
        <f ca="1">_xlfn.XLOOKUP(C196,'Stock Data'!$AM$4:$AM$1051,'Stock Data'!$AN$4:$AN$1051)</f>
        <v>113.83</v>
      </c>
    </row>
    <row r="197" spans="2:5" ht="15" customHeight="1">
      <c r="C197" s="608">
        <f ca="1">+'Stock Data'!AM8</f>
        <v>45936</v>
      </c>
      <c r="D197" s="581">
        <f ca="1">_xlfn.XLOOKUP(C197,'Stock Data'!$AM$4:$AM$1051,'Stock Data'!$AN$4:$AN$1051)</f>
        <v>113.83</v>
      </c>
    </row>
    <row r="198" spans="2:5" ht="15" customHeight="1">
      <c r="C198" s="608">
        <f ca="1">+'Stock Data'!AM9</f>
        <v>45935</v>
      </c>
      <c r="D198" s="581">
        <f ca="1">_xlfn.XLOOKUP(C198,'Stock Data'!$AM$4:$AM$1051,'Stock Data'!$AN$4:$AN$1051)</f>
        <v>113.07</v>
      </c>
    </row>
    <row r="199" spans="2:5" ht="15" customHeight="1">
      <c r="C199" s="608">
        <f ca="1">+'Stock Data'!AM10</f>
        <v>45934</v>
      </c>
      <c r="D199" s="581">
        <f ca="1">_xlfn.XLOOKUP(C199,'Stock Data'!$AM$4:$AM$1051,'Stock Data'!$AN$4:$AN$1051)</f>
        <v>110.6</v>
      </c>
    </row>
    <row r="200" spans="2:5" ht="15" customHeight="1">
      <c r="C200" s="608">
        <f ca="1">+'Stock Data'!AM11</f>
        <v>45933</v>
      </c>
      <c r="D200" s="581">
        <f ca="1">_xlfn.XLOOKUP(C200,'Stock Data'!$AM$4:$AM$1051,'Stock Data'!$AN$4:$AN$1051)</f>
        <v>116.01</v>
      </c>
    </row>
    <row r="201" spans="2:5" ht="15" customHeight="1">
      <c r="C201" s="608">
        <f ca="1">+'Stock Data'!AM12</f>
        <v>45932</v>
      </c>
      <c r="D201" s="581">
        <f ca="1">_xlfn.XLOOKUP(C201,'Stock Data'!$AM$4:$AM$1051,'Stock Data'!$AN$4:$AN$1051)</f>
        <v>115.64</v>
      </c>
    </row>
    <row r="202" spans="2:5" ht="15" customHeight="1">
      <c r="C202" s="608">
        <f ca="1">+'Stock Data'!AM13</f>
        <v>45931</v>
      </c>
      <c r="D202" s="581">
        <f ca="1">_xlfn.XLOOKUP(C202,'Stock Data'!$AM$4:$AM$1051,'Stock Data'!$AN$4:$AN$1051)</f>
        <v>115.64</v>
      </c>
    </row>
    <row r="203" spans="2:5" ht="15" customHeight="1">
      <c r="C203" s="608">
        <f ca="1">+'Stock Data'!AM14</f>
        <v>45930</v>
      </c>
      <c r="D203" s="581">
        <f ca="1">_xlfn.XLOOKUP(C203,'Stock Data'!$AM$4:$AM$1051,'Stock Data'!$AN$4:$AN$1051)</f>
        <v>115.64</v>
      </c>
    </row>
    <row r="204" spans="2:5" ht="15" customHeight="1">
      <c r="C204" s="608">
        <f ca="1">+'Stock Data'!AM15</f>
        <v>45929</v>
      </c>
      <c r="D204" s="581">
        <f ca="1">_xlfn.XLOOKUP(C204,'Stock Data'!$AM$4:$AM$1051,'Stock Data'!$AN$4:$AN$1051)</f>
        <v>115.64</v>
      </c>
    </row>
    <row r="205" spans="2:5" ht="15" customHeight="1">
      <c r="C205" s="608">
        <f ca="1">+'Stock Data'!AM16</f>
        <v>45928</v>
      </c>
      <c r="D205" s="581">
        <f ca="1">_xlfn.XLOOKUP(C205,'Stock Data'!$AM$4:$AM$1051,'Stock Data'!$AN$4:$AN$1051)</f>
        <v>115.4</v>
      </c>
    </row>
    <row r="206" spans="2:5" ht="15" customHeight="1">
      <c r="C206" s="608">
        <f ca="1">+'Stock Data'!AM17</f>
        <v>45927</v>
      </c>
      <c r="D206" s="581">
        <f ca="1">_xlfn.XLOOKUP(C206,'Stock Data'!$AM$4:$AM$1051,'Stock Data'!$AN$4:$AN$1051)</f>
        <v>116.8</v>
      </c>
    </row>
    <row r="207" spans="2:5" ht="15" customHeight="1">
      <c r="C207" s="608">
        <f ca="1">+'Stock Data'!AM18</f>
        <v>45926</v>
      </c>
      <c r="D207" s="581">
        <f ca="1">_xlfn.XLOOKUP(C207,'Stock Data'!$AM$4:$AM$1051,'Stock Data'!$AN$4:$AN$1051)</f>
        <v>114.99</v>
      </c>
    </row>
    <row r="208" spans="2:5" ht="15" customHeight="1">
      <c r="C208" s="608">
        <f ca="1">+'Stock Data'!AM19</f>
        <v>45925</v>
      </c>
      <c r="D208" s="581">
        <f ca="1">_xlfn.XLOOKUP(C208,'Stock Data'!$AM$4:$AM$1051,'Stock Data'!$AN$4:$AN$1051)</f>
        <v>115.425</v>
      </c>
    </row>
    <row r="209" spans="3:4" ht="15" customHeight="1">
      <c r="C209" s="608">
        <f ca="1">+'Stock Data'!AM20</f>
        <v>45924</v>
      </c>
      <c r="D209" s="581">
        <f ca="1">_xlfn.XLOOKUP(C209,'Stock Data'!$AM$4:$AM$1051,'Stock Data'!$AN$4:$AN$1051)</f>
        <v>116.04</v>
      </c>
    </row>
    <row r="210" spans="3:4" ht="15" customHeight="1">
      <c r="C210" s="608">
        <f ca="1">+'Stock Data'!AM21</f>
        <v>45923</v>
      </c>
      <c r="D210" s="581">
        <f ca="1">_xlfn.XLOOKUP(C210,'Stock Data'!$AM$4:$AM$1051,'Stock Data'!$AN$4:$AN$1051)</f>
        <v>116.04</v>
      </c>
    </row>
    <row r="211" spans="3:4" ht="15" customHeight="1">
      <c r="C211" s="608">
        <f ca="1">+'Stock Data'!AM22</f>
        <v>45922</v>
      </c>
      <c r="D211" s="581">
        <f ca="1">_xlfn.XLOOKUP(C211,'Stock Data'!$AM$4:$AM$1051,'Stock Data'!$AN$4:$AN$1051)</f>
        <v>116.04</v>
      </c>
    </row>
    <row r="212" spans="3:4" ht="15" customHeight="1">
      <c r="C212" s="608">
        <f ca="1">+'Stock Data'!AM23</f>
        <v>45921</v>
      </c>
      <c r="D212" s="581">
        <f ca="1">_xlfn.XLOOKUP(C212,'Stock Data'!$AM$4:$AM$1051,'Stock Data'!$AN$4:$AN$1051)</f>
        <v>113.25</v>
      </c>
    </row>
    <row r="213" spans="3:4" ht="15" customHeight="1">
      <c r="C213" s="608">
        <f ca="1">+'Stock Data'!AM24</f>
        <v>45920</v>
      </c>
      <c r="D213" s="581">
        <f ca="1">_xlfn.XLOOKUP(C213,'Stock Data'!$AM$4:$AM$1051,'Stock Data'!$AN$4:$AN$1051)</f>
        <v>114.2</v>
      </c>
    </row>
    <row r="214" spans="3:4" ht="15" customHeight="1">
      <c r="C214" s="608">
        <f ca="1">+'Stock Data'!AM25</f>
        <v>45919</v>
      </c>
      <c r="D214" s="581">
        <f ca="1">_xlfn.XLOOKUP(C214,'Stock Data'!$AM$4:$AM$1051,'Stock Data'!$AN$4:$AN$1051)</f>
        <v>110.06</v>
      </c>
    </row>
    <row r="215" spans="3:4" ht="15" customHeight="1">
      <c r="C215" s="608">
        <f ca="1">+'Stock Data'!AM26</f>
        <v>45918</v>
      </c>
      <c r="D215" s="581">
        <f ca="1">_xlfn.XLOOKUP(C215,'Stock Data'!$AM$4:$AM$1051,'Stock Data'!$AN$4:$AN$1051)</f>
        <v>108.9</v>
      </c>
    </row>
    <row r="216" spans="3:4" ht="15" customHeight="1">
      <c r="C216" s="608">
        <f ca="1">+'Stock Data'!AM27</f>
        <v>45917</v>
      </c>
      <c r="D216" s="581">
        <f ca="1">_xlfn.XLOOKUP(C216,'Stock Data'!$AM$4:$AM$1051,'Stock Data'!$AN$4:$AN$1051)</f>
        <v>110.65</v>
      </c>
    </row>
    <row r="217" spans="3:4" ht="15" customHeight="1">
      <c r="C217" s="608">
        <f ca="1">+'Stock Data'!AM28</f>
        <v>45916</v>
      </c>
      <c r="D217" s="581">
        <f ca="1">_xlfn.XLOOKUP(C217,'Stock Data'!$AM$4:$AM$1051,'Stock Data'!$AN$4:$AN$1051)</f>
        <v>110.65</v>
      </c>
    </row>
    <row r="218" spans="3:4" ht="15" customHeight="1">
      <c r="C218" s="608">
        <f ca="1">+'Stock Data'!AM29</f>
        <v>45915</v>
      </c>
      <c r="D218" s="581">
        <f ca="1">_xlfn.XLOOKUP(C218,'Stock Data'!$AM$4:$AM$1051,'Stock Data'!$AN$4:$AN$1051)</f>
        <v>110.65</v>
      </c>
    </row>
    <row r="219" spans="3:4" ht="15" customHeight="1">
      <c r="C219" s="608">
        <f ca="1">+'Stock Data'!AM30</f>
        <v>45914</v>
      </c>
      <c r="D219" s="581">
        <f ca="1">_xlfn.XLOOKUP(C219,'Stock Data'!$AM$4:$AM$1051,'Stock Data'!$AN$4:$AN$1051)</f>
        <v>107.99</v>
      </c>
    </row>
    <row r="220" spans="3:4" ht="15" customHeight="1">
      <c r="C220" s="608">
        <f ca="1">+'Stock Data'!AM31</f>
        <v>45913</v>
      </c>
      <c r="D220" s="581">
        <f ca="1">_xlfn.XLOOKUP(C220,'Stock Data'!$AM$4:$AM$1051,'Stock Data'!$AN$4:$AN$1051)</f>
        <v>109.65</v>
      </c>
    </row>
    <row r="221" spans="3:4" ht="15" customHeight="1">
      <c r="C221" s="608">
        <f ca="1">+'Stock Data'!AM32</f>
        <v>45912</v>
      </c>
      <c r="D221" s="581">
        <f ca="1">_xlfn.XLOOKUP(C221,'Stock Data'!$AM$4:$AM$1051,'Stock Data'!$AN$4:$AN$1051)</f>
        <v>107.83</v>
      </c>
    </row>
    <row r="222" spans="3:4" ht="15" customHeight="1">
      <c r="C222" s="608">
        <f ca="1">+'Stock Data'!AM33</f>
        <v>45911</v>
      </c>
      <c r="D222" s="581">
        <f ca="1">_xlfn.XLOOKUP(C222,'Stock Data'!$AM$4:$AM$1051,'Stock Data'!$AN$4:$AN$1051)</f>
        <v>107.53</v>
      </c>
    </row>
    <row r="223" spans="3:4" ht="15" customHeight="1">
      <c r="C223" s="608">
        <f ca="1">+'Stock Data'!AM34</f>
        <v>45910</v>
      </c>
      <c r="D223" s="581">
        <f ca="1">_xlfn.XLOOKUP(C223,'Stock Data'!$AM$4:$AM$1051,'Stock Data'!$AN$4:$AN$1051)</f>
        <v>107.74</v>
      </c>
    </row>
    <row r="224" spans="3:4" ht="15" customHeight="1">
      <c r="C224" s="608">
        <f ca="1">+'Stock Data'!AM35</f>
        <v>45909</v>
      </c>
      <c r="D224" s="581">
        <f ca="1">_xlfn.XLOOKUP(C224,'Stock Data'!$AM$4:$AM$1051,'Stock Data'!$AN$4:$AN$1051)</f>
        <v>107.74</v>
      </c>
    </row>
    <row r="225" spans="3:4" ht="15" customHeight="1">
      <c r="C225" s="608">
        <f ca="1">+'Stock Data'!AM36</f>
        <v>45908</v>
      </c>
      <c r="D225" s="581">
        <f ca="1">_xlfn.XLOOKUP(C225,'Stock Data'!$AM$4:$AM$1051,'Stock Data'!$AN$4:$AN$1051)</f>
        <v>107.74</v>
      </c>
    </row>
    <row r="226" spans="3:4" ht="15" customHeight="1">
      <c r="C226" s="608">
        <f ca="1">+'Stock Data'!AM37</f>
        <v>45907</v>
      </c>
      <c r="D226" s="581">
        <f ca="1">_xlfn.XLOOKUP(C226,'Stock Data'!$AM$4:$AM$1051,'Stock Data'!$AN$4:$AN$1051)</f>
        <v>105.76</v>
      </c>
    </row>
    <row r="227" spans="3:4" ht="15" customHeight="1">
      <c r="C227" s="608">
        <f ca="1">+'Stock Data'!AM38</f>
        <v>45906</v>
      </c>
      <c r="D227" s="581">
        <f ca="1">_xlfn.XLOOKUP(C227,'Stock Data'!$AM$4:$AM$1051,'Stock Data'!$AN$4:$AN$1051)</f>
        <v>104.45</v>
      </c>
    </row>
    <row r="228" spans="3:4" ht="15" customHeight="1">
      <c r="C228" s="608">
        <f ca="1">+'Stock Data'!AM39</f>
        <v>45905</v>
      </c>
      <c r="D228" s="581">
        <f ca="1">_xlfn.XLOOKUP(C228,'Stock Data'!$AM$4:$AM$1051,'Stock Data'!$AN$4:$AN$1051)</f>
        <v>105.03</v>
      </c>
    </row>
    <row r="229" spans="3:4" ht="15" customHeight="1">
      <c r="C229" s="608">
        <f ca="1">+'Stock Data'!AM40</f>
        <v>45904</v>
      </c>
      <c r="D229" s="581">
        <f ca="1">_xlfn.XLOOKUP(C229,'Stock Data'!$AM$4:$AM$1051,'Stock Data'!$AN$4:$AN$1051)</f>
        <v>103.61</v>
      </c>
    </row>
    <row r="230" spans="3:4" ht="15" customHeight="1">
      <c r="C230" s="608">
        <f ca="1">+'Stock Data'!AM41</f>
        <v>45903</v>
      </c>
      <c r="D230" s="581">
        <f ca="1">_xlfn.XLOOKUP(C230,'Stock Data'!$AM$4:$AM$1051,'Stock Data'!$AN$4:$AN$1051)</f>
        <v>107.88</v>
      </c>
    </row>
    <row r="231" spans="3:4" ht="15" customHeight="1">
      <c r="C231" s="608">
        <f ca="1">+'Stock Data'!AM42</f>
        <v>45902</v>
      </c>
      <c r="D231" s="581">
        <f ca="1">_xlfn.XLOOKUP(C231,'Stock Data'!$AM$4:$AM$1051,'Stock Data'!$AN$4:$AN$1051)</f>
        <v>107.88</v>
      </c>
    </row>
    <row r="232" spans="3:4" ht="15" customHeight="1">
      <c r="C232" s="608">
        <f ca="1">+'Stock Data'!AM43</f>
        <v>45901</v>
      </c>
      <c r="D232" s="581">
        <f ca="1">_xlfn.XLOOKUP(C232,'Stock Data'!$AM$4:$AM$1051,'Stock Data'!$AN$4:$AN$1051)</f>
        <v>107.88</v>
      </c>
    </row>
    <row r="233" spans="3:4" ht="15" customHeight="1">
      <c r="C233" s="608">
        <f ca="1">+'Stock Data'!AM44</f>
        <v>45900</v>
      </c>
      <c r="D233" s="581">
        <f ca="1">_xlfn.XLOOKUP(C233,'Stock Data'!$AM$4:$AM$1051,'Stock Data'!$AN$4:$AN$1051)</f>
        <v>111.14</v>
      </c>
    </row>
    <row r="234" spans="3:4" ht="15" customHeight="1">
      <c r="C234" s="608">
        <f ca="1">+'Stock Data'!AM45</f>
        <v>45899</v>
      </c>
      <c r="D234" s="581">
        <f ca="1">_xlfn.XLOOKUP(C234,'Stock Data'!$AM$4:$AM$1051,'Stock Data'!$AN$4:$AN$1051)</f>
        <v>111.16</v>
      </c>
    </row>
    <row r="235" spans="3:4" ht="15" customHeight="1">
      <c r="C235" s="608">
        <f ca="1">+'Stock Data'!AM46</f>
        <v>45898</v>
      </c>
      <c r="D235" s="581">
        <f ca="1">_xlfn.XLOOKUP(C235,'Stock Data'!$AM$4:$AM$1051,'Stock Data'!$AN$4:$AN$1051)</f>
        <v>108.15</v>
      </c>
    </row>
    <row r="236" spans="3:4" ht="15" customHeight="1">
      <c r="C236" s="608">
        <f ca="1">+'Stock Data'!AM47</f>
        <v>45897</v>
      </c>
      <c r="D236" s="581">
        <f ca="1">_xlfn.XLOOKUP(C236,'Stock Data'!$AM$4:$AM$1051,'Stock Data'!$AN$4:$AN$1051)</f>
        <v>104.36</v>
      </c>
    </row>
    <row r="237" spans="3:4" ht="15" customHeight="1">
      <c r="C237" s="608">
        <f ca="1">+'Stock Data'!AM48</f>
        <v>45896</v>
      </c>
      <c r="D237" s="581">
        <f ca="1">_xlfn.XLOOKUP(C237,'Stock Data'!$AM$4:$AM$1051,'Stock Data'!$AN$4:$AN$1051)</f>
        <v>104.92</v>
      </c>
    </row>
    <row r="238" spans="3:4" ht="15" customHeight="1">
      <c r="C238" s="608">
        <f ca="1">+'Stock Data'!AM49</f>
        <v>45895</v>
      </c>
      <c r="D238" s="581">
        <f ca="1">_xlfn.XLOOKUP(C238,'Stock Data'!$AM$4:$AM$1051,'Stock Data'!$AN$4:$AN$1051)</f>
        <v>104.92</v>
      </c>
    </row>
    <row r="239" spans="3:4" ht="15" customHeight="1">
      <c r="C239" s="608">
        <f ca="1">+'Stock Data'!AM50</f>
        <v>45894</v>
      </c>
      <c r="D239" s="581">
        <f ca="1">_xlfn.XLOOKUP(C239,'Stock Data'!$AM$4:$AM$1051,'Stock Data'!$AN$4:$AN$1051)</f>
        <v>104.92</v>
      </c>
    </row>
    <row r="240" spans="3:4" ht="15" customHeight="1">
      <c r="C240" s="608">
        <f ca="1">+'Stock Data'!AM51</f>
        <v>45893</v>
      </c>
      <c r="D240" s="581">
        <f ca="1">_xlfn.XLOOKUP(C240,'Stock Data'!$AM$4:$AM$1051,'Stock Data'!$AN$4:$AN$1051)</f>
        <v>105.88</v>
      </c>
    </row>
    <row r="241" spans="3:4" ht="15" customHeight="1">
      <c r="C241" s="608">
        <f ca="1">+'Stock Data'!AM52</f>
        <v>45892</v>
      </c>
      <c r="D241" s="581">
        <f ca="1">_xlfn.XLOOKUP(C241,'Stock Data'!$AM$4:$AM$1051,'Stock Data'!$AN$4:$AN$1051)</f>
        <v>119.16</v>
      </c>
    </row>
    <row r="242" spans="3:4" ht="15" customHeight="1">
      <c r="C242" s="608">
        <f ca="1">+'Stock Data'!AM53</f>
        <v>45891</v>
      </c>
      <c r="D242" s="581">
        <f ca="1">_xlfn.XLOOKUP(C242,'Stock Data'!$AM$4:$AM$1051,'Stock Data'!$AN$4:$AN$1051)</f>
        <v>104.71</v>
      </c>
    </row>
    <row r="243" spans="3:4" ht="15" customHeight="1">
      <c r="C243" s="608">
        <f ca="1">+'Stock Data'!AM54</f>
        <v>45890</v>
      </c>
      <c r="D243" s="581">
        <f ca="1">_xlfn.XLOOKUP(C243,'Stock Data'!$AM$4:$AM$1051,'Stock Data'!$AN$4:$AN$1051)</f>
        <v>106.17</v>
      </c>
    </row>
    <row r="244" spans="3:4" ht="15" customHeight="1">
      <c r="C244" s="608">
        <f ca="1">+'Stock Data'!AM55</f>
        <v>45889</v>
      </c>
      <c r="D244" s="581">
        <f ca="1">_xlfn.XLOOKUP(C244,'Stock Data'!$AM$4:$AM$1051,'Stock Data'!$AN$4:$AN$1051)</f>
        <v>105.94</v>
      </c>
    </row>
    <row r="245" spans="3:4" ht="15" customHeight="1">
      <c r="C245" s="608">
        <f ca="1">+'Stock Data'!AM56</f>
        <v>45888</v>
      </c>
      <c r="D245" s="581">
        <f ca="1">_xlfn.XLOOKUP(C245,'Stock Data'!$AM$4:$AM$1051,'Stock Data'!$AN$4:$AN$1051)</f>
        <v>105.94</v>
      </c>
    </row>
    <row r="246" spans="3:4" ht="15" customHeight="1">
      <c r="C246" s="608">
        <f ca="1">+'Stock Data'!AM57</f>
        <v>45887</v>
      </c>
      <c r="D246" s="581">
        <f ca="1">_xlfn.XLOOKUP(C246,'Stock Data'!$AM$4:$AM$1051,'Stock Data'!$AN$4:$AN$1051)</f>
        <v>105.94</v>
      </c>
    </row>
    <row r="247" spans="3:4" ht="15" customHeight="1">
      <c r="C247" s="608">
        <f ca="1">+'Stock Data'!AM58</f>
        <v>45886</v>
      </c>
      <c r="D247" s="581">
        <f ca="1">_xlfn.XLOOKUP(C247,'Stock Data'!$AM$4:$AM$1051,'Stock Data'!$AN$4:$AN$1051)</f>
        <v>106.81</v>
      </c>
    </row>
    <row r="248" spans="3:4" ht="15" customHeight="1">
      <c r="C248" s="608">
        <f ca="1">+'Stock Data'!AM59</f>
        <v>45885</v>
      </c>
      <c r="D248" s="581">
        <f ca="1">_xlfn.XLOOKUP(C248,'Stock Data'!$AM$4:$AM$1051,'Stock Data'!$AN$4:$AN$1051)</f>
        <v>104.49</v>
      </c>
    </row>
    <row r="249" spans="3:4" ht="15" customHeight="1">
      <c r="C249" s="608">
        <f ca="1">+'Stock Data'!AM60</f>
        <v>45884</v>
      </c>
      <c r="D249" s="581">
        <f ca="1">_xlfn.XLOOKUP(C249,'Stock Data'!$AM$4:$AM$1051,'Stock Data'!$AN$4:$AN$1051)</f>
        <v>102.78</v>
      </c>
    </row>
    <row r="250" spans="3:4" ht="15" customHeight="1">
      <c r="C250" s="608">
        <f ca="1">+'Stock Data'!AM61</f>
        <v>45883</v>
      </c>
      <c r="D250" s="581">
        <f ca="1">_xlfn.XLOOKUP(C250,'Stock Data'!$AM$4:$AM$1051,'Stock Data'!$AN$4:$AN$1051)</f>
        <v>101.98</v>
      </c>
    </row>
    <row r="251" spans="3:4" ht="15" customHeight="1">
      <c r="C251" s="608">
        <f ca="1">+'Stock Data'!AM62</f>
        <v>45882</v>
      </c>
      <c r="D251" s="581">
        <f ca="1">_xlfn.XLOOKUP(C251,'Stock Data'!$AM$4:$AM$1051,'Stock Data'!$AN$4:$AN$1051)</f>
        <v>100.52</v>
      </c>
    </row>
    <row r="252" spans="3:4" ht="15" customHeight="1">
      <c r="C252" s="608">
        <f ca="1">+'Stock Data'!AM63</f>
        <v>45881</v>
      </c>
      <c r="D252" s="581">
        <f ca="1">_xlfn.XLOOKUP(C252,'Stock Data'!$AM$4:$AM$1051,'Stock Data'!$AN$4:$AN$1051)</f>
        <v>100.52</v>
      </c>
    </row>
    <row r="253" spans="3:4" ht="15" customHeight="1">
      <c r="C253" s="608">
        <f ca="1">+'Stock Data'!AM64</f>
        <v>45880</v>
      </c>
      <c r="D253" s="581">
        <f ca="1">_xlfn.XLOOKUP(C253,'Stock Data'!$AM$4:$AM$1051,'Stock Data'!$AN$4:$AN$1051)</f>
        <v>100.52</v>
      </c>
    </row>
    <row r="254" spans="3:4" ht="15" customHeight="1">
      <c r="C254" s="608">
        <f ca="1">+'Stock Data'!AM65</f>
        <v>45879</v>
      </c>
      <c r="D254" s="581">
        <f ca="1">_xlfn.XLOOKUP(C254,'Stock Data'!$AM$4:$AM$1051,'Stock Data'!$AN$4:$AN$1051)</f>
        <v>100.74</v>
      </c>
    </row>
    <row r="255" spans="3:4" ht="15" customHeight="1">
      <c r="C255" s="608">
        <f ca="1">+'Stock Data'!AM66</f>
        <v>45878</v>
      </c>
      <c r="D255" s="581">
        <f ca="1">_xlfn.XLOOKUP(C255,'Stock Data'!$AM$4:$AM$1051,'Stock Data'!$AN$4:$AN$1051)</f>
        <v>101.61</v>
      </c>
    </row>
    <row r="256" spans="3:4" ht="15" customHeight="1">
      <c r="C256" s="608">
        <f ca="1">+'Stock Data'!AM67</f>
        <v>45877</v>
      </c>
      <c r="D256" s="581">
        <f ca="1">_xlfn.XLOOKUP(C256,'Stock Data'!$AM$4:$AM$1051,'Stock Data'!$AN$4:$AN$1051)</f>
        <v>102.37</v>
      </c>
    </row>
    <row r="257" spans="3:4" ht="15" customHeight="1">
      <c r="C257" s="608">
        <f ca="1">+'Stock Data'!AM68</f>
        <v>45876</v>
      </c>
      <c r="D257" s="581">
        <f ca="1">_xlfn.XLOOKUP(C257,'Stock Data'!$AM$4:$AM$1051,'Stock Data'!$AN$4:$AN$1051)</f>
        <v>101.16</v>
      </c>
    </row>
    <row r="258" spans="3:4" ht="15" customHeight="1">
      <c r="C258" s="608">
        <f ca="1">+'Stock Data'!AM69</f>
        <v>45875</v>
      </c>
      <c r="D258" s="581">
        <f ca="1">_xlfn.XLOOKUP(C258,'Stock Data'!$AM$4:$AM$1051,'Stock Data'!$AN$4:$AN$1051)</f>
        <v>102.9</v>
      </c>
    </row>
    <row r="259" spans="3:4" ht="15" customHeight="1">
      <c r="C259" s="608">
        <f ca="1">+'Stock Data'!AM70</f>
        <v>45874</v>
      </c>
      <c r="D259" s="581">
        <f ca="1">_xlfn.XLOOKUP(C259,'Stock Data'!$AM$4:$AM$1051,'Stock Data'!$AN$4:$AN$1051)</f>
        <v>102.9</v>
      </c>
    </row>
    <row r="260" spans="3:4" ht="15" customHeight="1">
      <c r="C260" s="608">
        <f ca="1">+'Stock Data'!AM71</f>
        <v>45873</v>
      </c>
      <c r="D260" s="581">
        <f ca="1">_xlfn.XLOOKUP(C260,'Stock Data'!$AM$4:$AM$1051,'Stock Data'!$AN$4:$AN$1051)</f>
        <v>102.9</v>
      </c>
    </row>
    <row r="261" spans="3:4" ht="15" customHeight="1">
      <c r="C261" s="608">
        <f ca="1">+'Stock Data'!AM72</f>
        <v>45872</v>
      </c>
      <c r="D261" s="581">
        <f ca="1">_xlfn.XLOOKUP(C261,'Stock Data'!$AM$4:$AM$1051,'Stock Data'!$AN$4:$AN$1051)</f>
        <v>102.9</v>
      </c>
    </row>
    <row r="262" spans="3:4" ht="15" customHeight="1">
      <c r="C262" s="608">
        <f ca="1">+'Stock Data'!AM73</f>
        <v>45871</v>
      </c>
      <c r="D262" s="581">
        <f ca="1">_xlfn.XLOOKUP(C262,'Stock Data'!$AM$4:$AM$1051,'Stock Data'!$AN$4:$AN$1051)</f>
        <v>103.17</v>
      </c>
    </row>
    <row r="263" spans="3:4" ht="15" customHeight="1">
      <c r="C263" s="608">
        <f ca="1">+'Stock Data'!AM74</f>
        <v>45870</v>
      </c>
      <c r="D263" s="581">
        <f ca="1">_xlfn.XLOOKUP(C263,'Stock Data'!$AM$4:$AM$1051,'Stock Data'!$AN$4:$AN$1051)</f>
        <v>101.88</v>
      </c>
    </row>
    <row r="264" spans="3:4" ht="15" customHeight="1">
      <c r="C264" s="608">
        <f ca="1">+'Stock Data'!AM75</f>
        <v>45869</v>
      </c>
      <c r="D264" s="581">
        <f ca="1">_xlfn.XLOOKUP(C264,'Stock Data'!$AM$4:$AM$1051,'Stock Data'!$AN$4:$AN$1051)</f>
        <v>99.63</v>
      </c>
    </row>
    <row r="265" spans="3:4" ht="15" customHeight="1">
      <c r="C265" s="608">
        <f ca="1">+'Stock Data'!AM76</f>
        <v>45868</v>
      </c>
      <c r="D265" s="581">
        <f ca="1">_xlfn.XLOOKUP(C265,'Stock Data'!$AM$4:$AM$1051,'Stock Data'!$AN$4:$AN$1051)</f>
        <v>99.16</v>
      </c>
    </row>
    <row r="266" spans="3:4" ht="15" customHeight="1">
      <c r="C266" s="608">
        <f ca="1">+'Stock Data'!AM77</f>
        <v>45867</v>
      </c>
      <c r="D266" s="581">
        <f ca="1">_xlfn.XLOOKUP(C266,'Stock Data'!$AM$4:$AM$1051,'Stock Data'!$AN$4:$AN$1051)</f>
        <v>99.16</v>
      </c>
    </row>
    <row r="267" spans="3:4" ht="15" customHeight="1">
      <c r="C267" s="608">
        <f ca="1">+'Stock Data'!AM78</f>
        <v>45866</v>
      </c>
      <c r="D267" s="581">
        <f ca="1">_xlfn.XLOOKUP(C267,'Stock Data'!$AM$4:$AM$1051,'Stock Data'!$AN$4:$AN$1051)</f>
        <v>99.16</v>
      </c>
    </row>
    <row r="268" spans="3:4" ht="15" customHeight="1">
      <c r="C268" s="608">
        <f ca="1">+'Stock Data'!AM79</f>
        <v>45865</v>
      </c>
      <c r="D268" s="581">
        <f ca="1">_xlfn.XLOOKUP(C268,'Stock Data'!$AM$4:$AM$1051,'Stock Data'!$AN$4:$AN$1051)</f>
        <v>98.58</v>
      </c>
    </row>
    <row r="269" spans="3:4" ht="15" customHeight="1">
      <c r="C269" s="608">
        <f ca="1">+'Stock Data'!AM80</f>
        <v>45864</v>
      </c>
      <c r="D269" s="581">
        <f ca="1">_xlfn.XLOOKUP(C269,'Stock Data'!$AM$4:$AM$1051,'Stock Data'!$AN$4:$AN$1051)</f>
        <v>99.34</v>
      </c>
    </row>
    <row r="270" spans="3:4" ht="15" customHeight="1">
      <c r="C270" s="608">
        <f ca="1">+'Stock Data'!AM81</f>
        <v>45863</v>
      </c>
      <c r="D270" s="581">
        <f ca="1">_xlfn.XLOOKUP(C270,'Stock Data'!$AM$4:$AM$1051,'Stock Data'!$AN$4:$AN$1051)</f>
        <v>101.86</v>
      </c>
    </row>
    <row r="271" spans="3:4" ht="15" customHeight="1">
      <c r="C271" s="608">
        <f ca="1">+'Stock Data'!AM82</f>
        <v>45862</v>
      </c>
      <c r="D271" s="581">
        <f ca="1">_xlfn.XLOOKUP(C271,'Stock Data'!$AM$4:$AM$1051,'Stock Data'!$AN$4:$AN$1051)</f>
        <v>101.55</v>
      </c>
    </row>
    <row r="272" spans="3:4" ht="15" customHeight="1">
      <c r="C272" s="608">
        <f ca="1">+'Stock Data'!AM83</f>
        <v>45861</v>
      </c>
      <c r="D272" s="581">
        <f ca="1">_xlfn.XLOOKUP(C272,'Stock Data'!$AM$4:$AM$1051,'Stock Data'!$AN$4:$AN$1051)</f>
        <v>102.1</v>
      </c>
    </row>
    <row r="273" spans="3:4" ht="15" customHeight="1">
      <c r="C273" s="608">
        <f ca="1">+'Stock Data'!AM84</f>
        <v>45860</v>
      </c>
      <c r="D273" s="581">
        <f ca="1">_xlfn.XLOOKUP(C273,'Stock Data'!$AM$4:$AM$1051,'Stock Data'!$AN$4:$AN$1051)</f>
        <v>102.1</v>
      </c>
    </row>
    <row r="274" spans="3:4" ht="15" customHeight="1">
      <c r="C274" s="608">
        <f ca="1">+'Stock Data'!AM85</f>
        <v>45859</v>
      </c>
      <c r="D274" s="581">
        <f ca="1">_xlfn.XLOOKUP(C274,'Stock Data'!$AM$4:$AM$1051,'Stock Data'!$AN$4:$AN$1051)</f>
        <v>102.1</v>
      </c>
    </row>
    <row r="275" spans="3:4" ht="15" customHeight="1">
      <c r="C275" s="608">
        <f ca="1">+'Stock Data'!AM86</f>
        <v>45858</v>
      </c>
      <c r="D275" s="581">
        <f ca="1">_xlfn.XLOOKUP(C275,'Stock Data'!$AM$4:$AM$1051,'Stock Data'!$AN$4:$AN$1051)</f>
        <v>103.07</v>
      </c>
    </row>
    <row r="276" spans="3:4" ht="15" customHeight="1">
      <c r="C276" s="608">
        <f ca="1">+'Stock Data'!AM87</f>
        <v>45857</v>
      </c>
      <c r="D276" s="581">
        <f ca="1">_xlfn.XLOOKUP(C276,'Stock Data'!$AM$4:$AM$1051,'Stock Data'!$AN$4:$AN$1051)</f>
        <v>103.07</v>
      </c>
    </row>
    <row r="277" spans="3:4" ht="15" customHeight="1">
      <c r="C277" s="608">
        <f ca="1">+'Stock Data'!AM88</f>
        <v>45856</v>
      </c>
      <c r="D277" s="581">
        <f ca="1">_xlfn.XLOOKUP(C277,'Stock Data'!$AM$4:$AM$1051,'Stock Data'!$AN$4:$AN$1051)</f>
        <v>100.61</v>
      </c>
    </row>
    <row r="278" spans="3:4" ht="15" customHeight="1">
      <c r="C278" s="608">
        <f ca="1">+'Stock Data'!AM89</f>
        <v>45855</v>
      </c>
      <c r="D278" s="581">
        <f ca="1">_xlfn.XLOOKUP(C278,'Stock Data'!$AM$4:$AM$1051,'Stock Data'!$AN$4:$AN$1051)</f>
        <v>100.21</v>
      </c>
    </row>
    <row r="279" spans="3:4" ht="15" customHeight="1">
      <c r="C279" s="608">
        <f ca="1">+'Stock Data'!AM90</f>
        <v>45854</v>
      </c>
      <c r="D279" s="581">
        <f ca="1">_xlfn.XLOOKUP(C279,'Stock Data'!$AM$4:$AM$1051,'Stock Data'!$AN$4:$AN$1051)</f>
        <v>96.38</v>
      </c>
    </row>
    <row r="280" spans="3:4" ht="15" customHeight="1">
      <c r="C280" s="608">
        <f ca="1">+'Stock Data'!AM91</f>
        <v>45853</v>
      </c>
      <c r="D280" s="581">
        <f ca="1">_xlfn.XLOOKUP(C280,'Stock Data'!$AM$4:$AM$1051,'Stock Data'!$AN$4:$AN$1051)</f>
        <v>96.38</v>
      </c>
    </row>
    <row r="281" spans="3:4" ht="15" customHeight="1">
      <c r="C281" s="608">
        <f ca="1">+'Stock Data'!AM92</f>
        <v>45852</v>
      </c>
      <c r="D281" s="581">
        <f ca="1">_xlfn.XLOOKUP(C281,'Stock Data'!$AM$4:$AM$1051,'Stock Data'!$AN$4:$AN$1051)</f>
        <v>96.38</v>
      </c>
    </row>
    <row r="282" spans="3:4" ht="15" customHeight="1">
      <c r="C282" s="608">
        <f ca="1">+'Stock Data'!AM93</f>
        <v>45851</v>
      </c>
      <c r="D282" s="581">
        <f ca="1">_xlfn.XLOOKUP(C282,'Stock Data'!$AM$4:$AM$1051,'Stock Data'!$AN$4:$AN$1051)</f>
        <v>94.83</v>
      </c>
    </row>
    <row r="283" spans="3:4" ht="15" customHeight="1">
      <c r="C283" s="608">
        <f ca="1">+'Stock Data'!AM94</f>
        <v>45850</v>
      </c>
      <c r="D283" s="581">
        <f ca="1">_xlfn.XLOOKUP(C283,'Stock Data'!$AM$4:$AM$1051,'Stock Data'!$AN$4:$AN$1051)</f>
        <v>92.66</v>
      </c>
    </row>
    <row r="284" spans="3:4" ht="15" customHeight="1">
      <c r="C284" s="608">
        <f ca="1">+'Stock Data'!AM95</f>
        <v>45849</v>
      </c>
      <c r="D284" s="581">
        <f ca="1">_xlfn.XLOOKUP(C284,'Stock Data'!$AM$4:$AM$1051,'Stock Data'!$AN$4:$AN$1051)</f>
        <v>96.1</v>
      </c>
    </row>
    <row r="285" spans="3:4" ht="15" customHeight="1">
      <c r="C285" s="608">
        <f ca="1">+'Stock Data'!AM96</f>
        <v>45848</v>
      </c>
      <c r="D285" s="581">
        <f ca="1">_xlfn.XLOOKUP(C285,'Stock Data'!$AM$4:$AM$1051,'Stock Data'!$AN$4:$AN$1051)</f>
        <v>97.55</v>
      </c>
    </row>
    <row r="286" spans="3:4" ht="15" customHeight="1">
      <c r="C286" s="608">
        <f ca="1">+'Stock Data'!AM97</f>
        <v>45847</v>
      </c>
      <c r="D286" s="581">
        <f ca="1">_xlfn.XLOOKUP(C286,'Stock Data'!$AM$4:$AM$1051,'Stock Data'!$AN$4:$AN$1051)</f>
        <v>98.13</v>
      </c>
    </row>
    <row r="287" spans="3:4" ht="15" customHeight="1">
      <c r="C287" s="608">
        <f ca="1">+'Stock Data'!AM98</f>
        <v>45846</v>
      </c>
      <c r="D287" s="581">
        <f ca="1">_xlfn.XLOOKUP(C287,'Stock Data'!$AM$4:$AM$1051,'Stock Data'!$AN$4:$AN$1051)</f>
        <v>98.13</v>
      </c>
    </row>
    <row r="288" spans="3:4" ht="15" customHeight="1">
      <c r="C288" s="608">
        <f ca="1">+'Stock Data'!AM99</f>
        <v>45845</v>
      </c>
      <c r="D288" s="581">
        <f ca="1">_xlfn.XLOOKUP(C288,'Stock Data'!$AM$4:$AM$1051,'Stock Data'!$AN$4:$AN$1051)</f>
        <v>98.13</v>
      </c>
    </row>
    <row r="289" spans="3:4" ht="15" customHeight="1">
      <c r="C289" s="608">
        <f ca="1">+'Stock Data'!AM100</f>
        <v>45844</v>
      </c>
      <c r="D289" s="581">
        <f ca="1">_xlfn.XLOOKUP(C289,'Stock Data'!$AM$4:$AM$1051,'Stock Data'!$AN$4:$AN$1051)</f>
        <v>95.67</v>
      </c>
    </row>
    <row r="290" spans="3:4" ht="15" customHeight="1">
      <c r="C290" s="608">
        <f ca="1">+'Stock Data'!AM101</f>
        <v>45843</v>
      </c>
      <c r="D290" s="581">
        <f ca="1">_xlfn.XLOOKUP(C290,'Stock Data'!$AM$4:$AM$1051,'Stock Data'!$AN$4:$AN$1051)</f>
        <v>95.4</v>
      </c>
    </row>
    <row r="291" spans="3:4" ht="15" customHeight="1">
      <c r="C291" s="608">
        <f ca="1">+'Stock Data'!AM102</f>
        <v>45842</v>
      </c>
      <c r="D291" s="581">
        <f ca="1">_xlfn.XLOOKUP(C291,'Stock Data'!$AM$4:$AM$1051,'Stock Data'!$AN$4:$AN$1051)</f>
        <v>97.19</v>
      </c>
    </row>
    <row r="292" spans="3:4" ht="15" customHeight="1">
      <c r="C292" s="608">
        <f ca="1">+'Stock Data'!AM103</f>
        <v>45841</v>
      </c>
      <c r="D292" s="581">
        <f ca="1">_xlfn.XLOOKUP(C292,'Stock Data'!$AM$4:$AM$1051,'Stock Data'!$AN$4:$AN$1051)</f>
        <v>96.91</v>
      </c>
    </row>
    <row r="293" spans="3:4" ht="15" customHeight="1">
      <c r="C293" s="608">
        <f ca="1">+'Stock Data'!AM104</f>
        <v>45840</v>
      </c>
      <c r="D293" s="581">
        <f ca="1">_xlfn.XLOOKUP(C293,'Stock Data'!$AM$4:$AM$1051,'Stock Data'!$AN$4:$AN$1051)</f>
        <v>95.93</v>
      </c>
    </row>
    <row r="294" spans="3:4" ht="15" customHeight="1">
      <c r="C294" s="608">
        <f ca="1">+'Stock Data'!AM105</f>
        <v>45839</v>
      </c>
      <c r="D294" s="581">
        <f ca="1">_xlfn.XLOOKUP(C294,'Stock Data'!$AM$4:$AM$1051,'Stock Data'!$AN$4:$AN$1051)</f>
        <v>95.93</v>
      </c>
    </row>
    <row r="295" spans="3:4" ht="15" customHeight="1">
      <c r="C295" s="608">
        <f ca="1">+'Stock Data'!AM106</f>
        <v>45838</v>
      </c>
      <c r="D295" s="581">
        <f ca="1">_xlfn.XLOOKUP(C295,'Stock Data'!$AM$4:$AM$1051,'Stock Data'!$AN$4:$AN$1051)</f>
        <v>95.93</v>
      </c>
    </row>
    <row r="296" spans="3:4" ht="15" customHeight="1">
      <c r="C296" s="608">
        <f ca="1">+'Stock Data'!AM107</f>
        <v>45837</v>
      </c>
      <c r="D296" s="581">
        <f ca="1">_xlfn.XLOOKUP(C296,'Stock Data'!$AM$4:$AM$1051,'Stock Data'!$AN$4:$AN$1051)</f>
        <v>94.07</v>
      </c>
    </row>
    <row r="297" spans="3:4" ht="15" customHeight="1">
      <c r="C297" s="608">
        <f ca="1">+'Stock Data'!AM108</f>
        <v>45836</v>
      </c>
      <c r="D297" s="581">
        <f ca="1">_xlfn.XLOOKUP(C297,'Stock Data'!$AM$4:$AM$1051,'Stock Data'!$AN$4:$AN$1051)</f>
        <v>93.45</v>
      </c>
    </row>
    <row r="298" spans="3:4" ht="15" customHeight="1">
      <c r="C298" s="608">
        <f ca="1">+'Stock Data'!AM109</f>
        <v>45835</v>
      </c>
      <c r="D298" s="581">
        <f ca="1">_xlfn.XLOOKUP(C298,'Stock Data'!$AM$4:$AM$1051,'Stock Data'!$AN$4:$AN$1051)</f>
        <v>95.52</v>
      </c>
    </row>
    <row r="299" spans="3:4" ht="15" customHeight="1">
      <c r="C299" s="608">
        <f ca="1">+'Stock Data'!AM110</f>
        <v>45834</v>
      </c>
      <c r="D299" s="581">
        <f ca="1">_xlfn.XLOOKUP(C299,'Stock Data'!$AM$4:$AM$1051,'Stock Data'!$AN$4:$AN$1051)</f>
        <v>95.1</v>
      </c>
    </row>
    <row r="300" spans="3:4" ht="15" customHeight="1">
      <c r="C300" s="608">
        <f ca="1">+'Stock Data'!AM111</f>
        <v>45833</v>
      </c>
      <c r="D300" s="581">
        <f ca="1">_xlfn.XLOOKUP(C300,'Stock Data'!$AM$4:$AM$1051,'Stock Data'!$AN$4:$AN$1051)</f>
        <v>95.1</v>
      </c>
    </row>
    <row r="301" spans="3:4" ht="15" customHeight="1">
      <c r="C301" s="608">
        <f ca="1">+'Stock Data'!AM112</f>
        <v>45832</v>
      </c>
      <c r="D301" s="581">
        <f ca="1">_xlfn.XLOOKUP(C301,'Stock Data'!$AM$4:$AM$1051,'Stock Data'!$AN$4:$AN$1051)</f>
        <v>95.1</v>
      </c>
    </row>
    <row r="302" spans="3:4" ht="15" customHeight="1">
      <c r="C302" s="608">
        <f ca="1">+'Stock Data'!AM113</f>
        <v>45831</v>
      </c>
      <c r="D302" s="581">
        <f ca="1">_xlfn.XLOOKUP(C302,'Stock Data'!$AM$4:$AM$1051,'Stock Data'!$AN$4:$AN$1051)</f>
        <v>95.1</v>
      </c>
    </row>
    <row r="303" spans="3:4" ht="15" customHeight="1">
      <c r="C303" s="608">
        <f ca="1">+'Stock Data'!AM114</f>
        <v>45830</v>
      </c>
      <c r="D303" s="581">
        <f ca="1">_xlfn.XLOOKUP(C303,'Stock Data'!$AM$4:$AM$1051,'Stock Data'!$AN$4:$AN$1051)</f>
        <v>95.01</v>
      </c>
    </row>
    <row r="304" spans="3:4" ht="15" customHeight="1">
      <c r="C304" s="608">
        <f ca="1">+'Stock Data'!AM115</f>
        <v>45829</v>
      </c>
      <c r="D304" s="581">
        <f ca="1">_xlfn.XLOOKUP(C304,'Stock Data'!$AM$4:$AM$1051,'Stock Data'!$AN$4:$AN$1051)</f>
        <v>96.77</v>
      </c>
    </row>
    <row r="305" spans="3:4" ht="15" customHeight="1">
      <c r="C305" s="608">
        <f ca="1">+'Stock Data'!AM116</f>
        <v>45828</v>
      </c>
      <c r="D305" s="581">
        <f ca="1">_xlfn.XLOOKUP(C305,'Stock Data'!$AM$4:$AM$1051,'Stock Data'!$AN$4:$AN$1051)</f>
        <v>96.36</v>
      </c>
    </row>
    <row r="306" spans="3:4" ht="15" customHeight="1">
      <c r="C306" s="608">
        <f ca="1">+'Stock Data'!AM117</f>
        <v>45827</v>
      </c>
      <c r="D306" s="581">
        <f ca="1">_xlfn.XLOOKUP(C306,'Stock Data'!$AM$4:$AM$1051,'Stock Data'!$AN$4:$AN$1051)</f>
        <v>97.17</v>
      </c>
    </row>
    <row r="307" spans="3:4" ht="15" customHeight="1">
      <c r="C307" s="608">
        <f ca="1">+'Stock Data'!AM118</f>
        <v>45826</v>
      </c>
      <c r="D307" s="581">
        <f ca="1">_xlfn.XLOOKUP(C307,'Stock Data'!$AM$4:$AM$1051,'Stock Data'!$AN$4:$AN$1051)</f>
        <v>99.64</v>
      </c>
    </row>
    <row r="308" spans="3:4" ht="15" customHeight="1">
      <c r="C308" s="608">
        <f ca="1">+'Stock Data'!AM119</f>
        <v>45825</v>
      </c>
      <c r="D308" s="581">
        <f ca="1">_xlfn.XLOOKUP(C308,'Stock Data'!$AM$4:$AM$1051,'Stock Data'!$AN$4:$AN$1051)</f>
        <v>99.64</v>
      </c>
    </row>
    <row r="309" spans="3:4" ht="15" customHeight="1">
      <c r="C309" s="608">
        <f ca="1">+'Stock Data'!AM120</f>
        <v>45824</v>
      </c>
      <c r="D309" s="581">
        <f ca="1">_xlfn.XLOOKUP(C309,'Stock Data'!$AM$4:$AM$1051,'Stock Data'!$AN$4:$AN$1051)</f>
        <v>99.64</v>
      </c>
    </row>
    <row r="310" spans="3:4" ht="15" customHeight="1">
      <c r="C310" s="608">
        <f ca="1">+'Stock Data'!AM121</f>
        <v>45823</v>
      </c>
      <c r="D310" s="581">
        <f ca="1">_xlfn.XLOOKUP(C310,'Stock Data'!$AM$4:$AM$1051,'Stock Data'!$AN$4:$AN$1051)</f>
        <v>97.01</v>
      </c>
    </row>
    <row r="311" spans="3:4" ht="15" customHeight="1">
      <c r="C311" s="608">
        <f ca="1">+'Stock Data'!AM122</f>
        <v>45822</v>
      </c>
      <c r="D311" s="581">
        <f ca="1">_xlfn.XLOOKUP(C311,'Stock Data'!$AM$4:$AM$1051,'Stock Data'!$AN$4:$AN$1051)</f>
        <v>94.3</v>
      </c>
    </row>
    <row r="312" spans="3:4" ht="15" customHeight="1">
      <c r="C312" s="608">
        <f ca="1">+'Stock Data'!AM123</f>
        <v>45821</v>
      </c>
      <c r="D312" s="581">
        <f ca="1">_xlfn.XLOOKUP(C312,'Stock Data'!$AM$4:$AM$1051,'Stock Data'!$AN$4:$AN$1051)</f>
        <v>93.95</v>
      </c>
    </row>
    <row r="313" spans="3:4" ht="15" customHeight="1">
      <c r="C313" s="608">
        <f ca="1">+'Stock Data'!AM124</f>
        <v>45820</v>
      </c>
      <c r="D313" s="581">
        <f ca="1">_xlfn.XLOOKUP(C313,'Stock Data'!$AM$4:$AM$1051,'Stock Data'!$AN$4:$AN$1051)</f>
        <v>92.67</v>
      </c>
    </row>
    <row r="314" spans="3:4" ht="15" customHeight="1">
      <c r="C314" s="608">
        <f ca="1">+'Stock Data'!AM125</f>
        <v>45819</v>
      </c>
      <c r="D314" s="581">
        <f ca="1">_xlfn.XLOOKUP(C314,'Stock Data'!$AM$4:$AM$1051,'Stock Data'!$AN$4:$AN$1051)</f>
        <v>91.23</v>
      </c>
    </row>
    <row r="315" spans="3:4" ht="15" customHeight="1">
      <c r="C315" s="608">
        <f ca="1">+'Stock Data'!AM126</f>
        <v>45818</v>
      </c>
      <c r="D315" s="581">
        <f ca="1">_xlfn.XLOOKUP(C315,'Stock Data'!$AM$4:$AM$1051,'Stock Data'!$AN$4:$AN$1051)</f>
        <v>91.23</v>
      </c>
    </row>
    <row r="316" spans="3:4" ht="15" customHeight="1">
      <c r="C316" s="608">
        <f ca="1">+'Stock Data'!AM127</f>
        <v>45817</v>
      </c>
      <c r="D316" s="581">
        <f ca="1">_xlfn.XLOOKUP(C316,'Stock Data'!$AM$4:$AM$1051,'Stock Data'!$AN$4:$AN$1051)</f>
        <v>91.23</v>
      </c>
    </row>
    <row r="317" spans="3:4" ht="15" customHeight="1">
      <c r="C317" s="608">
        <f ca="1">+'Stock Data'!AM128</f>
        <v>45816</v>
      </c>
      <c r="D317" s="581">
        <f ca="1">_xlfn.XLOOKUP(C317,'Stock Data'!$AM$4:$AM$1051,'Stock Data'!$AN$4:$AN$1051)</f>
        <v>90.73</v>
      </c>
    </row>
    <row r="318" spans="3:4" ht="15" customHeight="1">
      <c r="C318" s="608">
        <f ca="1">+'Stock Data'!AM129</f>
        <v>45815</v>
      </c>
      <c r="D318" s="581">
        <f ca="1">_xlfn.XLOOKUP(C318,'Stock Data'!$AM$4:$AM$1051,'Stock Data'!$AN$4:$AN$1051)</f>
        <v>95.55</v>
      </c>
    </row>
    <row r="319" spans="3:4" ht="15" customHeight="1">
      <c r="C319" s="608">
        <f ca="1">+'Stock Data'!AM130</f>
        <v>45814</v>
      </c>
      <c r="D319" s="581">
        <f ca="1">_xlfn.XLOOKUP(C319,'Stock Data'!$AM$4:$AM$1051,'Stock Data'!$AN$4:$AN$1051)</f>
        <v>96.87</v>
      </c>
    </row>
    <row r="320" spans="3:4" ht="15" customHeight="1">
      <c r="C320" s="608">
        <f ca="1">+'Stock Data'!AM131</f>
        <v>45813</v>
      </c>
      <c r="D320" s="581">
        <f ca="1">_xlfn.XLOOKUP(C320,'Stock Data'!$AM$4:$AM$1051,'Stock Data'!$AN$4:$AN$1051)</f>
        <v>92.8</v>
      </c>
    </row>
    <row r="321" spans="3:4" ht="15" customHeight="1">
      <c r="C321" s="608">
        <f ca="1">+'Stock Data'!AM132</f>
        <v>45812</v>
      </c>
      <c r="D321" s="581">
        <f ca="1">_xlfn.XLOOKUP(C321,'Stock Data'!$AM$4:$AM$1051,'Stock Data'!$AN$4:$AN$1051)</f>
        <v>92.91</v>
      </c>
    </row>
    <row r="322" spans="3:4" ht="15" customHeight="1">
      <c r="C322" s="608">
        <f ca="1">+'Stock Data'!AM133</f>
        <v>45811</v>
      </c>
      <c r="D322" s="581">
        <f ca="1">_xlfn.XLOOKUP(C322,'Stock Data'!$AM$4:$AM$1051,'Stock Data'!$AN$4:$AN$1051)</f>
        <v>92.91</v>
      </c>
    </row>
    <row r="323" spans="3:4" ht="15" customHeight="1">
      <c r="C323" s="608">
        <f ca="1">+'Stock Data'!AM134</f>
        <v>45810</v>
      </c>
      <c r="D323" s="581">
        <f ca="1">_xlfn.XLOOKUP(C323,'Stock Data'!$AM$4:$AM$1051,'Stock Data'!$AN$4:$AN$1051)</f>
        <v>92.91</v>
      </c>
    </row>
    <row r="324" spans="3:4" ht="15" customHeight="1">
      <c r="C324" s="608">
        <f ca="1">+'Stock Data'!AM135</f>
        <v>45809</v>
      </c>
      <c r="D324" s="581">
        <f ca="1">_xlfn.XLOOKUP(C324,'Stock Data'!$AM$4:$AM$1051,'Stock Data'!$AN$4:$AN$1051)</f>
        <v>92.48</v>
      </c>
    </row>
    <row r="325" spans="3:4" ht="15" customHeight="1">
      <c r="C325" s="608">
        <f ca="1">+'Stock Data'!AM136</f>
        <v>45808</v>
      </c>
      <c r="D325" s="581">
        <f ca="1">_xlfn.XLOOKUP(C325,'Stock Data'!$AM$4:$AM$1051,'Stock Data'!$AN$4:$AN$1051)</f>
        <v>93.37</v>
      </c>
    </row>
    <row r="326" spans="3:4" ht="15" customHeight="1">
      <c r="C326" s="608">
        <f ca="1">+'Stock Data'!AM137</f>
        <v>45807</v>
      </c>
      <c r="D326" s="581">
        <f ca="1">_xlfn.XLOOKUP(C326,'Stock Data'!$AM$4:$AM$1051,'Stock Data'!$AN$4:$AN$1051)</f>
        <v>96.84</v>
      </c>
    </row>
    <row r="327" spans="3:4" ht="15" customHeight="1">
      <c r="C327" s="608">
        <f ca="1">+'Stock Data'!AM138</f>
        <v>45806</v>
      </c>
      <c r="D327" s="581">
        <f ca="1">_xlfn.XLOOKUP(C327,'Stock Data'!$AM$4:$AM$1051,'Stock Data'!$AN$4:$AN$1051)</f>
        <v>95.5</v>
      </c>
    </row>
    <row r="328" spans="3:4" ht="15" customHeight="1">
      <c r="C328" s="608">
        <f ca="1">+'Stock Data'!AM139</f>
        <v>45805</v>
      </c>
      <c r="D328" s="581">
        <f ca="1">_xlfn.XLOOKUP(C328,'Stock Data'!$AM$4:$AM$1051,'Stock Data'!$AN$4:$AN$1051)</f>
        <v>94.81</v>
      </c>
    </row>
    <row r="329" spans="3:4" ht="15" customHeight="1">
      <c r="C329" s="608">
        <f ca="1">+'Stock Data'!AM140</f>
        <v>45804</v>
      </c>
      <c r="D329" s="581">
        <f ca="1">_xlfn.XLOOKUP(C329,'Stock Data'!$AM$4:$AM$1051,'Stock Data'!$AN$4:$AN$1051)</f>
        <v>94.81</v>
      </c>
    </row>
    <row r="330" spans="3:4" ht="15" customHeight="1">
      <c r="C330" s="608">
        <f ca="1">+'Stock Data'!AM141</f>
        <v>45803</v>
      </c>
      <c r="D330" s="581">
        <f ca="1">_xlfn.XLOOKUP(C330,'Stock Data'!$AM$4:$AM$1051,'Stock Data'!$AN$4:$AN$1051)</f>
        <v>94.81</v>
      </c>
    </row>
    <row r="331" spans="3:4" ht="15" customHeight="1">
      <c r="C331" s="608">
        <f ca="1">+'Stock Data'!AM142</f>
        <v>45802</v>
      </c>
      <c r="D331" s="581">
        <f ca="1">_xlfn.XLOOKUP(C331,'Stock Data'!$AM$4:$AM$1051,'Stock Data'!$AN$4:$AN$1051)</f>
        <v>92.68</v>
      </c>
    </row>
    <row r="332" spans="3:4" ht="15" customHeight="1">
      <c r="C332" s="608">
        <f ca="1">+'Stock Data'!AM143</f>
        <v>45801</v>
      </c>
      <c r="D332" s="581">
        <f ca="1">_xlfn.XLOOKUP(C332,'Stock Data'!$AM$4:$AM$1051,'Stock Data'!$AN$4:$AN$1051)</f>
        <v>93.3</v>
      </c>
    </row>
    <row r="333" spans="3:4" ht="15" customHeight="1">
      <c r="C333" s="608">
        <f ca="1">+'Stock Data'!AM144</f>
        <v>45800</v>
      </c>
      <c r="D333" s="581">
        <f ca="1">_xlfn.XLOOKUP(C333,'Stock Data'!$AM$4:$AM$1051,'Stock Data'!$AN$4:$AN$1051)</f>
        <v>93.1</v>
      </c>
    </row>
    <row r="334" spans="3:4" ht="15" customHeight="1">
      <c r="C334" s="608">
        <f ca="1">+'Stock Data'!AM145</f>
        <v>45799</v>
      </c>
      <c r="D334" s="581">
        <f ca="1">_xlfn.XLOOKUP(C334,'Stock Data'!$AM$4:$AM$1051,'Stock Data'!$AN$4:$AN$1051)</f>
        <v>90.17</v>
      </c>
    </row>
    <row r="335" spans="3:4" ht="15" customHeight="1">
      <c r="C335" s="608">
        <f ca="1">+'Stock Data'!AM146</f>
        <v>45798</v>
      </c>
      <c r="D335" s="581">
        <f ca="1">_xlfn.XLOOKUP(C335,'Stock Data'!$AM$4:$AM$1051,'Stock Data'!$AN$4:$AN$1051)</f>
        <v>91.49</v>
      </c>
    </row>
    <row r="336" spans="3:4" ht="15" customHeight="1">
      <c r="C336" s="608">
        <f ca="1">+'Stock Data'!AM147</f>
        <v>45797</v>
      </c>
      <c r="D336" s="581">
        <f ca="1">_xlfn.XLOOKUP(C336,'Stock Data'!$AM$4:$AM$1051,'Stock Data'!$AN$4:$AN$1051)</f>
        <v>91.49</v>
      </c>
    </row>
    <row r="337" spans="3:4" ht="15" customHeight="1">
      <c r="C337" s="608">
        <f ca="1">+'Stock Data'!AM148</f>
        <v>45796</v>
      </c>
      <c r="D337" s="581">
        <f ca="1">_xlfn.XLOOKUP(C337,'Stock Data'!$AM$4:$AM$1051,'Stock Data'!$AN$4:$AN$1051)</f>
        <v>91.49</v>
      </c>
    </row>
    <row r="338" spans="3:4" ht="15" customHeight="1">
      <c r="C338" s="608">
        <f ca="1">+'Stock Data'!AM149</f>
        <v>45795</v>
      </c>
      <c r="D338" s="581">
        <f ca="1">_xlfn.XLOOKUP(C338,'Stock Data'!$AM$4:$AM$1051,'Stock Data'!$AN$4:$AN$1051)</f>
        <v>91.49</v>
      </c>
    </row>
    <row r="339" spans="3:4" ht="15" customHeight="1">
      <c r="C339" s="608">
        <f ca="1">+'Stock Data'!AM150</f>
        <v>45794</v>
      </c>
      <c r="D339" s="581">
        <f ca="1">_xlfn.XLOOKUP(C339,'Stock Data'!$AM$4:$AM$1051,'Stock Data'!$AN$4:$AN$1051)</f>
        <v>92.5</v>
      </c>
    </row>
    <row r="340" spans="3:4" ht="15" customHeight="1">
      <c r="C340" s="608">
        <f ca="1">+'Stock Data'!AM151</f>
        <v>45793</v>
      </c>
      <c r="D340" s="581">
        <f ca="1">_xlfn.XLOOKUP(C340,'Stock Data'!$AM$4:$AM$1051,'Stock Data'!$AN$4:$AN$1051)</f>
        <v>96.55</v>
      </c>
    </row>
    <row r="341" spans="3:4" ht="15" customHeight="1">
      <c r="C341" s="608">
        <f ca="1">+'Stock Data'!AM152</f>
        <v>45792</v>
      </c>
      <c r="D341" s="581">
        <f ca="1">_xlfn.XLOOKUP(C341,'Stock Data'!$AM$4:$AM$1051,'Stock Data'!$AN$4:$AN$1051)</f>
        <v>98.75</v>
      </c>
    </row>
    <row r="342" spans="3:4" ht="15" customHeight="1">
      <c r="C342" s="608">
        <f ca="1">+'Stock Data'!AM153</f>
        <v>45791</v>
      </c>
      <c r="D342" s="581">
        <f ca="1">_xlfn.XLOOKUP(C342,'Stock Data'!$AM$4:$AM$1051,'Stock Data'!$AN$4:$AN$1051)</f>
        <v>98.99</v>
      </c>
    </row>
    <row r="343" spans="3:4" ht="15" customHeight="1">
      <c r="C343" s="608">
        <f ca="1">+'Stock Data'!AM154</f>
        <v>45790</v>
      </c>
      <c r="D343" s="581">
        <f ca="1">_xlfn.XLOOKUP(C343,'Stock Data'!$AM$4:$AM$1051,'Stock Data'!$AN$4:$AN$1051)</f>
        <v>98.99</v>
      </c>
    </row>
    <row r="344" spans="3:4" ht="15" customHeight="1">
      <c r="C344" s="608">
        <f ca="1">+'Stock Data'!AM155</f>
        <v>45789</v>
      </c>
      <c r="D344" s="581">
        <f ca="1">_xlfn.XLOOKUP(C344,'Stock Data'!$AM$4:$AM$1051,'Stock Data'!$AN$4:$AN$1051)</f>
        <v>98.99</v>
      </c>
    </row>
    <row r="345" spans="3:4" ht="15" customHeight="1">
      <c r="C345" s="608">
        <f ca="1">+'Stock Data'!AM156</f>
        <v>45788</v>
      </c>
      <c r="D345" s="581">
        <f ca="1">_xlfn.XLOOKUP(C345,'Stock Data'!$AM$4:$AM$1051,'Stock Data'!$AN$4:$AN$1051)</f>
        <v>94.68</v>
      </c>
    </row>
    <row r="346" spans="3:4" ht="15" customHeight="1">
      <c r="C346" s="608">
        <f ca="1">+'Stock Data'!AM157</f>
        <v>45787</v>
      </c>
      <c r="D346" s="581">
        <f ca="1">_xlfn.XLOOKUP(C346,'Stock Data'!$AM$4:$AM$1051,'Stock Data'!$AN$4:$AN$1051)</f>
        <v>92.58</v>
      </c>
    </row>
    <row r="347" spans="3:4" ht="15" customHeight="1">
      <c r="C347" s="608">
        <f ca="1">+'Stock Data'!AM158</f>
        <v>45786</v>
      </c>
      <c r="D347" s="581">
        <f ca="1">_xlfn.XLOOKUP(C347,'Stock Data'!$AM$4:$AM$1051,'Stock Data'!$AN$4:$AN$1051)</f>
        <v>90.33</v>
      </c>
    </row>
    <row r="348" spans="3:4" ht="15" customHeight="1">
      <c r="C348" s="608">
        <f ca="1">+'Stock Data'!AM159</f>
        <v>45785</v>
      </c>
      <c r="D348" s="581">
        <f ca="1">_xlfn.XLOOKUP(C348,'Stock Data'!$AM$4:$AM$1051,'Stock Data'!$AN$4:$AN$1051)</f>
        <v>93.45</v>
      </c>
    </row>
    <row r="349" spans="3:4" ht="15" customHeight="1">
      <c r="C349" s="608">
        <f ca="1">+'Stock Data'!AM160</f>
        <v>45784</v>
      </c>
      <c r="D349" s="581">
        <f ca="1">_xlfn.XLOOKUP(C349,'Stock Data'!$AM$4:$AM$1051,'Stock Data'!$AN$4:$AN$1051)</f>
        <v>92.29</v>
      </c>
    </row>
    <row r="350" spans="3:4" ht="15" customHeight="1">
      <c r="C350" s="608">
        <f ca="1">+'Stock Data'!AM161</f>
        <v>45783</v>
      </c>
      <c r="D350" s="581">
        <f ca="1">_xlfn.XLOOKUP(C350,'Stock Data'!$AM$4:$AM$1051,'Stock Data'!$AN$4:$AN$1051)</f>
        <v>92.29</v>
      </c>
    </row>
    <row r="351" spans="3:4" ht="15" customHeight="1">
      <c r="C351" s="608">
        <f ca="1">+'Stock Data'!AM162</f>
        <v>45782</v>
      </c>
      <c r="D351" s="581">
        <f ca="1">_xlfn.XLOOKUP(C351,'Stock Data'!$AM$4:$AM$1051,'Stock Data'!$AN$4:$AN$1051)</f>
        <v>92.29</v>
      </c>
    </row>
    <row r="352" spans="3:4" ht="15" customHeight="1">
      <c r="C352" s="608">
        <f ca="1">+'Stock Data'!AM163</f>
        <v>45781</v>
      </c>
      <c r="D352" s="581">
        <f ca="1">_xlfn.XLOOKUP(C352,'Stock Data'!$AM$4:$AM$1051,'Stock Data'!$AN$4:$AN$1051)</f>
        <v>92.97</v>
      </c>
    </row>
    <row r="353" spans="3:4" ht="15" customHeight="1">
      <c r="C353" s="608">
        <f ca="1">+'Stock Data'!AM164</f>
        <v>45780</v>
      </c>
      <c r="D353" s="581">
        <f ca="1">_xlfn.XLOOKUP(C353,'Stock Data'!$AM$4:$AM$1051,'Stock Data'!$AN$4:$AN$1051)</f>
        <v>93.08</v>
      </c>
    </row>
    <row r="354" spans="3:4" ht="15" customHeight="1">
      <c r="C354" s="608">
        <f ca="1">+'Stock Data'!AM165</f>
        <v>45779</v>
      </c>
      <c r="D354" s="581">
        <f ca="1">_xlfn.XLOOKUP(C354,'Stock Data'!$AM$4:$AM$1051,'Stock Data'!$AN$4:$AN$1051)</f>
        <v>91.4</v>
      </c>
    </row>
    <row r="355" spans="3:4" ht="15" customHeight="1">
      <c r="C355" s="608">
        <f ca="1">+'Stock Data'!AM166</f>
        <v>45778</v>
      </c>
      <c r="D355" s="581">
        <f ca="1">_xlfn.XLOOKUP(C355,'Stock Data'!$AM$4:$AM$1051,'Stock Data'!$AN$4:$AN$1051)</f>
        <v>90.9</v>
      </c>
    </row>
    <row r="356" spans="3:4" ht="15" customHeight="1">
      <c r="C356" s="608">
        <f ca="1">+'Stock Data'!AM167</f>
        <v>45777</v>
      </c>
      <c r="D356" s="581">
        <f ca="1">_xlfn.XLOOKUP(C356,'Stock Data'!$AM$4:$AM$1051,'Stock Data'!$AN$4:$AN$1051)</f>
        <v>91.01</v>
      </c>
    </row>
    <row r="357" spans="3:4" ht="15" customHeight="1">
      <c r="C357" s="608">
        <f ca="1">+'Stock Data'!AM168</f>
        <v>45776</v>
      </c>
      <c r="D357" s="581">
        <f ca="1">_xlfn.XLOOKUP(C357,'Stock Data'!$AM$4:$AM$1051,'Stock Data'!$AN$4:$AN$1051)</f>
        <v>91.01</v>
      </c>
    </row>
    <row r="358" spans="3:4" ht="15" customHeight="1">
      <c r="C358" s="608">
        <f ca="1">+'Stock Data'!AM169</f>
        <v>45775</v>
      </c>
      <c r="D358" s="581">
        <f ca="1">_xlfn.XLOOKUP(C358,'Stock Data'!$AM$4:$AM$1051,'Stock Data'!$AN$4:$AN$1051)</f>
        <v>91.01</v>
      </c>
    </row>
    <row r="359" spans="3:4" ht="15" customHeight="1">
      <c r="C359" s="608">
        <f ca="1">+'Stock Data'!AM170</f>
        <v>45774</v>
      </c>
      <c r="D359" s="581">
        <f ca="1">_xlfn.XLOOKUP(C359,'Stock Data'!$AM$4:$AM$1051,'Stock Data'!$AN$4:$AN$1051)</f>
        <v>92.21</v>
      </c>
    </row>
    <row r="360" spans="3:4" ht="15" customHeight="1">
      <c r="C360" s="608">
        <f ca="1">+'Stock Data'!AM171</f>
        <v>45773</v>
      </c>
      <c r="D360" s="581">
        <f ca="1">_xlfn.XLOOKUP(C360,'Stock Data'!$AM$4:$AM$1051,'Stock Data'!$AN$4:$AN$1051)</f>
        <v>92.8</v>
      </c>
    </row>
    <row r="361" spans="3:4" ht="15" customHeight="1">
      <c r="C361" s="608">
        <f ca="1">+'Stock Data'!AM172</f>
        <v>45772</v>
      </c>
      <c r="D361" s="581">
        <f ca="1">_xlfn.XLOOKUP(C361,'Stock Data'!$AM$4:$AM$1051,'Stock Data'!$AN$4:$AN$1051)</f>
        <v>94.03</v>
      </c>
    </row>
    <row r="362" spans="3:4" ht="15" customHeight="1">
      <c r="C362" s="608">
        <f ca="1">+'Stock Data'!AM173</f>
        <v>45771</v>
      </c>
      <c r="D362" s="581">
        <f ca="1">_xlfn.XLOOKUP(C362,'Stock Data'!$AM$4:$AM$1051,'Stock Data'!$AN$4:$AN$1051)</f>
        <v>93.2</v>
      </c>
    </row>
    <row r="363" spans="3:4" ht="15" customHeight="1">
      <c r="C363" s="608">
        <f ca="1">+'Stock Data'!AM174</f>
        <v>45770</v>
      </c>
      <c r="D363" s="581">
        <f ca="1">_xlfn.XLOOKUP(C363,'Stock Data'!$AM$4:$AM$1051,'Stock Data'!$AN$4:$AN$1051)</f>
        <v>89.2</v>
      </c>
    </row>
    <row r="364" spans="3:4" ht="15" customHeight="1">
      <c r="C364" s="608">
        <f ca="1">+'Stock Data'!AM175</f>
        <v>45769</v>
      </c>
      <c r="D364" s="581">
        <f ca="1">_xlfn.XLOOKUP(C364,'Stock Data'!$AM$4:$AM$1051,'Stock Data'!$AN$4:$AN$1051)</f>
        <v>89.2</v>
      </c>
    </row>
    <row r="365" spans="3:4" ht="15" customHeight="1">
      <c r="C365" s="608">
        <f ca="1">+'Stock Data'!AM176</f>
        <v>45768</v>
      </c>
      <c r="D365" s="581">
        <f ca="1">_xlfn.XLOOKUP(C365,'Stock Data'!$AM$4:$AM$1051,'Stock Data'!$AN$4:$AN$1051)</f>
        <v>89.2</v>
      </c>
    </row>
    <row r="366" spans="3:4" ht="15" customHeight="1">
      <c r="C366" s="608">
        <f ca="1">+'Stock Data'!AM177</f>
        <v>45767</v>
      </c>
      <c r="D366" s="581">
        <f ca="1">_xlfn.XLOOKUP(C366,'Stock Data'!$AM$4:$AM$1051,'Stock Data'!$AN$4:$AN$1051)</f>
        <v>88.72</v>
      </c>
    </row>
    <row r="367" spans="3:4" ht="15" customHeight="1">
      <c r="C367" s="608">
        <f ca="1">+'Stock Data'!AM178</f>
        <v>45766</v>
      </c>
      <c r="D367" s="581">
        <f ca="1">_xlfn.XLOOKUP(C367,'Stock Data'!$AM$4:$AM$1051,'Stock Data'!$AN$4:$AN$1051)</f>
        <v>89.39</v>
      </c>
    </row>
    <row r="368" spans="3:4" ht="15" customHeight="1">
      <c r="C368" s="608">
        <f ca="1">+'Stock Data'!AM179</f>
        <v>45765</v>
      </c>
      <c r="D368" s="581">
        <f ca="1">_xlfn.XLOOKUP(C368,'Stock Data'!$AM$4:$AM$1051,'Stock Data'!$AN$4:$AN$1051)</f>
        <v>87.97</v>
      </c>
    </row>
    <row r="369" spans="3:4" ht="15" customHeight="1">
      <c r="C369" s="608">
        <f ca="1">+'Stock Data'!AM180</f>
        <v>45764</v>
      </c>
      <c r="D369" s="581">
        <f ca="1">_xlfn.XLOOKUP(C369,'Stock Data'!$AM$4:$AM$1051,'Stock Data'!$AN$4:$AN$1051)</f>
        <v>91.7</v>
      </c>
    </row>
    <row r="370" spans="3:4" ht="15" customHeight="1">
      <c r="C370" s="608">
        <f ca="1">+'Stock Data'!AM181</f>
        <v>45763</v>
      </c>
      <c r="D370" s="581">
        <f ca="1">_xlfn.XLOOKUP(C370,'Stock Data'!$AM$4:$AM$1051,'Stock Data'!$AN$4:$AN$1051)</f>
        <v>83.03</v>
      </c>
    </row>
    <row r="371" spans="3:4" ht="15" customHeight="1">
      <c r="C371" s="608">
        <f ca="1">+'Stock Data'!AM182</f>
        <v>45762</v>
      </c>
      <c r="D371" s="581">
        <f ca="1">_xlfn.XLOOKUP(C371,'Stock Data'!$AM$4:$AM$1051,'Stock Data'!$AN$4:$AN$1051)</f>
        <v>83.03</v>
      </c>
    </row>
    <row r="372" spans="3:4" ht="15" customHeight="1">
      <c r="C372" s="608">
        <f ca="1">+'Stock Data'!AM183</f>
        <v>45761</v>
      </c>
      <c r="D372" s="581">
        <f ca="1">_xlfn.XLOOKUP(C372,'Stock Data'!$AM$4:$AM$1051,'Stock Data'!$AN$4:$AN$1051)</f>
        <v>83.03</v>
      </c>
    </row>
    <row r="373" spans="3:4" ht="15" customHeight="1">
      <c r="C373" s="608">
        <f ca="1">+'Stock Data'!AM184</f>
        <v>45760</v>
      </c>
      <c r="D373" s="581">
        <f ca="1">_xlfn.XLOOKUP(C373,'Stock Data'!$AM$4:$AM$1051,'Stock Data'!$AN$4:$AN$1051)</f>
        <v>80.87</v>
      </c>
    </row>
    <row r="374" spans="3:4" ht="15" customHeight="1">
      <c r="C374" s="608">
        <f ca="1">+'Stock Data'!AM185</f>
        <v>45759</v>
      </c>
      <c r="D374" s="581">
        <f ca="1">_xlfn.XLOOKUP(C374,'Stock Data'!$AM$4:$AM$1051,'Stock Data'!$AN$4:$AN$1051)</f>
        <v>86.46</v>
      </c>
    </row>
    <row r="375" spans="3:4" ht="15" customHeight="1">
      <c r="C375" s="608">
        <f ca="1">+'Stock Data'!AM186</f>
        <v>45758</v>
      </c>
      <c r="D375" s="581">
        <f ca="1">_xlfn.XLOOKUP(C375,'Stock Data'!$AM$4:$AM$1051,'Stock Data'!$AN$4:$AN$1051)</f>
        <v>87.63</v>
      </c>
    </row>
    <row r="376" spans="3:4" ht="15" customHeight="1">
      <c r="C376" s="608">
        <f ca="1">+'Stock Data'!AM187</f>
        <v>45757</v>
      </c>
      <c r="D376" s="581">
        <f ca="1">_xlfn.XLOOKUP(C376,'Stock Data'!$AM$4:$AM$1051,'Stock Data'!$AN$4:$AN$1051)</f>
        <v>87.37</v>
      </c>
    </row>
    <row r="377" spans="3:4" ht="15" customHeight="1">
      <c r="C377" s="608">
        <f ca="1">+'Stock Data'!AM188</f>
        <v>45756</v>
      </c>
      <c r="D377" s="581">
        <f ca="1">_xlfn.XLOOKUP(C377,'Stock Data'!$AM$4:$AM$1051,'Stock Data'!$AN$4:$AN$1051)</f>
        <v>87.18</v>
      </c>
    </row>
    <row r="378" spans="3:4" ht="15" customHeight="1">
      <c r="C378" s="608">
        <f ca="1">+'Stock Data'!AM189</f>
        <v>45755</v>
      </c>
      <c r="D378" s="581">
        <f ca="1">_xlfn.XLOOKUP(C378,'Stock Data'!$AM$4:$AM$1051,'Stock Data'!$AN$4:$AN$1051)</f>
        <v>87.18</v>
      </c>
    </row>
    <row r="379" spans="3:4" ht="15" customHeight="1">
      <c r="C379" s="608">
        <f ca="1">+'Stock Data'!AM190</f>
        <v>45754</v>
      </c>
      <c r="D379" s="581">
        <f ca="1">_xlfn.XLOOKUP(C379,'Stock Data'!$AM$4:$AM$1051,'Stock Data'!$AN$4:$AN$1051)</f>
        <v>87.18</v>
      </c>
    </row>
    <row r="380" spans="3:4" ht="15" customHeight="1">
      <c r="C380" s="608">
        <f ca="1">+'Stock Data'!AM191</f>
        <v>45753</v>
      </c>
      <c r="D380" s="581">
        <f ca="1">_xlfn.XLOOKUP(C380,'Stock Data'!$AM$4:$AM$1051,'Stock Data'!$AN$4:$AN$1051)</f>
        <v>82.65</v>
      </c>
    </row>
    <row r="381" spans="3:4" ht="15" customHeight="1">
      <c r="C381" s="608">
        <f ca="1">+'Stock Data'!AM192</f>
        <v>45752</v>
      </c>
      <c r="D381" s="581">
        <f ca="1">_xlfn.XLOOKUP(C381,'Stock Data'!$AM$4:$AM$1051,'Stock Data'!$AN$4:$AN$1051)</f>
        <v>84.19</v>
      </c>
    </row>
    <row r="382" spans="3:4" ht="15" customHeight="1">
      <c r="C382" s="608">
        <f ca="1">+'Stock Data'!AM193</f>
        <v>45751</v>
      </c>
      <c r="D382" s="581">
        <f ca="1">_xlfn.XLOOKUP(C382,'Stock Data'!$AM$4:$AM$1051,'Stock Data'!$AN$4:$AN$1051)</f>
        <v>88.54</v>
      </c>
    </row>
    <row r="383" spans="3:4" ht="15" customHeight="1">
      <c r="C383" s="608">
        <f ca="1">+'Stock Data'!AM194</f>
        <v>45750</v>
      </c>
      <c r="D383" s="581">
        <f ca="1">_xlfn.XLOOKUP(C383,'Stock Data'!$AM$4:$AM$1051,'Stock Data'!$AN$4:$AN$1051)</f>
        <v>90.46</v>
      </c>
    </row>
    <row r="384" spans="3:4" ht="15" customHeight="1">
      <c r="C384" s="608">
        <f ca="1">+'Stock Data'!AM195</f>
        <v>45749</v>
      </c>
      <c r="D384" s="581">
        <f ca="1">_xlfn.XLOOKUP(C384,'Stock Data'!$AM$4:$AM$1051,'Stock Data'!$AN$4:$AN$1051)</f>
        <v>90.39</v>
      </c>
    </row>
    <row r="385" spans="3:4" ht="15" customHeight="1">
      <c r="C385" s="608">
        <f ca="1">+'Stock Data'!AM196</f>
        <v>45748</v>
      </c>
      <c r="D385" s="581">
        <f ca="1">_xlfn.XLOOKUP(C385,'Stock Data'!$AM$4:$AM$1051,'Stock Data'!$AN$4:$AN$1051)</f>
        <v>90.39</v>
      </c>
    </row>
    <row r="386" spans="3:4" ht="15" customHeight="1">
      <c r="C386" s="608">
        <f ca="1">+'Stock Data'!AM197</f>
        <v>45747</v>
      </c>
      <c r="D386" s="581">
        <f ca="1">_xlfn.XLOOKUP(C386,'Stock Data'!$AM$4:$AM$1051,'Stock Data'!$AN$4:$AN$1051)</f>
        <v>90.39</v>
      </c>
    </row>
    <row r="387" spans="3:4" ht="15" customHeight="1">
      <c r="C387" s="608">
        <f ca="1">+'Stock Data'!AM198</f>
        <v>45746</v>
      </c>
      <c r="D387" s="581">
        <f ca="1">_xlfn.XLOOKUP(C387,'Stock Data'!$AM$4:$AM$1051,'Stock Data'!$AN$4:$AN$1051)</f>
        <v>88.78</v>
      </c>
    </row>
    <row r="388" spans="3:4" ht="15" customHeight="1">
      <c r="C388" s="608">
        <f ca="1">+'Stock Data'!AM199</f>
        <v>45745</v>
      </c>
      <c r="D388" s="581">
        <f ca="1">_xlfn.XLOOKUP(C388,'Stock Data'!$AM$4:$AM$1051,'Stock Data'!$AN$4:$AN$1051)</f>
        <v>87.89</v>
      </c>
    </row>
    <row r="389" spans="3:4" ht="15" customHeight="1">
      <c r="C389" s="608">
        <f ca="1">+'Stock Data'!AM200</f>
        <v>45744</v>
      </c>
      <c r="D389" s="581">
        <f ca="1">_xlfn.XLOOKUP(C389,'Stock Data'!$AM$4:$AM$1051,'Stock Data'!$AN$4:$AN$1051)</f>
        <v>88.07</v>
      </c>
    </row>
    <row r="390" spans="3:4" ht="15" customHeight="1">
      <c r="C390" s="608">
        <f ca="1">+'Stock Data'!AM201</f>
        <v>45743</v>
      </c>
      <c r="D390" s="581">
        <f ca="1">_xlfn.XLOOKUP(C390,'Stock Data'!$AM$4:$AM$1051,'Stock Data'!$AN$4:$AN$1051)</f>
        <v>89.34</v>
      </c>
    </row>
    <row r="391" spans="3:4" ht="15" customHeight="1">
      <c r="C391" s="608">
        <f ca="1">+'Stock Data'!AM202</f>
        <v>45742</v>
      </c>
      <c r="D391" s="581">
        <f ca="1">_xlfn.XLOOKUP(C391,'Stock Data'!$AM$4:$AM$1051,'Stock Data'!$AN$4:$AN$1051)</f>
        <v>91.04</v>
      </c>
    </row>
    <row r="392" spans="3:4" ht="15" customHeight="1">
      <c r="C392" s="608">
        <f ca="1">+'Stock Data'!AM203</f>
        <v>45741</v>
      </c>
      <c r="D392" s="581">
        <f ca="1">_xlfn.XLOOKUP(C392,'Stock Data'!$AM$4:$AM$1051,'Stock Data'!$AN$4:$AN$1051)</f>
        <v>91.04</v>
      </c>
    </row>
    <row r="393" spans="3:4" ht="15" customHeight="1">
      <c r="C393" s="608">
        <f ca="1">+'Stock Data'!AM204</f>
        <v>45740</v>
      </c>
      <c r="D393" s="581">
        <f ca="1">_xlfn.XLOOKUP(C393,'Stock Data'!$AM$4:$AM$1051,'Stock Data'!$AN$4:$AN$1051)</f>
        <v>91.04</v>
      </c>
    </row>
    <row r="394" spans="3:4" ht="15" customHeight="1">
      <c r="C394" s="608">
        <f ca="1">+'Stock Data'!AM205</f>
        <v>45739</v>
      </c>
      <c r="D394" s="581">
        <f ca="1">_xlfn.XLOOKUP(C394,'Stock Data'!$AM$4:$AM$1051,'Stock Data'!$AN$4:$AN$1051)</f>
        <v>90.11</v>
      </c>
    </row>
    <row r="395" spans="3:4" ht="15" customHeight="1">
      <c r="C395" s="608">
        <f ca="1">+'Stock Data'!AM206</f>
        <v>45738</v>
      </c>
      <c r="D395" s="581">
        <f ca="1">_xlfn.XLOOKUP(C395,'Stock Data'!$AM$4:$AM$1051,'Stock Data'!$AN$4:$AN$1051)</f>
        <v>92.04</v>
      </c>
    </row>
    <row r="396" spans="3:4" ht="15" customHeight="1">
      <c r="C396" s="608">
        <f ca="1">+'Stock Data'!AM207</f>
        <v>45737</v>
      </c>
      <c r="D396" s="581">
        <f ca="1">_xlfn.XLOOKUP(C396,'Stock Data'!$AM$4:$AM$1051,'Stock Data'!$AN$4:$AN$1051)</f>
        <v>90.96</v>
      </c>
    </row>
    <row r="397" spans="3:4" ht="15" customHeight="1">
      <c r="C397" s="608">
        <f ca="1">+'Stock Data'!AM208</f>
        <v>45736</v>
      </c>
      <c r="D397" s="581">
        <f ca="1">_xlfn.XLOOKUP(C397,'Stock Data'!$AM$4:$AM$1051,'Stock Data'!$AN$4:$AN$1051)</f>
        <v>95.1</v>
      </c>
    </row>
    <row r="398" spans="3:4" ht="15" customHeight="1">
      <c r="C398" s="608">
        <f ca="1">+'Stock Data'!AM209</f>
        <v>45735</v>
      </c>
      <c r="D398" s="581">
        <f ca="1">_xlfn.XLOOKUP(C398,'Stock Data'!$AM$4:$AM$1051,'Stock Data'!$AN$4:$AN$1051)</f>
        <v>95.1</v>
      </c>
    </row>
    <row r="399" spans="3:4" ht="15" customHeight="1">
      <c r="C399" s="608">
        <f ca="1">+'Stock Data'!AM210</f>
        <v>45734</v>
      </c>
      <c r="D399" s="581">
        <f ca="1">_xlfn.XLOOKUP(C399,'Stock Data'!$AM$4:$AM$1051,'Stock Data'!$AN$4:$AN$1051)</f>
        <v>95.1</v>
      </c>
    </row>
    <row r="400" spans="3:4" ht="15" customHeight="1">
      <c r="C400" s="608">
        <f ca="1">+'Stock Data'!AM211</f>
        <v>45733</v>
      </c>
      <c r="D400" s="581">
        <f ca="1">_xlfn.XLOOKUP(C400,'Stock Data'!$AM$4:$AM$1051,'Stock Data'!$AN$4:$AN$1051)</f>
        <v>95.1</v>
      </c>
    </row>
    <row r="401" spans="3:4" ht="15" customHeight="1">
      <c r="C401" s="608">
        <f ca="1">+'Stock Data'!AM212</f>
        <v>45732</v>
      </c>
      <c r="D401" s="581">
        <f ca="1">_xlfn.XLOOKUP(C401,'Stock Data'!$AM$4:$AM$1051,'Stock Data'!$AN$4:$AN$1051)</f>
        <v>108.6</v>
      </c>
    </row>
    <row r="402" spans="3:4" ht="15" customHeight="1">
      <c r="C402" s="608">
        <f ca="1">+'Stock Data'!AM213</f>
        <v>45731</v>
      </c>
      <c r="D402" s="581">
        <f ca="1">_xlfn.XLOOKUP(C402,'Stock Data'!$AM$4:$AM$1051,'Stock Data'!$AN$4:$AN$1051)</f>
        <v>106.15</v>
      </c>
    </row>
    <row r="403" spans="3:4" ht="15" customHeight="1">
      <c r="C403" s="608">
        <f ca="1">+'Stock Data'!AM214</f>
        <v>45730</v>
      </c>
      <c r="D403" s="581">
        <f ca="1">_xlfn.XLOOKUP(C403,'Stock Data'!$AM$4:$AM$1051,'Stock Data'!$AN$4:$AN$1051)</f>
        <v>113.98</v>
      </c>
    </row>
    <row r="404" spans="3:4" ht="15" customHeight="1">
      <c r="C404" s="608">
        <f ca="1">+'Stock Data'!AM215</f>
        <v>45729</v>
      </c>
      <c r="D404" s="581">
        <f ca="1">_xlfn.XLOOKUP(C404,'Stock Data'!$AM$4:$AM$1051,'Stock Data'!$AN$4:$AN$1051)</f>
        <v>109.41</v>
      </c>
    </row>
    <row r="405" spans="3:4" ht="15" customHeight="1">
      <c r="C405" s="608">
        <f ca="1">+'Stock Data'!AM216</f>
        <v>45728</v>
      </c>
      <c r="D405" s="581">
        <f ca="1">_xlfn.XLOOKUP(C405,'Stock Data'!$AM$4:$AM$1051,'Stock Data'!$AN$4:$AN$1051)</f>
        <v>108.3</v>
      </c>
    </row>
    <row r="406" spans="3:4" ht="15" customHeight="1">
      <c r="C406" s="608">
        <f ca="1">+'Stock Data'!AM217</f>
        <v>45727</v>
      </c>
      <c r="D406" s="581">
        <f ca="1">_xlfn.XLOOKUP(C406,'Stock Data'!$AM$4:$AM$1051,'Stock Data'!$AN$4:$AN$1051)</f>
        <v>108.3</v>
      </c>
    </row>
    <row r="407" spans="3:4" ht="15" customHeight="1">
      <c r="C407" s="608">
        <f ca="1">+'Stock Data'!AM218</f>
        <v>45726</v>
      </c>
      <c r="D407" s="581">
        <f ca="1">_xlfn.XLOOKUP(C407,'Stock Data'!$AM$4:$AM$1051,'Stock Data'!$AN$4:$AN$1051)</f>
        <v>108.3</v>
      </c>
    </row>
    <row r="408" spans="3:4" ht="15" customHeight="1">
      <c r="C408" s="608">
        <f ca="1">+'Stock Data'!AM219</f>
        <v>45725</v>
      </c>
      <c r="D408" s="581">
        <f ca="1">_xlfn.XLOOKUP(C408,'Stock Data'!$AM$4:$AM$1051,'Stock Data'!$AN$4:$AN$1051)</f>
        <v>108.77</v>
      </c>
    </row>
    <row r="409" spans="3:4" ht="15" customHeight="1">
      <c r="C409" s="608">
        <f ca="1">+'Stock Data'!AM220</f>
        <v>45724</v>
      </c>
      <c r="D409" s="581">
        <f ca="1">_xlfn.XLOOKUP(C409,'Stock Data'!$AM$4:$AM$1051,'Stock Data'!$AN$4:$AN$1051)</f>
        <v>106.78</v>
      </c>
    </row>
    <row r="410" spans="3:4" ht="15" customHeight="1">
      <c r="C410" s="608">
        <f ca="1">+'Stock Data'!AM221</f>
        <v>45723</v>
      </c>
      <c r="D410" s="581">
        <f ca="1">_xlfn.XLOOKUP(C410,'Stock Data'!$AM$4:$AM$1051,'Stock Data'!$AN$4:$AN$1051)</f>
        <v>107.64</v>
      </c>
    </row>
    <row r="411" spans="3:4" ht="15" customHeight="1">
      <c r="C411" s="608">
        <f ca="1">+'Stock Data'!AM222</f>
        <v>45722</v>
      </c>
      <c r="D411" s="581">
        <f ca="1">_xlfn.XLOOKUP(C411,'Stock Data'!$AM$4:$AM$1051,'Stock Data'!$AN$4:$AN$1051)</f>
        <v>106.7</v>
      </c>
    </row>
    <row r="412" spans="3:4" ht="15" customHeight="1">
      <c r="C412" s="608">
        <f ca="1">+'Stock Data'!AM223</f>
        <v>45721</v>
      </c>
      <c r="D412" s="581">
        <f ca="1">_xlfn.XLOOKUP(C412,'Stock Data'!$AM$4:$AM$1051,'Stock Data'!$AN$4:$AN$1051)</f>
        <v>107.9</v>
      </c>
    </row>
    <row r="413" spans="3:4" ht="15" customHeight="1">
      <c r="C413" s="608">
        <f ca="1">+'Stock Data'!AM224</f>
        <v>45720</v>
      </c>
      <c r="D413" s="581">
        <f ca="1">_xlfn.XLOOKUP(C413,'Stock Data'!$AM$4:$AM$1051,'Stock Data'!$AN$4:$AN$1051)</f>
        <v>107.9</v>
      </c>
    </row>
    <row r="414" spans="3:4" ht="15" customHeight="1">
      <c r="C414" s="608">
        <f ca="1">+'Stock Data'!AM225</f>
        <v>45719</v>
      </c>
      <c r="D414" s="581">
        <f ca="1">_xlfn.XLOOKUP(C414,'Stock Data'!$AM$4:$AM$1051,'Stock Data'!$AN$4:$AN$1051)</f>
        <v>107.9</v>
      </c>
    </row>
    <row r="415" spans="3:4" ht="15" customHeight="1">
      <c r="C415" s="608">
        <f ca="1">+'Stock Data'!AM226</f>
        <v>45718</v>
      </c>
      <c r="D415" s="581">
        <f ca="1">_xlfn.XLOOKUP(C415,'Stock Data'!$AM$4:$AM$1051,'Stock Data'!$AN$4:$AN$1051)</f>
        <v>115.8</v>
      </c>
    </row>
    <row r="416" spans="3:4" ht="15" customHeight="1">
      <c r="C416" s="608">
        <f ca="1">+'Stock Data'!AM227</f>
        <v>45717</v>
      </c>
      <c r="D416" s="581">
        <f ca="1">_xlfn.XLOOKUP(C416,'Stock Data'!$AM$4:$AM$1051,'Stock Data'!$AN$4:$AN$1051)</f>
        <v>112.38</v>
      </c>
    </row>
    <row r="417" spans="3:4" ht="15" customHeight="1">
      <c r="C417" s="608">
        <f ca="1">+'Stock Data'!AM228</f>
        <v>45716</v>
      </c>
      <c r="D417" s="581">
        <f ca="1">_xlfn.XLOOKUP(C417,'Stock Data'!$AM$4:$AM$1051,'Stock Data'!$AN$4:$AN$1051)</f>
        <v>111.21</v>
      </c>
    </row>
    <row r="418" spans="3:4" ht="15" customHeight="1">
      <c r="C418" s="608">
        <f ca="1">+'Stock Data'!AM229</f>
        <v>45715</v>
      </c>
      <c r="D418" s="581">
        <f ca="1">_xlfn.XLOOKUP(C418,'Stock Data'!$AM$4:$AM$1051,'Stock Data'!$AN$4:$AN$1051)</f>
        <v>109.38</v>
      </c>
    </row>
    <row r="419" spans="3:4" ht="15" customHeight="1">
      <c r="C419" s="608">
        <f ca="1">+'Stock Data'!AM230</f>
        <v>45714</v>
      </c>
      <c r="D419" s="581">
        <f ca="1">_xlfn.XLOOKUP(C419,'Stock Data'!$AM$4:$AM$1051,'Stock Data'!$AN$4:$AN$1051)</f>
        <v>106.7</v>
      </c>
    </row>
    <row r="420" spans="3:4" ht="15" customHeight="1">
      <c r="C420" s="608">
        <f ca="1">+'Stock Data'!AM231</f>
        <v>45713</v>
      </c>
      <c r="D420" s="581">
        <f ca="1">_xlfn.XLOOKUP(C420,'Stock Data'!$AM$4:$AM$1051,'Stock Data'!$AN$4:$AN$1051)</f>
        <v>106.7</v>
      </c>
    </row>
    <row r="421" spans="3:4" ht="15" customHeight="1">
      <c r="C421" s="608">
        <f ca="1">+'Stock Data'!AM232</f>
        <v>45712</v>
      </c>
      <c r="D421" s="581">
        <f ca="1">_xlfn.XLOOKUP(C421,'Stock Data'!$AM$4:$AM$1051,'Stock Data'!$AN$4:$AN$1051)</f>
        <v>106.7</v>
      </c>
    </row>
    <row r="422" spans="3:4" ht="15" customHeight="1">
      <c r="C422" s="608">
        <f ca="1">+'Stock Data'!AM233</f>
        <v>45711</v>
      </c>
      <c r="D422" s="581">
        <f ca="1">_xlfn.XLOOKUP(C422,'Stock Data'!$AM$4:$AM$1051,'Stock Data'!$AN$4:$AN$1051)</f>
        <v>110.48</v>
      </c>
    </row>
    <row r="423" spans="3:4" ht="15" customHeight="1">
      <c r="C423" s="608">
        <f ca="1">+'Stock Data'!AM234</f>
        <v>45710</v>
      </c>
      <c r="D423" s="581">
        <f ca="1">_xlfn.XLOOKUP(C423,'Stock Data'!$AM$4:$AM$1051,'Stock Data'!$AN$4:$AN$1051)</f>
        <v>112.03</v>
      </c>
    </row>
    <row r="424" spans="3:4" ht="15" customHeight="1">
      <c r="C424" s="608">
        <f ca="1">+'Stock Data'!AM235</f>
        <v>45709</v>
      </c>
      <c r="D424" s="581">
        <f ca="1">_xlfn.XLOOKUP(C424,'Stock Data'!$AM$4:$AM$1051,'Stock Data'!$AN$4:$AN$1051)</f>
        <v>114.23</v>
      </c>
    </row>
    <row r="425" spans="3:4" ht="15" customHeight="1">
      <c r="C425" s="608">
        <f ca="1">+'Stock Data'!AM236</f>
        <v>45708</v>
      </c>
      <c r="D425" s="581">
        <f ca="1">_xlfn.XLOOKUP(C425,'Stock Data'!$AM$4:$AM$1051,'Stock Data'!$AN$4:$AN$1051)</f>
        <v>113.63</v>
      </c>
    </row>
    <row r="426" spans="3:4" ht="15" customHeight="1">
      <c r="C426" s="608">
        <f ca="1">+'Stock Data'!AM237</f>
        <v>45707</v>
      </c>
      <c r="D426" s="581">
        <f ca="1">_xlfn.XLOOKUP(C426,'Stock Data'!$AM$4:$AM$1051,'Stock Data'!$AN$4:$AN$1051)</f>
        <v>113.63</v>
      </c>
    </row>
    <row r="427" spans="3:4" ht="15" customHeight="1">
      <c r="C427" s="608">
        <f ca="1">+'Stock Data'!AM238</f>
        <v>45706</v>
      </c>
      <c r="D427" s="581">
        <f ca="1">_xlfn.XLOOKUP(C427,'Stock Data'!$AM$4:$AM$1051,'Stock Data'!$AN$4:$AN$1051)</f>
        <v>113.63</v>
      </c>
    </row>
    <row r="428" spans="3:4" ht="15" customHeight="1">
      <c r="C428" s="608">
        <f ca="1">+'Stock Data'!AM239</f>
        <v>45705</v>
      </c>
      <c r="D428" s="581">
        <f ca="1">_xlfn.XLOOKUP(C428,'Stock Data'!$AM$4:$AM$1051,'Stock Data'!$AN$4:$AN$1051)</f>
        <v>113.63</v>
      </c>
    </row>
    <row r="429" spans="3:4" ht="15" customHeight="1">
      <c r="C429" s="608">
        <f ca="1">+'Stock Data'!AM240</f>
        <v>45704</v>
      </c>
      <c r="D429" s="581">
        <f ca="1">_xlfn.XLOOKUP(C429,'Stock Data'!$AM$4:$AM$1051,'Stock Data'!$AN$4:$AN$1051)</f>
        <v>111.91</v>
      </c>
    </row>
    <row r="430" spans="3:4" ht="15" customHeight="1">
      <c r="C430" s="608">
        <f ca="1">+'Stock Data'!AM241</f>
        <v>45703</v>
      </c>
      <c r="D430" s="581">
        <f ca="1">_xlfn.XLOOKUP(C430,'Stock Data'!$AM$4:$AM$1051,'Stock Data'!$AN$4:$AN$1051)</f>
        <v>112.51</v>
      </c>
    </row>
    <row r="431" spans="3:4" ht="15" customHeight="1">
      <c r="C431" s="608">
        <f ca="1">+'Stock Data'!AM242</f>
        <v>45702</v>
      </c>
      <c r="D431" s="581">
        <f ca="1">_xlfn.XLOOKUP(C431,'Stock Data'!$AM$4:$AM$1051,'Stock Data'!$AN$4:$AN$1051)</f>
        <v>109.97</v>
      </c>
    </row>
    <row r="432" spans="3:4" ht="15" customHeight="1">
      <c r="C432" s="608">
        <f ca="1">+'Stock Data'!AM243</f>
        <v>45701</v>
      </c>
      <c r="D432" s="581">
        <f ca="1">_xlfn.XLOOKUP(C432,'Stock Data'!$AM$4:$AM$1051,'Stock Data'!$AN$4:$AN$1051)</f>
        <v>107</v>
      </c>
    </row>
    <row r="433" spans="3:4" ht="15" customHeight="1">
      <c r="C433" s="608">
        <f ca="1">+'Stock Data'!AM244</f>
        <v>45700</v>
      </c>
      <c r="D433" s="581">
        <f ca="1">_xlfn.XLOOKUP(C433,'Stock Data'!$AM$4:$AM$1051,'Stock Data'!$AN$4:$AN$1051)</f>
        <v>101.93</v>
      </c>
    </row>
    <row r="434" spans="3:4" ht="15" customHeight="1">
      <c r="C434" s="608">
        <f ca="1">+'Stock Data'!AM245</f>
        <v>45699</v>
      </c>
      <c r="D434" s="581">
        <f ca="1">_xlfn.XLOOKUP(C434,'Stock Data'!$AM$4:$AM$1051,'Stock Data'!$AN$4:$AN$1051)</f>
        <v>101.93</v>
      </c>
    </row>
    <row r="435" spans="3:4" ht="15" customHeight="1">
      <c r="C435" s="608">
        <f ca="1">+'Stock Data'!AM246</f>
        <v>45698</v>
      </c>
      <c r="D435" s="581">
        <f ca="1">_xlfn.XLOOKUP(C435,'Stock Data'!$AM$4:$AM$1051,'Stock Data'!$AN$4:$AN$1051)</f>
        <v>101.93</v>
      </c>
    </row>
    <row r="436" spans="3:4" ht="15" customHeight="1">
      <c r="C436" s="608">
        <f ca="1">+'Stock Data'!AM247</f>
        <v>45697</v>
      </c>
      <c r="D436" s="581">
        <f ca="1">_xlfn.XLOOKUP(C436,'Stock Data'!$AM$4:$AM$1051,'Stock Data'!$AN$4:$AN$1051)</f>
        <v>104.73</v>
      </c>
    </row>
    <row r="437" spans="3:4" ht="15" customHeight="1">
      <c r="C437" s="608">
        <f ca="1">+'Stock Data'!AM248</f>
        <v>45696</v>
      </c>
      <c r="D437" s="581">
        <f ca="1">_xlfn.XLOOKUP(C437,'Stock Data'!$AM$4:$AM$1051,'Stock Data'!$AN$4:$AN$1051)</f>
        <v>104.73</v>
      </c>
    </row>
    <row r="438" spans="3:4" ht="15" customHeight="1">
      <c r="C438" s="608">
        <f ca="1">+'Stock Data'!AM249</f>
        <v>45695</v>
      </c>
      <c r="D438" s="581">
        <f ca="1">_xlfn.XLOOKUP(C438,'Stock Data'!$AM$4:$AM$1051,'Stock Data'!$AN$4:$AN$1051)</f>
        <v>103.68</v>
      </c>
    </row>
    <row r="439" spans="3:4" ht="15" customHeight="1">
      <c r="C439" s="608">
        <f ca="1">+'Stock Data'!AM250</f>
        <v>45694</v>
      </c>
      <c r="D439" s="581">
        <f ca="1">_xlfn.XLOOKUP(C439,'Stock Data'!$AM$4:$AM$1051,'Stock Data'!$AN$4:$AN$1051)</f>
        <v>104.75</v>
      </c>
    </row>
    <row r="440" spans="3:4" ht="15" customHeight="1">
      <c r="C440" s="608">
        <f ca="1">+'Stock Data'!AM251</f>
        <v>45693</v>
      </c>
      <c r="D440" s="581">
        <f ca="1">_xlfn.XLOOKUP(C440,'Stock Data'!$AM$4:$AM$1051,'Stock Data'!$AN$4:$AN$1051)</f>
        <v>107.54</v>
      </c>
    </row>
    <row r="441" spans="3:4" ht="15" customHeight="1">
      <c r="C441" s="608">
        <f ca="1">+'Stock Data'!AM252</f>
        <v>45692</v>
      </c>
      <c r="D441" s="581">
        <f ca="1">_xlfn.XLOOKUP(C441,'Stock Data'!$AM$4:$AM$1051,'Stock Data'!$AN$4:$AN$1051)</f>
        <v>107.54</v>
      </c>
    </row>
    <row r="442" spans="3:4" ht="15" customHeight="1">
      <c r="C442" s="608">
        <f ca="1">+'Stock Data'!AM253</f>
        <v>45691</v>
      </c>
      <c r="D442" s="581">
        <f ca="1">_xlfn.XLOOKUP(C442,'Stock Data'!$AM$4:$AM$1051,'Stock Data'!$AN$4:$AN$1051)</f>
        <v>107.54</v>
      </c>
    </row>
    <row r="443" spans="3:4" ht="15" customHeight="1">
      <c r="C443" s="608">
        <f ca="1">+'Stock Data'!AM254</f>
        <v>45690</v>
      </c>
      <c r="D443" s="581">
        <f ca="1">_xlfn.XLOOKUP(C443,'Stock Data'!$AM$4:$AM$1051,'Stock Data'!$AN$4:$AN$1051)</f>
        <v>105.63</v>
      </c>
    </row>
    <row r="444" spans="3:4" ht="15" customHeight="1">
      <c r="C444" s="608">
        <f ca="1">+'Stock Data'!AM255</f>
        <v>45689</v>
      </c>
      <c r="D444" s="581">
        <f ca="1">_xlfn.XLOOKUP(C444,'Stock Data'!$AM$4:$AM$1051,'Stock Data'!$AN$4:$AN$1051)</f>
        <v>102.92</v>
      </c>
    </row>
    <row r="445" spans="3:4" ht="15" customHeight="1">
      <c r="C445" s="608">
        <f ca="1">+'Stock Data'!AM256</f>
        <v>45688</v>
      </c>
      <c r="D445" s="581">
        <f ca="1">_xlfn.XLOOKUP(C445,'Stock Data'!$AM$4:$AM$1051,'Stock Data'!$AN$4:$AN$1051)</f>
        <v>102.92</v>
      </c>
    </row>
    <row r="446" spans="3:4" ht="15" customHeight="1">
      <c r="C446" s="608">
        <f ca="1">+'Stock Data'!AM257</f>
        <v>45687</v>
      </c>
      <c r="D446" s="581">
        <f ca="1">_xlfn.XLOOKUP(C446,'Stock Data'!$AM$4:$AM$1051,'Stock Data'!$AN$4:$AN$1051)</f>
        <v>102.03</v>
      </c>
    </row>
    <row r="447" spans="3:4" ht="15" customHeight="1">
      <c r="C447" s="608">
        <f ca="1">+'Stock Data'!AM258</f>
        <v>45686</v>
      </c>
      <c r="D447" s="581">
        <f ca="1">_xlfn.XLOOKUP(C447,'Stock Data'!$AM$4:$AM$1051,'Stock Data'!$AN$4:$AN$1051)</f>
        <v>101.14</v>
      </c>
    </row>
    <row r="448" spans="3:4" ht="15" customHeight="1">
      <c r="C448" s="608">
        <f ca="1">+'Stock Data'!AM259</f>
        <v>45685</v>
      </c>
      <c r="D448" s="581">
        <f ca="1">_xlfn.XLOOKUP(C448,'Stock Data'!$AM$4:$AM$1051,'Stock Data'!$AN$4:$AN$1051)</f>
        <v>101.14</v>
      </c>
    </row>
    <row r="449" spans="3:4" ht="15" customHeight="1">
      <c r="C449" s="608">
        <f ca="1">+'Stock Data'!AM260</f>
        <v>45684</v>
      </c>
      <c r="D449" s="581">
        <f ca="1">_xlfn.XLOOKUP(C449,'Stock Data'!$AM$4:$AM$1051,'Stock Data'!$AN$4:$AN$1051)</f>
        <v>101.14</v>
      </c>
    </row>
    <row r="450" spans="3:4" ht="15" customHeight="1">
      <c r="C450" s="608">
        <f ca="1">+'Stock Data'!AM261</f>
        <v>45683</v>
      </c>
      <c r="D450" s="581">
        <f ca="1">_xlfn.XLOOKUP(C450,'Stock Data'!$AM$4:$AM$1051,'Stock Data'!$AN$4:$AN$1051)</f>
        <v>102.07</v>
      </c>
    </row>
    <row r="451" spans="3:4" ht="15" customHeight="1">
      <c r="C451" s="608">
        <f ca="1">+'Stock Data'!AM262</f>
        <v>45682</v>
      </c>
      <c r="D451" s="581">
        <f ca="1">_xlfn.XLOOKUP(C451,'Stock Data'!$AM$4:$AM$1051,'Stock Data'!$AN$4:$AN$1051)</f>
        <v>102.75</v>
      </c>
    </row>
    <row r="452" spans="3:4" ht="15" customHeight="1">
      <c r="C452" s="608">
        <f ca="1">+'Stock Data'!AM263</f>
        <v>45681</v>
      </c>
      <c r="D452" s="581">
        <f ca="1">_xlfn.XLOOKUP(C452,'Stock Data'!$AM$4:$AM$1051,'Stock Data'!$AN$4:$AN$1051)</f>
        <v>102.75</v>
      </c>
    </row>
    <row r="453" spans="3:4" ht="15" customHeight="1">
      <c r="C453" s="608">
        <f ca="1">+'Stock Data'!AM264</f>
        <v>45680</v>
      </c>
      <c r="D453" s="581">
        <f ca="1">_xlfn.XLOOKUP(C453,'Stock Data'!$AM$4:$AM$1051,'Stock Data'!$AN$4:$AN$1051)</f>
        <v>100.59</v>
      </c>
    </row>
    <row r="454" spans="3:4" ht="15" customHeight="1">
      <c r="C454" s="608">
        <f ca="1">+'Stock Data'!AM265</f>
        <v>45679</v>
      </c>
      <c r="D454" s="581">
        <f ca="1">_xlfn.XLOOKUP(C454,'Stock Data'!$AM$4:$AM$1051,'Stock Data'!$AN$4:$AN$1051)</f>
        <v>102.89</v>
      </c>
    </row>
    <row r="455" spans="3:4" ht="15" customHeight="1">
      <c r="C455" s="608">
        <f ca="1">+'Stock Data'!AM266</f>
        <v>45678</v>
      </c>
      <c r="D455" s="581">
        <f ca="1">_xlfn.XLOOKUP(C455,'Stock Data'!$AM$4:$AM$1051,'Stock Data'!$AN$4:$AN$1051)</f>
        <v>102.89</v>
      </c>
    </row>
    <row r="456" spans="3:4" ht="15" customHeight="1">
      <c r="C456" s="608">
        <f ca="1">+'Stock Data'!AM267</f>
        <v>45677</v>
      </c>
      <c r="D456" s="581">
        <f ca="1">_xlfn.XLOOKUP(C456,'Stock Data'!$AM$4:$AM$1051,'Stock Data'!$AN$4:$AN$1051)</f>
        <v>102.89</v>
      </c>
    </row>
    <row r="457" spans="3:4" ht="15" customHeight="1">
      <c r="C457" s="608">
        <f ca="1">+'Stock Data'!AM268</f>
        <v>45676</v>
      </c>
      <c r="D457" s="581">
        <f ca="1">_xlfn.XLOOKUP(C457,'Stock Data'!$AM$4:$AM$1051,'Stock Data'!$AN$4:$AN$1051)</f>
        <v>104.37</v>
      </c>
    </row>
    <row r="458" spans="3:4" ht="15" customHeight="1">
      <c r="C458" s="608">
        <f ca="1">+'Stock Data'!AM269</f>
        <v>45675</v>
      </c>
      <c r="D458" s="581">
        <f ca="1">_xlfn.XLOOKUP(C458,'Stock Data'!$AM$4:$AM$1051,'Stock Data'!$AN$4:$AN$1051)</f>
        <v>103.53</v>
      </c>
    </row>
    <row r="459" spans="3:4" ht="15" customHeight="1">
      <c r="C459" s="608">
        <f ca="1">+'Stock Data'!AM270</f>
        <v>45674</v>
      </c>
      <c r="D459" s="581">
        <f ca="1">_xlfn.XLOOKUP(C459,'Stock Data'!$AM$4:$AM$1051,'Stock Data'!$AN$4:$AN$1051)</f>
        <v>106.66</v>
      </c>
    </row>
    <row r="460" spans="3:4" ht="15" customHeight="1">
      <c r="C460" s="608">
        <f ca="1">+'Stock Data'!AM271</f>
        <v>45673</v>
      </c>
      <c r="D460" s="581">
        <f ca="1">_xlfn.XLOOKUP(C460,'Stock Data'!$AM$4:$AM$1051,'Stock Data'!$AN$4:$AN$1051)</f>
        <v>112.24</v>
      </c>
    </row>
    <row r="461" spans="3:4" ht="15" customHeight="1">
      <c r="C461" s="608">
        <f ca="1">+'Stock Data'!AM272</f>
        <v>45672</v>
      </c>
      <c r="D461" s="581">
        <f ca="1">_xlfn.XLOOKUP(C461,'Stock Data'!$AM$4:$AM$1051,'Stock Data'!$AN$4:$AN$1051)</f>
        <v>108.12</v>
      </c>
    </row>
    <row r="462" spans="3:4" ht="15" customHeight="1">
      <c r="C462" s="608">
        <f ca="1">+'Stock Data'!AM273</f>
        <v>45671</v>
      </c>
      <c r="D462" s="581">
        <f ca="1">_xlfn.XLOOKUP(C462,'Stock Data'!$AM$4:$AM$1051,'Stock Data'!$AN$4:$AN$1051)</f>
        <v>108.12</v>
      </c>
    </row>
    <row r="463" spans="3:4" ht="15" customHeight="1">
      <c r="C463" s="608">
        <f ca="1">+'Stock Data'!AM274</f>
        <v>45670</v>
      </c>
      <c r="D463" s="581">
        <f ca="1">_xlfn.XLOOKUP(C463,'Stock Data'!$AM$4:$AM$1051,'Stock Data'!$AN$4:$AN$1051)</f>
        <v>108.12</v>
      </c>
    </row>
    <row r="464" spans="3:4" ht="15" customHeight="1">
      <c r="C464" s="608">
        <f ca="1">+'Stock Data'!AM275</f>
        <v>45669</v>
      </c>
      <c r="D464" s="581">
        <f ca="1">_xlfn.XLOOKUP(C464,'Stock Data'!$AM$4:$AM$1051,'Stock Data'!$AN$4:$AN$1051)</f>
        <v>105.89</v>
      </c>
    </row>
    <row r="465" spans="3:4" ht="15" customHeight="1">
      <c r="C465" s="608">
        <f ca="1">+'Stock Data'!AM276</f>
        <v>45668</v>
      </c>
      <c r="D465" s="581">
        <f ca="1">_xlfn.XLOOKUP(C465,'Stock Data'!$AM$4:$AM$1051,'Stock Data'!$AN$4:$AN$1051)</f>
        <v>105.76</v>
      </c>
    </row>
    <row r="466" spans="3:4" ht="15" customHeight="1">
      <c r="C466" s="608">
        <f ca="1">+'Stock Data'!AM277</f>
        <v>45667</v>
      </c>
      <c r="D466" s="581">
        <f ca="1">_xlfn.XLOOKUP(C466,'Stock Data'!$AM$4:$AM$1051,'Stock Data'!$AN$4:$AN$1051)</f>
        <v>104.2</v>
      </c>
    </row>
    <row r="467" spans="3:4" ht="15" customHeight="1">
      <c r="C467" s="608">
        <f ca="1">+'Stock Data'!AM278</f>
        <v>45666</v>
      </c>
      <c r="D467" s="581">
        <f ca="1">_xlfn.XLOOKUP(C467,'Stock Data'!$AM$4:$AM$1051,'Stock Data'!$AN$4:$AN$1051)</f>
        <v>101.79</v>
      </c>
    </row>
    <row r="468" spans="3:4" ht="15" customHeight="1">
      <c r="C468" s="608">
        <f ca="1">+'Stock Data'!AM279</f>
        <v>45665</v>
      </c>
      <c r="D468" s="581">
        <f ca="1">_xlfn.XLOOKUP(C468,'Stock Data'!$AM$4:$AM$1051,'Stock Data'!$AN$4:$AN$1051)</f>
        <v>99.22</v>
      </c>
    </row>
    <row r="469" spans="3:4" ht="15" customHeight="1">
      <c r="C469" s="608">
        <f ca="1">+'Stock Data'!AM280</f>
        <v>45664</v>
      </c>
      <c r="D469" s="581">
        <f ca="1">_xlfn.XLOOKUP(C469,'Stock Data'!$AM$4:$AM$1051,'Stock Data'!$AN$4:$AN$1051)</f>
        <v>99.22</v>
      </c>
    </row>
    <row r="470" spans="3:4" ht="15" customHeight="1">
      <c r="C470" s="608">
        <f ca="1">+'Stock Data'!AM281</f>
        <v>45663</v>
      </c>
      <c r="D470" s="581">
        <f ca="1">_xlfn.XLOOKUP(C470,'Stock Data'!$AM$4:$AM$1051,'Stock Data'!$AN$4:$AN$1051)</f>
        <v>99.22</v>
      </c>
    </row>
    <row r="471" spans="3:4" ht="15" customHeight="1">
      <c r="C471" s="608">
        <f ca="1">+'Stock Data'!AM282</f>
        <v>45662</v>
      </c>
      <c r="D471" s="581">
        <f ca="1">_xlfn.XLOOKUP(C471,'Stock Data'!$AM$4:$AM$1051,'Stock Data'!$AN$4:$AN$1051)</f>
        <v>97.3</v>
      </c>
    </row>
    <row r="472" spans="3:4" ht="15" customHeight="1">
      <c r="C472" s="608">
        <f ca="1">+'Stock Data'!AM283</f>
        <v>45661</v>
      </c>
      <c r="D472" s="581">
        <f ca="1">_xlfn.XLOOKUP(C472,'Stock Data'!$AM$4:$AM$1051,'Stock Data'!$AN$4:$AN$1051)</f>
        <v>97.25</v>
      </c>
    </row>
    <row r="473" spans="3:4" ht="15" customHeight="1">
      <c r="C473" s="608">
        <f ca="1">+'Stock Data'!AM284</f>
        <v>45660</v>
      </c>
      <c r="D473" s="581">
        <f ca="1">_xlfn.XLOOKUP(C473,'Stock Data'!$AM$4:$AM$1051,'Stock Data'!$AN$4:$AN$1051)</f>
        <v>98.64</v>
      </c>
    </row>
    <row r="474" spans="3:4" ht="15" customHeight="1">
      <c r="C474" s="608">
        <f ca="1">+'Stock Data'!AM285</f>
        <v>45659</v>
      </c>
      <c r="D474" s="581">
        <f ca="1">_xlfn.XLOOKUP(C474,'Stock Data'!$AM$4:$AM$1051,'Stock Data'!$AN$4:$AN$1051)</f>
        <v>98.14</v>
      </c>
    </row>
    <row r="475" spans="3:4" ht="15" customHeight="1">
      <c r="C475" s="608">
        <f ca="1">+'Stock Data'!AM286</f>
        <v>45658</v>
      </c>
      <c r="D475" s="581">
        <f ca="1">_xlfn.XLOOKUP(C475,'Stock Data'!$AM$4:$AM$1051,'Stock Data'!$AN$4:$AN$1051)</f>
        <v>97.61</v>
      </c>
    </row>
    <row r="476" spans="3:4" ht="15" customHeight="1">
      <c r="C476" s="608">
        <f ca="1">+'Stock Data'!AM287</f>
        <v>45657</v>
      </c>
      <c r="D476" s="581">
        <f ca="1">_xlfn.XLOOKUP(C476,'Stock Data'!$AM$4:$AM$1051,'Stock Data'!$AN$4:$AN$1051)</f>
        <v>97.61</v>
      </c>
    </row>
    <row r="477" spans="3:4" ht="15" customHeight="1">
      <c r="C477" s="608">
        <f ca="1">+'Stock Data'!AM288</f>
        <v>45656</v>
      </c>
      <c r="D477" s="581">
        <f ca="1">_xlfn.XLOOKUP(C477,'Stock Data'!$AM$4:$AM$1051,'Stock Data'!$AN$4:$AN$1051)</f>
        <v>97.61</v>
      </c>
    </row>
    <row r="478" spans="3:4" ht="15" customHeight="1">
      <c r="C478" s="608">
        <f ca="1">+'Stock Data'!AM289</f>
        <v>45655</v>
      </c>
      <c r="D478" s="581">
        <f ca="1">_xlfn.XLOOKUP(C478,'Stock Data'!$AM$4:$AM$1051,'Stock Data'!$AN$4:$AN$1051)</f>
        <v>97.15</v>
      </c>
    </row>
    <row r="479" spans="3:4" ht="15" customHeight="1">
      <c r="C479" s="608">
        <f ca="1">+'Stock Data'!AM290</f>
        <v>45654</v>
      </c>
      <c r="D479" s="581">
        <f ca="1">_xlfn.XLOOKUP(C479,'Stock Data'!$AM$4:$AM$1051,'Stock Data'!$AN$4:$AN$1051)</f>
        <v>97.15</v>
      </c>
    </row>
    <row r="480" spans="3:4" ht="15" customHeight="1">
      <c r="C480" s="608">
        <f ca="1">+'Stock Data'!AM291</f>
        <v>45653</v>
      </c>
      <c r="D480" s="581">
        <f ca="1">_xlfn.XLOOKUP(C480,'Stock Data'!$AM$4:$AM$1051,'Stock Data'!$AN$4:$AN$1051)</f>
        <v>96.62</v>
      </c>
    </row>
    <row r="481" spans="3:4" ht="15" customHeight="1">
      <c r="C481" s="608">
        <f ca="1">+'Stock Data'!AM292</f>
        <v>45652</v>
      </c>
      <c r="D481" s="581">
        <f ca="1">_xlfn.XLOOKUP(C481,'Stock Data'!$AM$4:$AM$1051,'Stock Data'!$AN$4:$AN$1051)</f>
        <v>96.49</v>
      </c>
    </row>
    <row r="482" spans="3:4" ht="15" customHeight="1">
      <c r="C482" s="608">
        <f ca="1">+'Stock Data'!AM293</f>
        <v>45651</v>
      </c>
      <c r="D482" s="581">
        <f ca="1">_xlfn.XLOOKUP(C482,'Stock Data'!$AM$4:$AM$1051,'Stock Data'!$AN$4:$AN$1051)</f>
        <v>95.96</v>
      </c>
    </row>
    <row r="483" spans="3:4" ht="15" customHeight="1">
      <c r="C483" s="608">
        <f ca="1">+'Stock Data'!AM294</f>
        <v>45650</v>
      </c>
      <c r="D483" s="581">
        <f ca="1">_xlfn.XLOOKUP(C483,'Stock Data'!$AM$4:$AM$1051,'Stock Data'!$AN$4:$AN$1051)</f>
        <v>95.96</v>
      </c>
    </row>
    <row r="484" spans="3:4" ht="15" customHeight="1">
      <c r="C484" s="608">
        <f ca="1">+'Stock Data'!AM295</f>
        <v>45649</v>
      </c>
      <c r="D484" s="581">
        <f ca="1">_xlfn.XLOOKUP(C484,'Stock Data'!$AM$4:$AM$1051,'Stock Data'!$AN$4:$AN$1051)</f>
        <v>95.96</v>
      </c>
    </row>
    <row r="485" spans="3:4" ht="15" customHeight="1">
      <c r="C485" s="608">
        <f ca="1">+'Stock Data'!AM296</f>
        <v>45648</v>
      </c>
      <c r="D485" s="581">
        <f ca="1">_xlfn.XLOOKUP(C485,'Stock Data'!$AM$4:$AM$1051,'Stock Data'!$AN$4:$AN$1051)</f>
        <v>95.78</v>
      </c>
    </row>
    <row r="486" spans="3:4" ht="15" customHeight="1">
      <c r="C486" s="608">
        <f ca="1">+'Stock Data'!AM297</f>
        <v>45647</v>
      </c>
      <c r="D486" s="581">
        <f ca="1">_xlfn.XLOOKUP(C486,'Stock Data'!$AM$4:$AM$1051,'Stock Data'!$AN$4:$AN$1051)</f>
        <v>94.78</v>
      </c>
    </row>
    <row r="487" spans="3:4" ht="15" customHeight="1">
      <c r="C487" s="608">
        <f ca="1">+'Stock Data'!AM298</f>
        <v>45646</v>
      </c>
      <c r="D487" s="581">
        <f ca="1">_xlfn.XLOOKUP(C487,'Stock Data'!$AM$4:$AM$1051,'Stock Data'!$AN$4:$AN$1051)</f>
        <v>95.14</v>
      </c>
    </row>
    <row r="488" spans="3:4" ht="15" customHeight="1">
      <c r="C488" s="608">
        <f ca="1">+'Stock Data'!AM299</f>
        <v>45645</v>
      </c>
      <c r="D488" s="581">
        <f ca="1">_xlfn.XLOOKUP(C488,'Stock Data'!$AM$4:$AM$1051,'Stock Data'!$AN$4:$AN$1051)</f>
        <v>93.97</v>
      </c>
    </row>
    <row r="489" spans="3:4" ht="15" customHeight="1">
      <c r="C489" s="608">
        <f ca="1">+'Stock Data'!AM300</f>
        <v>45644</v>
      </c>
      <c r="D489" s="581">
        <f ca="1">_xlfn.XLOOKUP(C489,'Stock Data'!$AM$4:$AM$1051,'Stock Data'!$AN$4:$AN$1051)</f>
        <v>90.43</v>
      </c>
    </row>
    <row r="490" spans="3:4" ht="15" customHeight="1">
      <c r="C490" s="608">
        <f ca="1">+'Stock Data'!AM301</f>
        <v>45643</v>
      </c>
      <c r="D490" s="581">
        <f ca="1">_xlfn.XLOOKUP(C490,'Stock Data'!$AM$4:$AM$1051,'Stock Data'!$AN$4:$AN$1051)</f>
        <v>90.43</v>
      </c>
    </row>
    <row r="491" spans="3:4" ht="15" customHeight="1">
      <c r="C491" s="608">
        <f ca="1">+'Stock Data'!AM302</f>
        <v>45642</v>
      </c>
      <c r="D491" s="581">
        <f ca="1">_xlfn.XLOOKUP(C491,'Stock Data'!$AM$4:$AM$1051,'Stock Data'!$AN$4:$AN$1051)</f>
        <v>90.43</v>
      </c>
    </row>
    <row r="492" spans="3:4" ht="15" customHeight="1">
      <c r="C492" s="608">
        <f ca="1">+'Stock Data'!AM303</f>
        <v>45641</v>
      </c>
      <c r="D492" s="581">
        <f ca="1">_xlfn.XLOOKUP(C492,'Stock Data'!$AM$4:$AM$1051,'Stock Data'!$AN$4:$AN$1051)</f>
        <v>90.44</v>
      </c>
    </row>
    <row r="493" spans="3:4" ht="15" customHeight="1">
      <c r="C493" s="608">
        <f ca="1">+'Stock Data'!AM304</f>
        <v>45640</v>
      </c>
      <c r="D493" s="581">
        <f ca="1">_xlfn.XLOOKUP(C493,'Stock Data'!$AM$4:$AM$1051,'Stock Data'!$AN$4:$AN$1051)</f>
        <v>91.29</v>
      </c>
    </row>
    <row r="494" spans="3:4" ht="15" customHeight="1">
      <c r="C494" s="608">
        <f ca="1">+'Stock Data'!AM305</f>
        <v>45639</v>
      </c>
      <c r="D494" s="581">
        <f ca="1">_xlfn.XLOOKUP(C494,'Stock Data'!$AM$4:$AM$1051,'Stock Data'!$AN$4:$AN$1051)</f>
        <v>92.86</v>
      </c>
    </row>
    <row r="495" spans="3:4" ht="15" customHeight="1">
      <c r="C495" s="608">
        <f ca="1">+'Stock Data'!AM306</f>
        <v>45638</v>
      </c>
      <c r="D495" s="581">
        <f ca="1">_xlfn.XLOOKUP(C495,'Stock Data'!$AM$4:$AM$1051,'Stock Data'!$AN$4:$AN$1051)</f>
        <v>91.03</v>
      </c>
    </row>
    <row r="496" spans="3:4" ht="15" customHeight="1">
      <c r="C496" s="608">
        <f ca="1">+'Stock Data'!AM307</f>
        <v>45637</v>
      </c>
      <c r="D496" s="581">
        <f ca="1">_xlfn.XLOOKUP(C496,'Stock Data'!$AM$4:$AM$1051,'Stock Data'!$AN$4:$AN$1051)</f>
        <v>90.95</v>
      </c>
    </row>
    <row r="497" spans="3:4" ht="15" customHeight="1">
      <c r="C497" s="608">
        <f ca="1">+'Stock Data'!AM308</f>
        <v>45636</v>
      </c>
      <c r="D497" s="581">
        <f ca="1">_xlfn.XLOOKUP(C497,'Stock Data'!$AM$4:$AM$1051,'Stock Data'!$AN$4:$AN$1051)</f>
        <v>90.95</v>
      </c>
    </row>
    <row r="498" spans="3:4" ht="15" customHeight="1">
      <c r="C498" s="608">
        <f ca="1">+'Stock Data'!AM309</f>
        <v>45635</v>
      </c>
      <c r="D498" s="581">
        <f ca="1">_xlfn.XLOOKUP(C498,'Stock Data'!$AM$4:$AM$1051,'Stock Data'!$AN$4:$AN$1051)</f>
        <v>90.95</v>
      </c>
    </row>
    <row r="499" spans="3:4" ht="15" customHeight="1">
      <c r="C499" s="608">
        <f ca="1">+'Stock Data'!AM310</f>
        <v>45634</v>
      </c>
      <c r="D499" s="581">
        <f ca="1">_xlfn.XLOOKUP(C499,'Stock Data'!$AM$4:$AM$1051,'Stock Data'!$AN$4:$AN$1051)</f>
        <v>89.37</v>
      </c>
    </row>
    <row r="500" spans="3:4" ht="15" customHeight="1">
      <c r="C500" s="608">
        <f ca="1">+'Stock Data'!AM311</f>
        <v>45633</v>
      </c>
      <c r="D500" s="581">
        <f ca="1">_xlfn.XLOOKUP(C500,'Stock Data'!$AM$4:$AM$1051,'Stock Data'!$AN$4:$AN$1051)</f>
        <v>90.71</v>
      </c>
    </row>
    <row r="501" spans="3:4" ht="15" customHeight="1">
      <c r="C501" s="608">
        <f ca="1">+'Stock Data'!AM312</f>
        <v>45632</v>
      </c>
      <c r="D501" s="581">
        <f ca="1">_xlfn.XLOOKUP(C501,'Stock Data'!$AM$4:$AM$1051,'Stock Data'!$AN$4:$AN$1051)</f>
        <v>88.71</v>
      </c>
    </row>
    <row r="502" spans="3:4" ht="15" customHeight="1">
      <c r="C502" s="608">
        <f ca="1">+'Stock Data'!AM313</f>
        <v>45631</v>
      </c>
      <c r="D502" s="581">
        <f ca="1">_xlfn.XLOOKUP(C502,'Stock Data'!$AM$4:$AM$1051,'Stock Data'!$AN$4:$AN$1051)</f>
        <v>87.31</v>
      </c>
    </row>
    <row r="503" spans="3:4" ht="15" customHeight="1">
      <c r="C503" s="608">
        <f ca="1">+'Stock Data'!AM314</f>
        <v>45630</v>
      </c>
      <c r="D503" s="581">
        <f ca="1">_xlfn.XLOOKUP(C503,'Stock Data'!$AM$4:$AM$1051,'Stock Data'!$AN$4:$AN$1051)</f>
        <v>87.11</v>
      </c>
    </row>
    <row r="504" spans="3:4" ht="15" customHeight="1">
      <c r="C504" s="608">
        <f ca="1">+'Stock Data'!AM315</f>
        <v>45629</v>
      </c>
      <c r="D504" s="581">
        <f ca="1">_xlfn.XLOOKUP(C504,'Stock Data'!$AM$4:$AM$1051,'Stock Data'!$AN$4:$AN$1051)</f>
        <v>87.11</v>
      </c>
    </row>
    <row r="505" spans="3:4" ht="15" customHeight="1">
      <c r="C505" s="608">
        <f ca="1">+'Stock Data'!AM316</f>
        <v>45628</v>
      </c>
      <c r="D505" s="581">
        <f ca="1">_xlfn.XLOOKUP(C505,'Stock Data'!$AM$4:$AM$1051,'Stock Data'!$AN$4:$AN$1051)</f>
        <v>87.11</v>
      </c>
    </row>
    <row r="506" spans="3:4" ht="15" customHeight="1">
      <c r="C506" s="608">
        <f ca="1">+'Stock Data'!AM317</f>
        <v>45627</v>
      </c>
      <c r="D506" s="581">
        <f ca="1">_xlfn.XLOOKUP(C506,'Stock Data'!$AM$4:$AM$1051,'Stock Data'!$AN$4:$AN$1051)</f>
        <v>87.78</v>
      </c>
    </row>
    <row r="507" spans="3:4" ht="15" customHeight="1">
      <c r="C507" s="608">
        <f ca="1">+'Stock Data'!AM318</f>
        <v>45626</v>
      </c>
      <c r="D507" s="581">
        <f ca="1">_xlfn.XLOOKUP(C507,'Stock Data'!$AM$4:$AM$1051,'Stock Data'!$AN$4:$AN$1051)</f>
        <v>89</v>
      </c>
    </row>
    <row r="508" spans="3:4" ht="15" customHeight="1">
      <c r="C508" s="608">
        <f ca="1">+'Stock Data'!AM319</f>
        <v>45625</v>
      </c>
      <c r="D508" s="581">
        <f ca="1">_xlfn.XLOOKUP(C508,'Stock Data'!$AM$4:$AM$1051,'Stock Data'!$AN$4:$AN$1051)</f>
        <v>90.2</v>
      </c>
    </row>
    <row r="509" spans="3:4" ht="15" customHeight="1">
      <c r="C509" s="608">
        <f ca="1">+'Stock Data'!AM320</f>
        <v>45624</v>
      </c>
      <c r="D509" s="581">
        <f ca="1">_xlfn.XLOOKUP(C509,'Stock Data'!$AM$4:$AM$1051,'Stock Data'!$AN$4:$AN$1051)</f>
        <v>90.16</v>
      </c>
    </row>
    <row r="510" spans="3:4" ht="15" customHeight="1">
      <c r="C510" s="608">
        <f ca="1">+'Stock Data'!AM321</f>
        <v>45623</v>
      </c>
      <c r="D510" s="581">
        <f ca="1">_xlfn.XLOOKUP(C510,'Stock Data'!$AM$4:$AM$1051,'Stock Data'!$AN$4:$AN$1051)</f>
        <v>89.43</v>
      </c>
    </row>
    <row r="511" spans="3:4" ht="15" customHeight="1">
      <c r="C511" s="608">
        <f ca="1">+'Stock Data'!AM322</f>
        <v>45622</v>
      </c>
      <c r="D511" s="581">
        <f ca="1">_xlfn.XLOOKUP(C511,'Stock Data'!$AM$4:$AM$1051,'Stock Data'!$AN$4:$AN$1051)</f>
        <v>89.43</v>
      </c>
    </row>
    <row r="512" spans="3:4" ht="15" customHeight="1">
      <c r="C512" s="608">
        <f ca="1">+'Stock Data'!AM323</f>
        <v>45621</v>
      </c>
      <c r="D512" s="581">
        <f ca="1">_xlfn.XLOOKUP(C512,'Stock Data'!$AM$4:$AM$1051,'Stock Data'!$AN$4:$AN$1051)</f>
        <v>89.43</v>
      </c>
    </row>
    <row r="513" spans="3:4" ht="15" customHeight="1">
      <c r="C513" s="608">
        <f ca="1">+'Stock Data'!AM324</f>
        <v>45620</v>
      </c>
      <c r="D513" s="581">
        <f ca="1">_xlfn.XLOOKUP(C513,'Stock Data'!$AM$4:$AM$1051,'Stock Data'!$AN$4:$AN$1051)</f>
        <v>90.17</v>
      </c>
    </row>
    <row r="514" spans="3:4" ht="15" customHeight="1">
      <c r="C514" s="608">
        <f ca="1">+'Stock Data'!AM325</f>
        <v>45619</v>
      </c>
      <c r="D514" s="581">
        <f ca="1">_xlfn.XLOOKUP(C514,'Stock Data'!$AM$4:$AM$1051,'Stock Data'!$AN$4:$AN$1051)</f>
        <v>88.46</v>
      </c>
    </row>
    <row r="515" spans="3:4" ht="15" customHeight="1">
      <c r="C515" s="608">
        <f ca="1">+'Stock Data'!AM326</f>
        <v>45618</v>
      </c>
      <c r="D515" s="581">
        <f ca="1">_xlfn.XLOOKUP(C515,'Stock Data'!$AM$4:$AM$1051,'Stock Data'!$AN$4:$AN$1051)</f>
        <v>88.56</v>
      </c>
    </row>
    <row r="516" spans="3:4" ht="15" customHeight="1">
      <c r="C516" s="608">
        <f ca="1">+'Stock Data'!AM327</f>
        <v>45617</v>
      </c>
      <c r="D516" s="581">
        <f ca="1">_xlfn.XLOOKUP(C516,'Stock Data'!$AM$4:$AM$1051,'Stock Data'!$AN$4:$AN$1051)</f>
        <v>91.16</v>
      </c>
    </row>
    <row r="517" spans="3:4" ht="15" customHeight="1">
      <c r="C517" s="608">
        <f ca="1">+'Stock Data'!AM328</f>
        <v>45616</v>
      </c>
      <c r="D517" s="581">
        <f ca="1">_xlfn.XLOOKUP(C517,'Stock Data'!$AM$4:$AM$1051,'Stock Data'!$AN$4:$AN$1051)</f>
        <v>92.76</v>
      </c>
    </row>
    <row r="518" spans="3:4" ht="15" customHeight="1">
      <c r="C518" s="608">
        <f ca="1">+'Stock Data'!AM329</f>
        <v>45615</v>
      </c>
      <c r="D518" s="581">
        <f ca="1">_xlfn.XLOOKUP(C518,'Stock Data'!$AM$4:$AM$1051,'Stock Data'!$AN$4:$AN$1051)</f>
        <v>92.76</v>
      </c>
    </row>
    <row r="519" spans="3:4" ht="15" customHeight="1">
      <c r="C519" s="608">
        <f ca="1">+'Stock Data'!AM330</f>
        <v>45614</v>
      </c>
      <c r="D519" s="581">
        <f ca="1">_xlfn.XLOOKUP(C519,'Stock Data'!$AM$4:$AM$1051,'Stock Data'!$AN$4:$AN$1051)</f>
        <v>92.76</v>
      </c>
    </row>
    <row r="520" spans="3:4" ht="15" customHeight="1">
      <c r="C520" s="608">
        <f ca="1">+'Stock Data'!AM331</f>
        <v>45613</v>
      </c>
      <c r="D520" s="581">
        <f ca="1">_xlfn.XLOOKUP(C520,'Stock Data'!$AM$4:$AM$1051,'Stock Data'!$AN$4:$AN$1051)</f>
        <v>94.4</v>
      </c>
    </row>
    <row r="521" spans="3:4" ht="15" customHeight="1">
      <c r="C521" s="608">
        <f ca="1">+'Stock Data'!AM332</f>
        <v>45612</v>
      </c>
      <c r="D521" s="581">
        <f ca="1">_xlfn.XLOOKUP(C521,'Stock Data'!$AM$4:$AM$1051,'Stock Data'!$AN$4:$AN$1051)</f>
        <v>94.16</v>
      </c>
    </row>
    <row r="522" spans="3:4" ht="15" customHeight="1">
      <c r="C522" s="608">
        <f ca="1">+'Stock Data'!AM333</f>
        <v>45611</v>
      </c>
      <c r="D522" s="581">
        <f ca="1">_xlfn.XLOOKUP(C522,'Stock Data'!$AM$4:$AM$1051,'Stock Data'!$AN$4:$AN$1051)</f>
        <v>92.22</v>
      </c>
    </row>
    <row r="523" spans="3:4" ht="15" customHeight="1">
      <c r="C523" s="608">
        <f ca="1">+'Stock Data'!AM334</f>
        <v>45610</v>
      </c>
      <c r="D523" s="581">
        <f ca="1">_xlfn.XLOOKUP(C523,'Stock Data'!$AM$4:$AM$1051,'Stock Data'!$AN$4:$AN$1051)</f>
        <v>90.56</v>
      </c>
    </row>
    <row r="524" spans="3:4" ht="15" customHeight="1">
      <c r="C524" s="608">
        <f ca="1">+'Stock Data'!AM335</f>
        <v>45609</v>
      </c>
      <c r="D524" s="581">
        <f ca="1">_xlfn.XLOOKUP(C524,'Stock Data'!$AM$4:$AM$1051,'Stock Data'!$AN$4:$AN$1051)</f>
        <v>90.45</v>
      </c>
    </row>
    <row r="525" spans="3:4" ht="15" customHeight="1">
      <c r="C525" s="608">
        <f ca="1">+'Stock Data'!AM336</f>
        <v>45608</v>
      </c>
      <c r="D525" s="581">
        <f ca="1">_xlfn.XLOOKUP(C525,'Stock Data'!$AM$4:$AM$1051,'Stock Data'!$AN$4:$AN$1051)</f>
        <v>90.45</v>
      </c>
    </row>
    <row r="526" spans="3:4" ht="15" customHeight="1">
      <c r="C526" s="608">
        <f ca="1">+'Stock Data'!AM337</f>
        <v>45607</v>
      </c>
      <c r="D526" s="581">
        <f ca="1">_xlfn.XLOOKUP(C526,'Stock Data'!$AM$4:$AM$1051,'Stock Data'!$AN$4:$AN$1051)</f>
        <v>90.45</v>
      </c>
    </row>
    <row r="527" spans="3:4" ht="15" customHeight="1">
      <c r="C527" s="608">
        <f ca="1">+'Stock Data'!AM338</f>
        <v>45606</v>
      </c>
      <c r="D527" s="581">
        <f ca="1">_xlfn.XLOOKUP(C527,'Stock Data'!$AM$4:$AM$1051,'Stock Data'!$AN$4:$AN$1051)</f>
        <v>89.5</v>
      </c>
    </row>
    <row r="528" spans="3:4" ht="15" customHeight="1">
      <c r="C528" s="608">
        <f ca="1">+'Stock Data'!AM339</f>
        <v>45605</v>
      </c>
      <c r="D528" s="581">
        <f ca="1">_xlfn.XLOOKUP(C528,'Stock Data'!$AM$4:$AM$1051,'Stock Data'!$AN$4:$AN$1051)</f>
        <v>89.9</v>
      </c>
    </row>
    <row r="529" spans="3:4" ht="15" customHeight="1">
      <c r="C529" s="608">
        <f ca="1">+'Stock Data'!AM340</f>
        <v>45604</v>
      </c>
      <c r="D529" s="581">
        <f ca="1">_xlfn.XLOOKUP(C529,'Stock Data'!$AM$4:$AM$1051,'Stock Data'!$AN$4:$AN$1051)</f>
        <v>87.4</v>
      </c>
    </row>
    <row r="530" spans="3:4" ht="15" customHeight="1">
      <c r="C530" s="608">
        <f ca="1">+'Stock Data'!AM341</f>
        <v>45603</v>
      </c>
      <c r="D530" s="581">
        <f ca="1">_xlfn.XLOOKUP(C530,'Stock Data'!$AM$4:$AM$1051,'Stock Data'!$AN$4:$AN$1051)</f>
        <v>86.49</v>
      </c>
    </row>
    <row r="531" spans="3:4" ht="15" customHeight="1">
      <c r="C531" s="608">
        <f ca="1">+'Stock Data'!AM342</f>
        <v>45602</v>
      </c>
      <c r="D531" s="581">
        <f ca="1">_xlfn.XLOOKUP(C531,'Stock Data'!$AM$4:$AM$1051,'Stock Data'!$AN$4:$AN$1051)</f>
        <v>84.57</v>
      </c>
    </row>
    <row r="532" spans="3:4" ht="15" customHeight="1">
      <c r="C532" s="608">
        <f ca="1">+'Stock Data'!AM343</f>
        <v>45601</v>
      </c>
      <c r="D532" s="581">
        <f ca="1">_xlfn.XLOOKUP(C532,'Stock Data'!$AM$4:$AM$1051,'Stock Data'!$AN$4:$AN$1051)</f>
        <v>84.57</v>
      </c>
    </row>
    <row r="533" spans="3:4" ht="15" customHeight="1">
      <c r="C533" s="608">
        <f ca="1">+'Stock Data'!AM344</f>
        <v>45600</v>
      </c>
      <c r="D533" s="581">
        <f ca="1">_xlfn.XLOOKUP(C533,'Stock Data'!$AM$4:$AM$1051,'Stock Data'!$AN$4:$AN$1051)</f>
        <v>84.57</v>
      </c>
    </row>
    <row r="534" spans="3:4" ht="15" customHeight="1">
      <c r="C534" s="608">
        <f ca="1">+'Stock Data'!AM345</f>
        <v>45599</v>
      </c>
      <c r="D534" s="581">
        <f ca="1">_xlfn.XLOOKUP(C534,'Stock Data'!$AM$4:$AM$1051,'Stock Data'!$AN$4:$AN$1051)</f>
        <v>79.62</v>
      </c>
    </row>
    <row r="535" spans="3:4" ht="15" customHeight="1">
      <c r="C535" s="608">
        <f ca="1">+'Stock Data'!AM346</f>
        <v>45598</v>
      </c>
      <c r="D535" s="581">
        <f ca="1">_xlfn.XLOOKUP(C535,'Stock Data'!$AM$4:$AM$1051,'Stock Data'!$AN$4:$AN$1051)</f>
        <v>75.41</v>
      </c>
    </row>
    <row r="536" spans="3:4" ht="15" customHeight="1">
      <c r="C536" s="608">
        <f ca="1">+'Stock Data'!AM347</f>
        <v>45597</v>
      </c>
      <c r="D536" s="581">
        <f ca="1">_xlfn.XLOOKUP(C536,'Stock Data'!$AM$4:$AM$1051,'Stock Data'!$AN$4:$AN$1051)</f>
        <v>76.84</v>
      </c>
    </row>
    <row r="537" spans="3:4" ht="15" customHeight="1">
      <c r="C537" s="608">
        <f ca="1">+'Stock Data'!AM348</f>
        <v>45596</v>
      </c>
      <c r="D537" s="581">
        <f ca="1">_xlfn.XLOOKUP(C537,'Stock Data'!$AM$4:$AM$1051,'Stock Data'!$AN$4:$AN$1051)</f>
        <v>74.84</v>
      </c>
    </row>
    <row r="538" spans="3:4" ht="15" customHeight="1">
      <c r="C538" s="608">
        <f ca="1">+'Stock Data'!AM349</f>
        <v>45595</v>
      </c>
      <c r="D538" s="581">
        <f ca="1">_xlfn.XLOOKUP(C538,'Stock Data'!$AM$4:$AM$1051,'Stock Data'!$AN$4:$AN$1051)</f>
        <v>74.650000000000006</v>
      </c>
    </row>
    <row r="539" spans="3:4" ht="15" customHeight="1">
      <c r="C539" s="608">
        <f ca="1">+'Stock Data'!AM350</f>
        <v>45594</v>
      </c>
      <c r="D539" s="581">
        <f ca="1">_xlfn.XLOOKUP(C539,'Stock Data'!$AM$4:$AM$1051,'Stock Data'!$AN$4:$AN$1051)</f>
        <v>74.650000000000006</v>
      </c>
    </row>
    <row r="540" spans="3:4" ht="15" customHeight="1">
      <c r="C540" s="608">
        <f ca="1">+'Stock Data'!AM351</f>
        <v>45593</v>
      </c>
      <c r="D540" s="581">
        <f ca="1">_xlfn.XLOOKUP(C540,'Stock Data'!$AM$4:$AM$1051,'Stock Data'!$AN$4:$AN$1051)</f>
        <v>74.650000000000006</v>
      </c>
    </row>
    <row r="541" spans="3:4" ht="15" customHeight="1">
      <c r="C541" s="608">
        <f ca="1">+'Stock Data'!AM352</f>
        <v>45592</v>
      </c>
      <c r="D541" s="581">
        <f ca="1">_xlfn.XLOOKUP(C541,'Stock Data'!$AM$4:$AM$1051,'Stock Data'!$AN$4:$AN$1051)</f>
        <v>73.25</v>
      </c>
    </row>
    <row r="542" spans="3:4" ht="15" customHeight="1">
      <c r="C542" s="608">
        <f ca="1">+'Stock Data'!AM353</f>
        <v>45591</v>
      </c>
      <c r="D542" s="581">
        <f ca="1">_xlfn.XLOOKUP(C542,'Stock Data'!$AM$4:$AM$1051,'Stock Data'!$AN$4:$AN$1051)</f>
        <v>73.14</v>
      </c>
    </row>
    <row r="543" spans="3:4" ht="15" customHeight="1">
      <c r="C543" s="608">
        <f ca="1">+'Stock Data'!AM354</f>
        <v>45590</v>
      </c>
      <c r="D543" s="581">
        <f ca="1">_xlfn.XLOOKUP(C543,'Stock Data'!$AM$4:$AM$1051,'Stock Data'!$AN$4:$AN$1051)</f>
        <v>74.900000000000006</v>
      </c>
    </row>
    <row r="544" spans="3:4" ht="15" customHeight="1">
      <c r="C544" s="608">
        <f ca="1">+'Stock Data'!AM355</f>
        <v>45589</v>
      </c>
      <c r="D544" s="581">
        <f ca="1">_xlfn.XLOOKUP(C544,'Stock Data'!$AM$4:$AM$1051,'Stock Data'!$AN$4:$AN$1051)</f>
        <v>74.61</v>
      </c>
    </row>
    <row r="545" spans="3:4" ht="15" customHeight="1">
      <c r="C545" s="608">
        <f ca="1">+'Stock Data'!AM356</f>
        <v>45588</v>
      </c>
      <c r="D545" s="581">
        <f ca="1">_xlfn.XLOOKUP(C545,'Stock Data'!$AM$4:$AM$1051,'Stock Data'!$AN$4:$AN$1051)</f>
        <v>74.73</v>
      </c>
    </row>
    <row r="546" spans="3:4" ht="15" customHeight="1">
      <c r="C546" s="608">
        <f ca="1">+'Stock Data'!AM357</f>
        <v>45587</v>
      </c>
      <c r="D546" s="581">
        <f ca="1">_xlfn.XLOOKUP(C546,'Stock Data'!$AM$4:$AM$1051,'Stock Data'!$AN$4:$AN$1051)</f>
        <v>74.73</v>
      </c>
    </row>
    <row r="547" spans="3:4" ht="15" customHeight="1">
      <c r="C547" s="608">
        <f ca="1">+'Stock Data'!AM358</f>
        <v>45586</v>
      </c>
      <c r="D547" s="581">
        <f ca="1">_xlfn.XLOOKUP(C547,'Stock Data'!$AM$4:$AM$1051,'Stock Data'!$AN$4:$AN$1051)</f>
        <v>74.73</v>
      </c>
    </row>
    <row r="548" spans="3:4" ht="15" customHeight="1">
      <c r="C548" s="608">
        <f ca="1">+'Stock Data'!AM359</f>
        <v>45585</v>
      </c>
      <c r="D548" s="581">
        <f ca="1">_xlfn.XLOOKUP(C548,'Stock Data'!$AM$4:$AM$1051,'Stock Data'!$AN$4:$AN$1051)</f>
        <v>73.69</v>
      </c>
    </row>
    <row r="549" spans="3:4" ht="15" customHeight="1">
      <c r="C549" s="608">
        <f ca="1">+'Stock Data'!AM360</f>
        <v>45584</v>
      </c>
      <c r="D549" s="581">
        <f ca="1">_xlfn.XLOOKUP(C549,'Stock Data'!$AM$4:$AM$1051,'Stock Data'!$AN$4:$AN$1051)</f>
        <v>71.319999999999993</v>
      </c>
    </row>
    <row r="550" spans="3:4" ht="15" customHeight="1">
      <c r="C550" s="608">
        <f ca="1">+'Stock Data'!AM361</f>
        <v>45583</v>
      </c>
      <c r="D550" s="581">
        <f ca="1">_xlfn.XLOOKUP(C550,'Stock Data'!$AM$4:$AM$1051,'Stock Data'!$AN$4:$AN$1051)</f>
        <v>70.95</v>
      </c>
    </row>
    <row r="551" spans="3:4" ht="15" customHeight="1">
      <c r="C551" s="608">
        <f ca="1">+'Stock Data'!AM362</f>
        <v>45582</v>
      </c>
      <c r="D551" s="581">
        <f ca="1">_xlfn.XLOOKUP(C551,'Stock Data'!$AM$4:$AM$1051,'Stock Data'!$AN$4:$AN$1051)</f>
        <v>70.11</v>
      </c>
    </row>
    <row r="552" spans="3:4" ht="15" customHeight="1">
      <c r="C552" s="608">
        <f ca="1">+'Stock Data'!AM363</f>
        <v>45581</v>
      </c>
      <c r="D552" s="581">
        <f ca="1">_xlfn.XLOOKUP(C552,'Stock Data'!$AM$4:$AM$1051,'Stock Data'!$AN$4:$AN$1051)</f>
        <v>69.38</v>
      </c>
    </row>
    <row r="553" spans="3:4" ht="15" customHeight="1">
      <c r="C553" s="608">
        <f ca="1">+'Stock Data'!AM364</f>
        <v>45580</v>
      </c>
      <c r="D553" s="581">
        <f ca="1">_xlfn.XLOOKUP(C553,'Stock Data'!$AM$4:$AM$1051,'Stock Data'!$AN$4:$AN$1051)</f>
        <v>69.38</v>
      </c>
    </row>
    <row r="554" spans="3:4" ht="15" customHeight="1">
      <c r="C554" s="608">
        <f ca="1">+'Stock Data'!AM365</f>
        <v>45579</v>
      </c>
      <c r="D554" s="581">
        <f ca="1">_xlfn.XLOOKUP(C554,'Stock Data'!$AM$4:$AM$1051,'Stock Data'!$AN$4:$AN$1051)</f>
        <v>69.38</v>
      </c>
    </row>
    <row r="555" spans="3:4" ht="15" customHeight="1">
      <c r="C555" s="608">
        <f ca="1">+'Stock Data'!AM366</f>
        <v>45578</v>
      </c>
      <c r="D555" s="581">
        <f ca="1">_xlfn.XLOOKUP(C555,'Stock Data'!$AM$4:$AM$1051,'Stock Data'!$AN$4:$AN$1051)</f>
        <v>69.349999999999994</v>
      </c>
    </row>
    <row r="556" spans="3:4" ht="15" customHeight="1">
      <c r="C556" s="608">
        <f ca="1">+'Stock Data'!AM367</f>
        <v>45577</v>
      </c>
      <c r="D556" s="581">
        <f ca="1">_xlfn.XLOOKUP(C556,'Stock Data'!$AM$4:$AM$1051,'Stock Data'!$AN$4:$AN$1051)</f>
        <v>69.040000000000006</v>
      </c>
    </row>
    <row r="557" spans="3:4" ht="15" customHeight="1">
      <c r="C557" s="608">
        <f ca="1">+'Stock Data'!AM368</f>
        <v>45576</v>
      </c>
      <c r="D557" s="581">
        <f ca="1">_xlfn.XLOOKUP(C557,'Stock Data'!$AM$4:$AM$1051,'Stock Data'!$AN$4:$AN$1051)</f>
        <v>69.290000000000006</v>
      </c>
    </row>
    <row r="558" spans="3:4" ht="15" customHeight="1">
      <c r="C558" s="608">
        <f ca="1">+'Stock Data'!AM369</f>
        <v>45575</v>
      </c>
      <c r="D558" s="581">
        <f ca="1">_xlfn.XLOOKUP(C558,'Stock Data'!$AM$4:$AM$1051,'Stock Data'!$AN$4:$AN$1051)</f>
        <v>68.45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topLeftCell="A8" zoomScaleNormal="100" workbookViewId="0">
      <selection activeCell="B16" sqref="B16"/>
    </sheetView>
  </sheetViews>
  <sheetFormatPr defaultColWidth="9" defaultRowHeight="15" customHeight="1"/>
  <cols>
    <col min="1" max="1" width="2.125" style="23" customWidth="1"/>
    <col min="2" max="2" width="25.625" style="23" customWidth="1"/>
    <col min="3" max="4" width="11.625" style="23" customWidth="1"/>
    <col min="5" max="5" width="10.375" style="23" customWidth="1"/>
    <col min="6" max="6" width="25.625" style="23" customWidth="1"/>
    <col min="7" max="8" width="11.625" style="23" customWidth="1"/>
    <col min="9" max="9" width="10.375" style="23" customWidth="1"/>
    <col min="10" max="10" width="27.125" style="23" customWidth="1"/>
    <col min="11" max="12" width="11.625" style="23" customWidth="1"/>
    <col min="13" max="13" width="10.375" style="23" customWidth="1"/>
    <col min="14" max="14" width="25.625" style="23" customWidth="1"/>
    <col min="15" max="16" width="11.625" style="23" customWidth="1"/>
    <col min="17" max="16384" width="9" style="23"/>
  </cols>
  <sheetData>
    <row r="1" spans="2:16" s="582" customFormat="1" ht="15" customHeight="1"/>
    <row r="2" spans="2:16" s="582" customFormat="1" ht="15" customHeight="1"/>
    <row r="3" spans="2:16" s="582" customFormat="1" ht="15" customHeight="1"/>
    <row r="4" spans="2:16" s="582" customFormat="1" ht="15" customHeight="1"/>
    <row r="5" spans="2:16" s="36" customFormat="1" ht="3.95" customHeight="1"/>
    <row r="7" spans="2:16" ht="15" customHeight="1">
      <c r="B7" s="375" t="s">
        <v>2</v>
      </c>
      <c r="C7" s="186"/>
      <c r="D7" s="186"/>
      <c r="F7" s="375" t="s">
        <v>3</v>
      </c>
      <c r="G7" s="186"/>
      <c r="H7" s="186"/>
      <c r="J7" s="375" t="s">
        <v>4</v>
      </c>
      <c r="K7" s="186"/>
      <c r="L7" s="186"/>
      <c r="M7" s="186"/>
      <c r="N7" s="186"/>
      <c r="O7" s="186"/>
      <c r="P7" s="186"/>
    </row>
    <row r="8" spans="2:16" ht="15" customHeight="1">
      <c r="B8" s="375"/>
      <c r="C8" s="186"/>
      <c r="D8" s="186"/>
      <c r="F8" s="375"/>
      <c r="G8" s="186"/>
      <c r="H8" s="186"/>
      <c r="J8" s="186"/>
      <c r="K8" s="186"/>
      <c r="L8" s="186"/>
      <c r="M8" s="186"/>
      <c r="N8" s="186"/>
      <c r="O8" s="186"/>
      <c r="P8" s="186"/>
    </row>
    <row r="9" spans="2:16" ht="15" customHeight="1">
      <c r="B9" s="186"/>
      <c r="C9" s="186"/>
      <c r="D9" s="186"/>
      <c r="F9" s="186"/>
      <c r="G9" s="186"/>
      <c r="H9" s="186"/>
      <c r="J9" s="186"/>
      <c r="K9" s="186"/>
      <c r="L9" s="186"/>
      <c r="M9" s="186"/>
      <c r="N9" s="186"/>
      <c r="O9" s="186"/>
      <c r="P9" s="186"/>
    </row>
    <row r="10" spans="2:16" ht="3.95" customHeight="1">
      <c r="B10" s="36"/>
      <c r="C10" s="36"/>
      <c r="D10" s="36"/>
      <c r="F10" s="36"/>
      <c r="G10" s="36"/>
      <c r="H10" s="36"/>
      <c r="J10" s="36"/>
      <c r="K10" s="36"/>
      <c r="L10" s="36"/>
      <c r="M10" s="36"/>
      <c r="N10" s="36"/>
      <c r="O10" s="36"/>
      <c r="P10" s="36"/>
    </row>
    <row r="11" spans="2:16" ht="3.95" customHeight="1"/>
    <row r="12" spans="2:16" ht="15" customHeight="1">
      <c r="B12" s="484" t="s">
        <v>5</v>
      </c>
      <c r="F12" s="376" t="s">
        <v>6</v>
      </c>
      <c r="H12" s="560" t="s">
        <v>7</v>
      </c>
      <c r="J12" s="535"/>
    </row>
    <row r="13" spans="2:16" ht="15" customHeight="1">
      <c r="B13" s="573" t="s">
        <v>8</v>
      </c>
      <c r="F13" s="376" t="s">
        <v>9</v>
      </c>
      <c r="J13" s="535"/>
    </row>
    <row r="14" spans="2:16" ht="15" customHeight="1">
      <c r="B14" s="574" t="s">
        <v>10</v>
      </c>
      <c r="F14" s="376" t="s">
        <v>11</v>
      </c>
      <c r="J14" s="535"/>
    </row>
    <row r="15" spans="2:16" ht="15" customHeight="1">
      <c r="B15" s="378" t="s">
        <v>12</v>
      </c>
      <c r="J15" s="535"/>
    </row>
    <row r="16" spans="2:16" ht="15" customHeight="1">
      <c r="B16" s="573" t="s">
        <v>13</v>
      </c>
      <c r="F16" s="376" t="s">
        <v>14</v>
      </c>
      <c r="H16" s="592"/>
      <c r="J16" s="535"/>
    </row>
    <row r="17" spans="2:8" ht="15" customHeight="1">
      <c r="B17" s="694" t="s">
        <v>15</v>
      </c>
      <c r="F17" s="376" t="s">
        <v>16</v>
      </c>
      <c r="G17" s="554"/>
      <c r="H17" s="592"/>
    </row>
    <row r="18" spans="2:8" ht="15" customHeight="1">
      <c r="B18" s="378" t="s">
        <v>17</v>
      </c>
    </row>
    <row r="19" spans="2:8" ht="15" customHeight="1">
      <c r="B19" s="573" t="s">
        <v>8</v>
      </c>
      <c r="F19" s="376" t="s">
        <v>18</v>
      </c>
      <c r="H19" s="587">
        <f>'Stock Data'!AN4</f>
        <v>111.54</v>
      </c>
    </row>
    <row r="20" spans="2:8" ht="15" customHeight="1">
      <c r="B20" s="574" t="s">
        <v>10</v>
      </c>
      <c r="F20" s="376" t="str">
        <f>"Market Cap (in "&amp;IF(Inputs!$D$14="BLN","billions",IF(Inputs!$D$14="MLN","millions","thousands"))&amp;")"</f>
        <v>Market Cap (in thousands)</v>
      </c>
      <c r="H20" s="587">
        <f>'Stock Data'!AQ4</f>
        <v>5409408.5845800005</v>
      </c>
    </row>
    <row r="21" spans="2:8" ht="15" customHeight="1">
      <c r="B21" s="378" t="s">
        <v>17</v>
      </c>
      <c r="F21" s="378" t="s">
        <v>19</v>
      </c>
      <c r="G21" s="554"/>
      <c r="H21" s="588">
        <f>'Stock Data'!E164</f>
        <v>0.70151638984680176</v>
      </c>
    </row>
    <row r="22" spans="2:8" ht="15" customHeight="1">
      <c r="B22" s="573" t="s">
        <v>8</v>
      </c>
      <c r="F22" s="378" t="s">
        <v>20</v>
      </c>
      <c r="H22" s="589">
        <f>'Stock Data'!E165</f>
        <v>0.73278930664062503</v>
      </c>
    </row>
    <row r="23" spans="2:8" ht="15" customHeight="1">
      <c r="B23" s="574" t="s">
        <v>10</v>
      </c>
      <c r="F23" s="378" t="s">
        <v>21</v>
      </c>
      <c r="H23" s="587">
        <f>'Stock Data'!E166</f>
        <v>102.31285095214844</v>
      </c>
    </row>
    <row r="24" spans="2:8" ht="15" customHeight="1">
      <c r="B24" s="559"/>
      <c r="F24" s="376"/>
      <c r="H24" s="590"/>
    </row>
    <row r="25" spans="2:8" ht="15" customHeight="1">
      <c r="B25" s="376" t="s">
        <v>22</v>
      </c>
      <c r="F25" s="378" t="s">
        <v>23</v>
      </c>
      <c r="H25" s="591">
        <f>'Stock Data'!E168</f>
        <v>724438.0625</v>
      </c>
    </row>
    <row r="26" spans="2:8" ht="15" customHeight="1">
      <c r="B26" s="378" t="s">
        <v>17</v>
      </c>
      <c r="F26" s="378" t="s">
        <v>24</v>
      </c>
      <c r="H26" s="591">
        <f>'Stock Data'!E169</f>
        <v>48.497479999999996</v>
      </c>
    </row>
    <row r="27" spans="2:8" ht="15" customHeight="1">
      <c r="B27" s="573" t="s">
        <v>8</v>
      </c>
      <c r="F27" s="378" t="s">
        <v>25</v>
      </c>
      <c r="H27" s="589">
        <f>'Stock Data'!E170</f>
        <v>0.86845600000000001</v>
      </c>
    </row>
    <row r="28" spans="2:8" ht="15" customHeight="1">
      <c r="B28" s="574" t="s">
        <v>10</v>
      </c>
      <c r="F28" s="378" t="s">
        <v>26</v>
      </c>
      <c r="H28" s="589">
        <f>IFERROR('Stock Data'!E171,0)</f>
        <v>0.1161959</v>
      </c>
    </row>
    <row r="29" spans="2:8" ht="15" customHeight="1">
      <c r="F29" s="376"/>
      <c r="H29" s="590"/>
    </row>
    <row r="30" spans="2:8" ht="15" customHeight="1">
      <c r="B30" s="548" t="s">
        <v>27</v>
      </c>
      <c r="F30" s="378" t="s">
        <v>28</v>
      </c>
      <c r="H30" s="589">
        <f>'Stock Data'!E173</f>
        <v>3.5214592593264642E-2</v>
      </c>
    </row>
    <row r="31" spans="2:8" ht="15" customHeight="1">
      <c r="B31" s="558" t="s">
        <v>29</v>
      </c>
      <c r="F31" s="378" t="s">
        <v>30</v>
      </c>
      <c r="H31" s="589">
        <f>'Stock Data'!E174</f>
        <v>1.1210906013971489</v>
      </c>
    </row>
    <row r="32" spans="2:8" ht="15" customHeight="1">
      <c r="B32" s="559" t="s">
        <v>31</v>
      </c>
    </row>
    <row r="34" spans="2:16" ht="15" customHeight="1">
      <c r="B34" s="697" t="s">
        <v>32</v>
      </c>
      <c r="C34" s="697"/>
      <c r="D34" s="697"/>
      <c r="E34" s="697"/>
      <c r="F34" s="697"/>
      <c r="G34" s="697"/>
      <c r="H34" s="697"/>
      <c r="I34" s="697"/>
      <c r="J34" s="697"/>
      <c r="K34" s="697"/>
      <c r="L34" s="697"/>
      <c r="M34" s="697"/>
      <c r="N34" s="697"/>
      <c r="O34" s="697"/>
      <c r="P34" s="697"/>
    </row>
    <row r="35" spans="2:16" ht="15" customHeight="1">
      <c r="B35" s="697"/>
      <c r="C35" s="697"/>
      <c r="D35" s="697"/>
      <c r="E35" s="697"/>
      <c r="F35" s="697"/>
      <c r="G35" s="697"/>
      <c r="H35" s="697"/>
      <c r="I35" s="697"/>
      <c r="J35" s="697"/>
      <c r="K35" s="697"/>
      <c r="L35" s="697"/>
      <c r="M35" s="697"/>
      <c r="N35" s="697"/>
      <c r="O35" s="697"/>
      <c r="P35" s="697"/>
    </row>
    <row r="36" spans="2:16" ht="15" customHeight="1">
      <c r="B36" s="697"/>
      <c r="C36" s="697"/>
      <c r="D36" s="697"/>
      <c r="E36" s="697"/>
      <c r="F36" s="697"/>
      <c r="G36" s="697"/>
      <c r="H36" s="697"/>
      <c r="I36" s="697"/>
      <c r="J36" s="697"/>
      <c r="K36" s="697"/>
      <c r="L36" s="697"/>
      <c r="M36" s="697"/>
      <c r="N36" s="697"/>
      <c r="O36" s="697"/>
      <c r="P36" s="697"/>
    </row>
    <row r="37" spans="2:16" ht="15" customHeight="1">
      <c r="B37" s="697"/>
      <c r="C37" s="697"/>
      <c r="D37" s="697"/>
      <c r="E37" s="697"/>
      <c r="F37" s="697"/>
      <c r="G37" s="697"/>
      <c r="H37" s="697"/>
      <c r="I37" s="697"/>
      <c r="J37" s="697"/>
      <c r="K37" s="697"/>
      <c r="L37" s="697"/>
      <c r="M37" s="697"/>
      <c r="N37" s="697"/>
      <c r="O37" s="697"/>
      <c r="P37" s="697"/>
    </row>
    <row r="38" spans="2:16" ht="15" customHeight="1">
      <c r="B38" s="697"/>
      <c r="C38" s="697"/>
      <c r="D38" s="697"/>
      <c r="E38" s="697"/>
      <c r="F38" s="697"/>
      <c r="G38" s="697"/>
      <c r="H38" s="697"/>
      <c r="I38" s="697"/>
      <c r="J38" s="697"/>
      <c r="K38" s="697"/>
      <c r="L38" s="697"/>
      <c r="M38" s="697"/>
      <c r="N38" s="697"/>
      <c r="O38" s="697"/>
      <c r="P38" s="697"/>
    </row>
    <row r="39" spans="2:16" ht="15" customHeight="1">
      <c r="B39" s="697"/>
      <c r="C39" s="697"/>
      <c r="D39" s="697"/>
      <c r="E39" s="697"/>
      <c r="F39" s="697"/>
      <c r="G39" s="697"/>
      <c r="H39" s="697"/>
      <c r="I39" s="697"/>
      <c r="J39" s="697"/>
      <c r="K39" s="697"/>
      <c r="L39" s="697"/>
      <c r="M39" s="697"/>
      <c r="N39" s="697"/>
      <c r="O39" s="697"/>
      <c r="P39" s="697"/>
    </row>
    <row r="40" spans="2:16" ht="15" customHeight="1">
      <c r="B40" s="697"/>
      <c r="C40" s="697"/>
      <c r="D40" s="697"/>
      <c r="E40" s="697"/>
      <c r="F40" s="697"/>
      <c r="G40" s="697"/>
      <c r="H40" s="697"/>
      <c r="I40" s="697"/>
      <c r="J40" s="697"/>
      <c r="K40" s="697"/>
      <c r="L40" s="697"/>
      <c r="M40" s="697"/>
      <c r="N40" s="697"/>
      <c r="O40" s="697"/>
      <c r="P40" s="697"/>
    </row>
    <row r="41" spans="2:16" ht="15" customHeight="1">
      <c r="B41" s="697"/>
      <c r="C41" s="697"/>
      <c r="D41" s="697"/>
      <c r="E41" s="697"/>
      <c r="F41" s="697"/>
      <c r="G41" s="697"/>
      <c r="H41" s="697"/>
      <c r="I41" s="697"/>
      <c r="J41" s="697"/>
      <c r="K41" s="697"/>
      <c r="L41" s="697"/>
      <c r="M41" s="697"/>
      <c r="N41" s="697"/>
      <c r="O41" s="697"/>
      <c r="P41" s="697"/>
    </row>
    <row r="42" spans="2:16" ht="15" customHeight="1">
      <c r="B42" s="697"/>
      <c r="C42" s="697"/>
      <c r="D42" s="697"/>
      <c r="E42" s="697"/>
      <c r="F42" s="697"/>
      <c r="G42" s="697"/>
      <c r="H42" s="697"/>
      <c r="I42" s="697"/>
      <c r="J42" s="697"/>
      <c r="K42" s="697"/>
      <c r="L42" s="697"/>
      <c r="M42" s="697"/>
      <c r="N42" s="697"/>
      <c r="O42" s="697"/>
      <c r="P42" s="697"/>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32" r:id="rId1" xr:uid="{068F08CB-A223-45FB-9A9F-060ED37D18D0}"/>
    <hyperlink ref="B27" r:id="rId2" display="raul.vasconcelos@aln.iseg.ulisboa.pt" xr:uid="{D48763E3-2FF5-493C-B29F-B756409D01B4}"/>
    <hyperlink ref="B22" r:id="rId3" display="raul.vasconcelos@aln.iseg.ulisboa.pt" xr:uid="{972F8107-633E-46FA-8E9D-446E831F3D6B}"/>
    <hyperlink ref="B19" r:id="rId4" display="raul.vasconcelos@aln.iseg.ulisboa.pt" xr:uid="{913F4351-F364-4566-8CF9-58EAB12BAB1A}"/>
    <hyperlink ref="B16" r:id="rId5" display="raul.vasconcelos@aln.iseg.ulisboa.pt" xr:uid="{EFA83599-0A39-49DD-B76B-5CC8CB13CC21}"/>
    <hyperlink ref="B13" r:id="rId6" display="raul.vasconcelos@aln.iseg.ulisboa.pt" xr:uid="{77AB066A-C300-4B87-AFCB-2C947D186323}"/>
    <hyperlink ref="B17" r:id="rId7" xr:uid="{D45F1C41-FAA0-4130-84C5-E20BFF79DA23}"/>
  </hyperlinks>
  <pageMargins left="0.7" right="0.7" top="0.75" bottom="0.75" header="0.3" footer="0.3"/>
  <pageSetup paperSize="9"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S36"/>
  <sheetViews>
    <sheetView showGridLines="0" topLeftCell="B1" zoomScale="80" zoomScaleNormal="100" workbookViewId="0">
      <selection activeCell="B27" sqref="B27"/>
    </sheetView>
  </sheetViews>
  <sheetFormatPr defaultColWidth="11.625" defaultRowHeight="15" customHeight="1"/>
  <cols>
    <col min="1" max="1" width="2.125" style="23" customWidth="1"/>
    <col min="2" max="2" width="46.875" style="23" customWidth="1"/>
    <col min="3" max="3" width="3.625" style="23" customWidth="1"/>
    <col min="4" max="11" width="11.625" style="23"/>
    <col min="12" max="12" width="14.5" style="23" customWidth="1"/>
    <col min="13" max="13" width="11.625" style="23"/>
    <col min="14" max="14" width="1.625" style="23" customWidth="1"/>
    <col min="15" max="16384" width="11.625" style="23"/>
  </cols>
  <sheetData>
    <row r="1" spans="1:19" s="582" customFormat="1" ht="15" customHeight="1"/>
    <row r="2" spans="1:19" s="582" customFormat="1" ht="15" customHeight="1"/>
    <row r="3" spans="1:19" s="582" customFormat="1" ht="15" customHeight="1"/>
    <row r="4" spans="1:19" s="582" customFormat="1" ht="15" customHeight="1"/>
    <row r="5" spans="1:19" s="36" customFormat="1" ht="3.95" customHeight="1"/>
    <row r="6" spans="1:19" ht="15" customHeight="1">
      <c r="D6" s="423">
        <v>584.16999999999996</v>
      </c>
      <c r="E6" s="423">
        <v>627.76</v>
      </c>
      <c r="F6" s="423">
        <v>676.06</v>
      </c>
      <c r="G6" s="423">
        <v>729.63</v>
      </c>
      <c r="H6" s="423">
        <v>789.13</v>
      </c>
      <c r="I6" s="423">
        <v>855.3</v>
      </c>
      <c r="J6" s="423">
        <v>929</v>
      </c>
      <c r="K6" s="423">
        <v>997.69</v>
      </c>
      <c r="L6" s="423">
        <v>1067.6300000000001</v>
      </c>
      <c r="M6" s="423">
        <v>1137.57</v>
      </c>
    </row>
    <row r="7" spans="1:19" ht="15" customHeight="1">
      <c r="A7" s="44" t="s">
        <v>33</v>
      </c>
      <c r="B7" s="375" t="s">
        <v>34</v>
      </c>
      <c r="C7" s="186"/>
      <c r="D7" s="32"/>
      <c r="E7" s="32"/>
      <c r="F7" s="32"/>
      <c r="G7" s="32"/>
      <c r="H7" s="32"/>
      <c r="I7" s="32"/>
      <c r="J7" s="32"/>
      <c r="K7" s="32"/>
      <c r="L7" s="32"/>
      <c r="M7" s="32"/>
      <c r="N7" s="423"/>
      <c r="O7" s="375" t="s">
        <v>35</v>
      </c>
      <c r="P7" s="186"/>
      <c r="Q7" s="186"/>
      <c r="R7" s="186"/>
      <c r="S7" s="186"/>
    </row>
    <row r="8" spans="1:19" ht="15" customHeight="1">
      <c r="B8" s="186"/>
      <c r="C8" s="186"/>
      <c r="D8" s="32"/>
      <c r="E8" s="32"/>
      <c r="F8" s="32"/>
      <c r="G8" s="32"/>
      <c r="H8" s="32"/>
      <c r="I8" s="32"/>
      <c r="J8" s="32"/>
      <c r="K8" s="32"/>
      <c r="L8" s="32"/>
      <c r="M8" s="32"/>
      <c r="N8" s="423"/>
      <c r="O8" s="186"/>
      <c r="P8" s="186"/>
      <c r="Q8" s="186"/>
      <c r="R8" s="186"/>
      <c r="S8" s="186"/>
    </row>
    <row r="9" spans="1:19" ht="15" customHeight="1">
      <c r="B9" s="375"/>
      <c r="C9" s="32"/>
      <c r="D9" s="453">
        <v>2022</v>
      </c>
      <c r="E9" s="453">
        <f>+D9+1</f>
        <v>2023</v>
      </c>
      <c r="F9" s="453">
        <f>+E9+1</f>
        <v>2024</v>
      </c>
      <c r="G9" s="454">
        <f>+F9+1</f>
        <v>2025</v>
      </c>
      <c r="H9" s="454">
        <f t="shared" ref="H9:K9" si="0">+G9+1</f>
        <v>2026</v>
      </c>
      <c r="I9" s="454">
        <f t="shared" si="0"/>
        <v>2027</v>
      </c>
      <c r="J9" s="454">
        <f t="shared" si="0"/>
        <v>2028</v>
      </c>
      <c r="K9" s="454">
        <f t="shared" si="0"/>
        <v>2029</v>
      </c>
      <c r="L9" s="542"/>
      <c r="M9" s="543" t="str">
        <f>"CAGR "&amp;$G$9&amp;" - "&amp;$K$9</f>
        <v>CAGR 2025 - 2029</v>
      </c>
      <c r="N9" s="544"/>
      <c r="O9" s="32"/>
      <c r="P9" s="32"/>
      <c r="Q9" s="32"/>
      <c r="R9" s="32"/>
      <c r="S9" s="32"/>
    </row>
    <row r="10" spans="1:19" ht="3.95" customHeight="1">
      <c r="B10" s="36"/>
      <c r="C10" s="36"/>
      <c r="D10" s="36"/>
      <c r="E10" s="36"/>
      <c r="F10" s="36"/>
      <c r="G10" s="36"/>
      <c r="H10" s="36"/>
      <c r="I10" s="36"/>
      <c r="J10" s="36"/>
      <c r="K10" s="36"/>
      <c r="L10" s="36"/>
      <c r="M10" s="382"/>
      <c r="O10" s="36"/>
      <c r="P10" s="36"/>
      <c r="Q10" s="36"/>
      <c r="R10" s="36"/>
      <c r="S10" s="36"/>
    </row>
    <row r="11" spans="1:19" ht="3.95" customHeight="1">
      <c r="M11" s="535"/>
    </row>
    <row r="12" spans="1:19" ht="15" customHeight="1">
      <c r="B12" s="376" t="s">
        <v>36</v>
      </c>
      <c r="C12" s="33"/>
      <c r="D12" s="551"/>
      <c r="E12" s="551"/>
      <c r="F12" s="551"/>
      <c r="G12" s="551"/>
      <c r="H12" s="551"/>
      <c r="I12" s="551"/>
      <c r="J12" s="551"/>
      <c r="K12" s="551"/>
      <c r="L12" s="540"/>
      <c r="M12" s="545" t="e">
        <f>(K12/G12)^(1/5)-1</f>
        <v>#DIV/0!</v>
      </c>
    </row>
    <row r="13" spans="1:19" ht="15" customHeight="1">
      <c r="B13" s="549" t="s">
        <v>37</v>
      </c>
      <c r="D13" s="550"/>
      <c r="E13" s="550"/>
      <c r="F13" s="550"/>
      <c r="G13" s="550"/>
      <c r="H13" s="550"/>
      <c r="I13" s="550"/>
      <c r="J13" s="550"/>
      <c r="K13" s="550"/>
      <c r="L13" s="540"/>
      <c r="M13" s="553" t="e">
        <f>((K13*K12)/(G13*G12))^(1/5)-1</f>
        <v>#DIV/0!</v>
      </c>
    </row>
    <row r="14" spans="1:19" ht="15" customHeight="1">
      <c r="B14" s="552" t="s">
        <v>36</v>
      </c>
      <c r="C14" s="33"/>
      <c r="D14" s="551"/>
      <c r="E14" s="551"/>
      <c r="F14" s="551"/>
      <c r="G14" s="551"/>
      <c r="H14" s="551"/>
      <c r="I14" s="551"/>
      <c r="J14" s="551"/>
      <c r="K14" s="551"/>
      <c r="L14" s="540"/>
      <c r="M14" s="545" t="e">
        <f>(K14/G14)^(1/5)-1</f>
        <v>#DIV/0!</v>
      </c>
    </row>
    <row r="15" spans="1:19" ht="15" customHeight="1">
      <c r="B15" s="549" t="s">
        <v>37</v>
      </c>
      <c r="D15" s="550"/>
      <c r="E15" s="550"/>
      <c r="F15" s="550"/>
      <c r="G15" s="550"/>
      <c r="H15" s="550"/>
      <c r="I15" s="550"/>
      <c r="J15" s="550"/>
      <c r="K15" s="550"/>
      <c r="L15" s="540"/>
      <c r="M15" s="553" t="e">
        <f>((K15*K14)/(G15*G14))^(1/5)-1</f>
        <v>#DIV/0!</v>
      </c>
    </row>
    <row r="16" spans="1:19" ht="15" customHeight="1">
      <c r="B16" s="552" t="s">
        <v>36</v>
      </c>
      <c r="C16" s="33"/>
      <c r="D16" s="551"/>
      <c r="E16" s="551"/>
      <c r="F16" s="551"/>
      <c r="G16" s="551"/>
      <c r="H16" s="551"/>
      <c r="I16" s="551"/>
      <c r="J16" s="551"/>
      <c r="K16" s="551"/>
      <c r="L16" s="540"/>
      <c r="M16" s="545" t="e">
        <f>(K16/G16)^(1/5)-1</f>
        <v>#DIV/0!</v>
      </c>
    </row>
    <row r="17" spans="1:19" ht="15" customHeight="1">
      <c r="B17" s="549" t="s">
        <v>37</v>
      </c>
      <c r="D17" s="550"/>
      <c r="E17" s="550"/>
      <c r="F17" s="550"/>
      <c r="G17" s="550"/>
      <c r="H17" s="550"/>
      <c r="I17" s="550"/>
      <c r="J17" s="550"/>
      <c r="K17" s="550"/>
      <c r="L17" s="540"/>
      <c r="M17" s="553" t="e">
        <f>((K17*K16)/(G17*G16))^(1/5)-1</f>
        <v>#DIV/0!</v>
      </c>
    </row>
    <row r="18" spans="1:19" ht="15" customHeight="1">
      <c r="B18" s="552" t="s">
        <v>36</v>
      </c>
      <c r="C18" s="33"/>
      <c r="D18" s="551"/>
      <c r="E18" s="551"/>
      <c r="F18" s="551"/>
      <c r="G18" s="551"/>
      <c r="H18" s="551"/>
      <c r="I18" s="551"/>
      <c r="J18" s="551"/>
      <c r="K18" s="551"/>
      <c r="L18" s="540"/>
      <c r="M18" s="545" t="e">
        <f>(K18/G18)^(1/5)-1</f>
        <v>#DIV/0!</v>
      </c>
    </row>
    <row r="19" spans="1:19" ht="15" customHeight="1">
      <c r="B19" s="549" t="s">
        <v>37</v>
      </c>
      <c r="D19" s="550"/>
      <c r="E19" s="550"/>
      <c r="F19" s="550"/>
      <c r="G19" s="550"/>
      <c r="H19" s="550"/>
      <c r="I19" s="550"/>
      <c r="J19" s="550"/>
      <c r="K19" s="550"/>
      <c r="L19" s="540"/>
      <c r="M19" s="553" t="e">
        <f>((K19*K18)/(G19*G18))^(1/5)-1</f>
        <v>#DIV/0!</v>
      </c>
    </row>
    <row r="20" spans="1:19" ht="15" customHeight="1">
      <c r="B20" s="552" t="s">
        <v>36</v>
      </c>
      <c r="C20" s="33"/>
      <c r="D20" s="551"/>
      <c r="E20" s="551"/>
      <c r="F20" s="551"/>
      <c r="G20" s="551"/>
      <c r="H20" s="551"/>
      <c r="I20" s="551"/>
      <c r="J20" s="551"/>
      <c r="K20" s="551"/>
      <c r="L20" s="540"/>
      <c r="M20" s="545" t="e">
        <f t="shared" ref="M20" si="1">(K20/G20)^(1/5)-1</f>
        <v>#DIV/0!</v>
      </c>
    </row>
    <row r="21" spans="1:19" ht="15" customHeight="1">
      <c r="B21" s="549" t="s">
        <v>37</v>
      </c>
      <c r="D21" s="550"/>
      <c r="E21" s="550"/>
      <c r="F21" s="550"/>
      <c r="G21" s="550"/>
      <c r="H21" s="550"/>
      <c r="I21" s="550"/>
      <c r="J21" s="550"/>
      <c r="K21" s="550"/>
      <c r="L21" s="540"/>
      <c r="M21" s="553" t="e">
        <f>((K21*K20)/(G21*G20))^(1/5)-1</f>
        <v>#DIV/0!</v>
      </c>
    </row>
    <row r="22" spans="1:19" ht="15" customHeight="1">
      <c r="E22" s="541"/>
    </row>
    <row r="23" spans="1:19" ht="15" customHeight="1">
      <c r="A23" s="44" t="s">
        <v>33</v>
      </c>
      <c r="B23" s="32"/>
      <c r="C23" s="32"/>
      <c r="D23" s="32"/>
      <c r="E23" s="32"/>
      <c r="F23" s="32"/>
      <c r="G23" s="32"/>
      <c r="H23" s="32"/>
      <c r="I23" s="32"/>
      <c r="J23" s="32"/>
      <c r="K23" s="32"/>
      <c r="L23" s="32"/>
      <c r="M23" s="32"/>
      <c r="O23" s="32"/>
      <c r="P23" s="32"/>
      <c r="Q23" s="32"/>
      <c r="R23" s="32"/>
      <c r="S23" s="32"/>
    </row>
    <row r="24" spans="1:19" ht="15" customHeight="1">
      <c r="B24" s="32"/>
      <c r="C24" s="32"/>
      <c r="D24" s="32"/>
      <c r="E24" s="32"/>
      <c r="F24" s="32"/>
      <c r="G24" s="32"/>
      <c r="H24" s="32"/>
      <c r="I24" s="32"/>
      <c r="J24" s="32"/>
      <c r="K24" s="32"/>
      <c r="L24" s="32"/>
      <c r="M24" s="32"/>
      <c r="O24" s="32"/>
      <c r="P24" s="32"/>
      <c r="Q24" s="32"/>
      <c r="R24" s="32"/>
      <c r="S24" s="32"/>
    </row>
    <row r="25" spans="1:19" s="423" customFormat="1" ht="15" customHeight="1">
      <c r="B25" s="375" t="s">
        <v>38</v>
      </c>
      <c r="C25" s="32"/>
      <c r="D25" s="375" t="s">
        <v>39</v>
      </c>
      <c r="E25" s="32"/>
      <c r="F25" s="32"/>
      <c r="G25" s="32"/>
      <c r="H25" s="32"/>
      <c r="I25" s="32"/>
      <c r="J25" s="32"/>
      <c r="K25" s="32"/>
      <c r="L25" s="32"/>
      <c r="M25" s="32"/>
      <c r="O25" s="375" t="s">
        <v>40</v>
      </c>
      <c r="P25" s="32"/>
      <c r="Q25" s="32"/>
      <c r="R25" s="32"/>
      <c r="S25" s="32"/>
    </row>
    <row r="26" spans="1:19" ht="3.95" customHeight="1">
      <c r="B26" s="36"/>
      <c r="C26" s="36"/>
      <c r="D26" s="36"/>
      <c r="E26" s="36"/>
      <c r="F26" s="36"/>
      <c r="G26" s="36"/>
      <c r="H26" s="36"/>
      <c r="I26" s="36"/>
      <c r="J26" s="36"/>
      <c r="K26" s="36"/>
      <c r="L26" s="36"/>
      <c r="M26" s="36"/>
      <c r="O26" s="36"/>
      <c r="P26" s="36"/>
      <c r="Q26" s="36"/>
      <c r="R26" s="36"/>
      <c r="S26" s="36"/>
    </row>
    <row r="27" spans="1:19" ht="60" customHeight="1">
      <c r="B27" s="548"/>
      <c r="C27" s="546"/>
      <c r="D27" s="698"/>
      <c r="E27" s="698"/>
      <c r="F27" s="698"/>
      <c r="G27" s="698"/>
      <c r="H27" s="698"/>
      <c r="I27" s="698"/>
      <c r="J27" s="698"/>
      <c r="K27" s="698"/>
      <c r="L27" s="698"/>
      <c r="M27" s="698"/>
    </row>
    <row r="28" spans="1:19" ht="60" customHeight="1">
      <c r="B28" s="548"/>
      <c r="C28" s="546"/>
      <c r="D28" s="698"/>
      <c r="E28" s="698"/>
      <c r="F28" s="698"/>
      <c r="G28" s="698"/>
      <c r="H28" s="698"/>
      <c r="I28" s="698"/>
      <c r="J28" s="698"/>
      <c r="K28" s="698"/>
      <c r="L28" s="698"/>
      <c r="M28" s="698"/>
    </row>
    <row r="29" spans="1:19" ht="60" customHeight="1">
      <c r="B29" s="548"/>
      <c r="C29" s="546"/>
      <c r="D29" s="698"/>
      <c r="E29" s="698"/>
      <c r="F29" s="698"/>
      <c r="G29" s="698"/>
      <c r="H29" s="698"/>
      <c r="I29" s="698"/>
      <c r="J29" s="698"/>
      <c r="K29" s="698"/>
      <c r="L29" s="698"/>
      <c r="M29" s="698"/>
    </row>
    <row r="30" spans="1:19" ht="60" customHeight="1">
      <c r="B30" s="548"/>
      <c r="C30" s="546"/>
      <c r="D30" s="698"/>
      <c r="E30" s="698"/>
      <c r="F30" s="698"/>
      <c r="G30" s="698"/>
      <c r="H30" s="698"/>
      <c r="I30" s="698"/>
      <c r="J30" s="698"/>
      <c r="K30" s="698"/>
      <c r="L30" s="698"/>
      <c r="M30" s="698"/>
    </row>
    <row r="31" spans="1:19" ht="60" customHeight="1">
      <c r="B31" s="548"/>
      <c r="C31" s="546"/>
      <c r="D31" s="698"/>
      <c r="E31" s="698"/>
      <c r="F31" s="698"/>
      <c r="G31" s="698"/>
      <c r="H31" s="698"/>
      <c r="I31" s="698"/>
      <c r="J31" s="698"/>
      <c r="K31" s="698"/>
      <c r="L31" s="698"/>
      <c r="M31" s="698"/>
    </row>
    <row r="32" spans="1:19" ht="15" customHeight="1">
      <c r="O32" s="378" t="s">
        <v>41</v>
      </c>
      <c r="R32" s="547">
        <v>2</v>
      </c>
    </row>
    <row r="33" spans="15:18" ht="15" customHeight="1">
      <c r="O33" s="378" t="s">
        <v>42</v>
      </c>
      <c r="R33" s="547">
        <v>4</v>
      </c>
    </row>
    <row r="34" spans="15:18" ht="15" customHeight="1">
      <c r="O34" s="378" t="s">
        <v>43</v>
      </c>
      <c r="R34" s="547">
        <v>3</v>
      </c>
    </row>
    <row r="35" spans="15:18" ht="15" customHeight="1">
      <c r="O35" s="378" t="s">
        <v>44</v>
      </c>
      <c r="R35" s="547">
        <v>5</v>
      </c>
    </row>
    <row r="36" spans="15:18" ht="15" customHeight="1">
      <c r="O36" s="378" t="s">
        <v>45</v>
      </c>
      <c r="R36" s="547">
        <v>5</v>
      </c>
    </row>
  </sheetData>
  <mergeCells count="5">
    <mergeCell ref="D27:M27"/>
    <mergeCell ref="D28:M28"/>
    <mergeCell ref="D29:M29"/>
    <mergeCell ref="D30:M30"/>
    <mergeCell ref="D31:M31"/>
  </mergeCells>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displayEmptyCellsAs="gap" xr2:uid="{00000000-0003-0000-0200-000000000000}">
          <x14:colorSeries rgb="FF7B1314"/>
          <x14:colorNegative rgb="FFD00000"/>
          <x14:colorAxis rgb="FF000000"/>
          <x14:colorMarkers rgb="FFD00000"/>
          <x14:colorFirst rgb="FFD00000"/>
          <x14:colorLast rgb="FFD00000"/>
          <x14:colorHigh rgb="FFD00000"/>
          <x14:colorLow rgb="FFD00000"/>
          <x14:sparklines>
            <x14:sparkline>
              <xm:f>Industry!D21:K21</xm:f>
              <xm:sqref>L21</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Industry!D19:K19</xm:f>
              <xm:sqref>L19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Industry!D18:K18</xm:f>
              <xm:sqref>L18</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7000000}">
          <x14:colorSeries rgb="FF7B1314"/>
          <x14:colorNegative rgb="FFD00000"/>
          <x14:colorAxis rgb="FF000000"/>
          <x14:colorMarkers rgb="FFD00000"/>
          <x14:colorFirst rgb="FFD00000"/>
          <x14:colorLast rgb="FFD00000"/>
          <x14:colorHigh rgb="FFD00000"/>
          <x14:colorLow rgb="FFD00000"/>
          <x14:sparklines>
            <x14:sparkline>
              <xm:f>Industry!D12:K12</xm:f>
              <xm:sqref>L12</xm:sqref>
            </x14:sparkline>
          </x14:sparklines>
        </x14:sparklineGroup>
        <x14:sparklineGroup type="column" displayEmptyCellsAs="gap" xr2:uid="{00000000-0003-0000-0200-000008000000}">
          <x14:colorSeries rgb="FF7B1314"/>
          <x14:colorNegative rgb="FFD00000"/>
          <x14:colorAxis rgb="FF000000"/>
          <x14:colorMarkers rgb="FFD00000"/>
          <x14:colorFirst rgb="FFD00000"/>
          <x14:colorLast rgb="FFD00000"/>
          <x14:colorHigh rgb="FFD00000"/>
          <x14:colorLow rgb="FFD00000"/>
          <x14:sparklines>
            <x14:sparkline>
              <xm:f>Industry!D20:K20</xm:f>
              <xm:sqref>L20</xm:sqref>
            </x14:sparkline>
          </x14:sparklines>
        </x14:sparklineGroup>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K94"/>
  <sheetViews>
    <sheetView showGridLines="0" topLeftCell="A55" zoomScaleNormal="100" workbookViewId="0">
      <selection activeCell="F69" sqref="F69"/>
    </sheetView>
  </sheetViews>
  <sheetFormatPr defaultColWidth="7.625" defaultRowHeight="15" customHeight="1"/>
  <cols>
    <col min="1" max="1" width="2" style="380" customWidth="1"/>
    <col min="2" max="2" width="30.75" style="380" customWidth="1"/>
    <col min="3" max="4" width="9.125" style="380" customWidth="1"/>
    <col min="5" max="5" width="9.125" style="381" customWidth="1"/>
    <col min="6" max="6" width="1.625" style="380" customWidth="1"/>
    <col min="7" max="7" width="24.125" style="380" customWidth="1"/>
    <col min="8" max="8" width="11" style="380" customWidth="1"/>
    <col min="9" max="9" width="25" style="380" customWidth="1"/>
    <col min="10" max="10" width="34.625" style="380" customWidth="1"/>
    <col min="11" max="11" width="75.5" style="380" customWidth="1"/>
    <col min="12" max="16384" width="7.625" style="380"/>
  </cols>
  <sheetData>
    <row r="1" spans="1:11" s="596" customFormat="1" ht="15" customHeight="1">
      <c r="A1" s="595"/>
      <c r="E1" s="595"/>
    </row>
    <row r="2" spans="1:11" s="596" customFormat="1" ht="15" customHeight="1">
      <c r="E2" s="595"/>
    </row>
    <row r="3" spans="1:11" s="596" customFormat="1" ht="15" customHeight="1">
      <c r="E3" s="595"/>
    </row>
    <row r="4" spans="1:11" s="596" customFormat="1" ht="15" customHeight="1">
      <c r="E4" s="595"/>
    </row>
    <row r="5" spans="1:11" s="395" customFormat="1" ht="3.95" customHeight="1">
      <c r="E5" s="396"/>
    </row>
    <row r="7" spans="1:11" s="97" customFormat="1" ht="15" customHeight="1">
      <c r="A7" s="383" t="s">
        <v>33</v>
      </c>
      <c r="B7" s="384" t="s">
        <v>46</v>
      </c>
      <c r="C7" s="384"/>
      <c r="D7" s="384"/>
      <c r="E7" s="32"/>
      <c r="F7" s="340"/>
      <c r="G7" s="340"/>
      <c r="H7" s="340"/>
      <c r="I7" s="32"/>
      <c r="J7" s="340"/>
      <c r="K7" s="340"/>
    </row>
    <row r="8" spans="1:11" s="97" customFormat="1" ht="15" customHeight="1">
      <c r="B8" s="385"/>
      <c r="C8" s="385"/>
      <c r="D8" s="385"/>
      <c r="E8" s="32"/>
      <c r="F8" s="386"/>
      <c r="G8" s="386"/>
      <c r="H8" s="386"/>
      <c r="I8" s="387"/>
      <c r="J8" s="386"/>
      <c r="K8" s="386"/>
    </row>
    <row r="9" spans="1:11" s="97" customFormat="1" ht="14.25" customHeight="1">
      <c r="B9" s="385"/>
      <c r="C9" s="385"/>
      <c r="D9" s="385"/>
      <c r="E9" s="32"/>
      <c r="F9" s="388"/>
      <c r="G9" s="388"/>
      <c r="H9" s="388"/>
      <c r="I9" s="386"/>
      <c r="J9" s="388"/>
      <c r="K9" s="388"/>
    </row>
    <row r="10" spans="1:11" s="97" customFormat="1" ht="3.95" customHeight="1">
      <c r="A10" s="55"/>
      <c r="B10" s="389"/>
      <c r="C10" s="389"/>
      <c r="D10" s="389"/>
      <c r="E10" s="390"/>
      <c r="F10" s="391"/>
      <c r="G10" s="391"/>
      <c r="H10" s="391"/>
      <c r="I10" s="392"/>
      <c r="J10" s="391"/>
      <c r="K10" s="391"/>
    </row>
    <row r="11" spans="1:11" s="23" customFormat="1" ht="15" customHeight="1"/>
    <row r="12" spans="1:11" s="23" customFormat="1" ht="15" customHeight="1">
      <c r="B12" s="375" t="s">
        <v>47</v>
      </c>
      <c r="C12" s="375"/>
      <c r="D12" s="375"/>
      <c r="E12" s="393"/>
      <c r="F12" s="394"/>
      <c r="G12" s="384" t="s">
        <v>48</v>
      </c>
      <c r="H12" s="385"/>
      <c r="I12" s="384"/>
      <c r="J12" s="385"/>
      <c r="K12" s="385"/>
    </row>
    <row r="13" spans="1:11" s="23" customFormat="1" ht="3.95" customHeight="1">
      <c r="B13" s="395"/>
      <c r="C13" s="395"/>
      <c r="D13" s="395"/>
      <c r="E13" s="396"/>
      <c r="F13" s="341"/>
      <c r="G13" s="389"/>
      <c r="H13" s="389"/>
      <c r="I13" s="389"/>
      <c r="J13" s="389"/>
      <c r="K13" s="389"/>
    </row>
    <row r="14" spans="1:11" s="23" customFormat="1" ht="3.95" customHeight="1">
      <c r="B14" s="380"/>
      <c r="C14" s="380"/>
      <c r="D14" s="380"/>
      <c r="E14" s="381"/>
      <c r="F14" s="341"/>
      <c r="G14" s="341"/>
      <c r="H14" s="341"/>
      <c r="I14" s="341"/>
      <c r="J14" s="341"/>
    </row>
    <row r="15" spans="1:11" ht="15" customHeight="1">
      <c r="B15" s="376" t="s">
        <v>49</v>
      </c>
      <c r="C15" s="376"/>
      <c r="D15" s="715">
        <v>55</v>
      </c>
      <c r="E15" s="715"/>
      <c r="H15" s="534"/>
      <c r="I15" s="534"/>
      <c r="J15" s="534"/>
    </row>
    <row r="16" spans="1:11" ht="15" customHeight="1">
      <c r="B16" s="402" t="s">
        <v>50</v>
      </c>
      <c r="C16" s="378"/>
      <c r="D16" s="716">
        <v>23</v>
      </c>
      <c r="E16" s="716"/>
      <c r="G16" s="376"/>
      <c r="H16" s="736"/>
      <c r="I16" s="736"/>
      <c r="J16" s="736"/>
    </row>
    <row r="17" spans="2:11" ht="15" customHeight="1">
      <c r="B17" s="402" t="s">
        <v>51</v>
      </c>
      <c r="C17" s="378"/>
      <c r="D17" s="717">
        <v>67</v>
      </c>
      <c r="E17" s="717"/>
      <c r="H17" s="736"/>
      <c r="I17" s="736"/>
      <c r="J17" s="736"/>
      <c r="K17" s="377"/>
    </row>
    <row r="18" spans="2:11" ht="15" customHeight="1">
      <c r="B18" s="402" t="s">
        <v>52</v>
      </c>
      <c r="C18" s="378"/>
      <c r="D18" s="717">
        <v>68</v>
      </c>
      <c r="E18" s="717"/>
      <c r="G18" s="376"/>
      <c r="H18" s="736"/>
      <c r="I18" s="736"/>
      <c r="J18" s="736"/>
      <c r="K18" s="377"/>
    </row>
    <row r="19" spans="2:11" ht="15" customHeight="1">
      <c r="B19" s="376" t="s">
        <v>53</v>
      </c>
      <c r="C19" s="376"/>
      <c r="D19" s="714">
        <v>33</v>
      </c>
      <c r="E19" s="714"/>
      <c r="H19" s="736"/>
      <c r="I19" s="736"/>
      <c r="J19" s="736"/>
      <c r="K19" s="377"/>
    </row>
    <row r="20" spans="2:11" ht="15" customHeight="1">
      <c r="B20" s="402" t="s">
        <v>54</v>
      </c>
      <c r="C20" s="378"/>
      <c r="D20" s="718">
        <v>48</v>
      </c>
      <c r="E20" s="718"/>
      <c r="G20" s="376"/>
      <c r="H20" s="736"/>
      <c r="I20" s="736"/>
      <c r="J20" s="736"/>
      <c r="K20" s="377"/>
    </row>
    <row r="21" spans="2:11" ht="15" customHeight="1">
      <c r="B21" s="402" t="s">
        <v>55</v>
      </c>
      <c r="C21" s="378"/>
      <c r="D21" s="717">
        <v>67</v>
      </c>
      <c r="E21" s="717"/>
      <c r="H21" s="736"/>
      <c r="I21" s="736"/>
      <c r="J21" s="736"/>
      <c r="K21" s="377"/>
    </row>
    <row r="22" spans="2:11" ht="15" customHeight="1">
      <c r="B22" s="402" t="s">
        <v>56</v>
      </c>
      <c r="C22" s="378"/>
      <c r="D22" s="717">
        <v>67</v>
      </c>
      <c r="E22" s="717"/>
      <c r="G22" s="376"/>
      <c r="H22" s="736"/>
      <c r="I22" s="736"/>
      <c r="J22" s="736"/>
      <c r="K22" s="377"/>
    </row>
    <row r="23" spans="2:11" ht="15" customHeight="1">
      <c r="B23" s="376" t="s">
        <v>57</v>
      </c>
      <c r="C23" s="376"/>
      <c r="D23" s="712" t="s">
        <v>58</v>
      </c>
      <c r="E23" s="712"/>
      <c r="H23" s="736"/>
      <c r="I23" s="736"/>
      <c r="J23" s="736"/>
      <c r="K23" s="377"/>
    </row>
    <row r="24" spans="2:11" ht="15" customHeight="1">
      <c r="B24" s="376" t="s">
        <v>59</v>
      </c>
      <c r="C24" s="376"/>
      <c r="D24" s="713" t="s">
        <v>60</v>
      </c>
      <c r="E24" s="713"/>
    </row>
    <row r="25" spans="2:11" ht="15" customHeight="1">
      <c r="B25" s="402" t="s">
        <v>61</v>
      </c>
      <c r="C25" s="378"/>
      <c r="D25" s="719">
        <v>-6.5</v>
      </c>
      <c r="E25" s="719"/>
      <c r="G25" s="33"/>
      <c r="H25" s="33"/>
      <c r="I25" s="33"/>
      <c r="K25" s="33"/>
    </row>
    <row r="26" spans="2:11" ht="15" customHeight="1">
      <c r="B26" s="402" t="s">
        <v>62</v>
      </c>
      <c r="C26" s="378"/>
      <c r="D26" s="717">
        <v>70</v>
      </c>
      <c r="E26" s="717"/>
      <c r="G26" s="376"/>
      <c r="H26" s="736"/>
      <c r="I26" s="736"/>
      <c r="J26" s="736"/>
      <c r="K26" s="376"/>
    </row>
    <row r="27" spans="2:11" ht="15" customHeight="1">
      <c r="B27" s="376" t="s">
        <v>63</v>
      </c>
      <c r="C27" s="376"/>
      <c r="D27" s="711" t="s">
        <v>64</v>
      </c>
      <c r="E27" s="711"/>
      <c r="H27" s="736"/>
      <c r="I27" s="736"/>
      <c r="J27" s="736"/>
      <c r="K27" s="534"/>
    </row>
    <row r="28" spans="2:11" ht="15" customHeight="1">
      <c r="E28" s="380"/>
      <c r="G28" s="376"/>
      <c r="H28" s="736"/>
      <c r="I28" s="736"/>
      <c r="J28" s="736"/>
      <c r="K28" s="534"/>
    </row>
    <row r="29" spans="2:11" ht="15" customHeight="1">
      <c r="E29" s="380"/>
      <c r="H29" s="736"/>
      <c r="I29" s="736"/>
      <c r="J29" s="736"/>
      <c r="K29" s="534"/>
    </row>
    <row r="30" spans="2:11" ht="15" customHeight="1">
      <c r="B30" s="375" t="s">
        <v>65</v>
      </c>
      <c r="C30" s="375"/>
      <c r="D30" s="375"/>
      <c r="E30" s="375"/>
      <c r="G30" s="375" t="s">
        <v>66</v>
      </c>
      <c r="H30" s="375"/>
      <c r="I30" s="375"/>
      <c r="J30" s="375"/>
      <c r="K30" s="375"/>
    </row>
    <row r="31" spans="2:11" s="23" customFormat="1" ht="3.95" customHeight="1">
      <c r="B31" s="36"/>
      <c r="C31" s="36"/>
      <c r="D31" s="36"/>
      <c r="E31" s="36"/>
      <c r="F31" s="380"/>
      <c r="G31" s="36"/>
      <c r="H31" s="36"/>
      <c r="I31" s="36"/>
      <c r="J31" s="36"/>
      <c r="K31" s="36"/>
    </row>
    <row r="32" spans="2:11" ht="15" customHeight="1" thickBot="1">
      <c r="B32" s="397"/>
      <c r="C32" s="397"/>
      <c r="D32" s="397"/>
      <c r="E32" s="397"/>
      <c r="G32" s="397"/>
      <c r="H32" s="398" t="s">
        <v>67</v>
      </c>
      <c r="I32" s="398" t="s">
        <v>68</v>
      </c>
      <c r="J32" s="398" t="s">
        <v>69</v>
      </c>
      <c r="K32" s="398" t="s">
        <v>70</v>
      </c>
    </row>
    <row r="33" spans="2:11" ht="15" customHeight="1">
      <c r="B33" s="404" t="s">
        <v>71</v>
      </c>
      <c r="C33" s="700" t="s">
        <v>72</v>
      </c>
      <c r="D33" s="700"/>
      <c r="E33" s="700"/>
      <c r="G33" s="729" t="s">
        <v>73</v>
      </c>
      <c r="H33" s="737"/>
      <c r="I33" s="725" t="s">
        <v>74</v>
      </c>
      <c r="J33" s="722" t="s">
        <v>75</v>
      </c>
      <c r="K33" s="722" t="s">
        <v>76</v>
      </c>
    </row>
    <row r="34" spans="2:11" ht="15" customHeight="1">
      <c r="B34" s="404" t="s">
        <v>77</v>
      </c>
      <c r="C34" s="700" t="s">
        <v>78</v>
      </c>
      <c r="D34" s="700"/>
      <c r="E34" s="700"/>
      <c r="G34" s="729"/>
      <c r="H34" s="737"/>
      <c r="I34" s="722"/>
      <c r="J34" s="722"/>
      <c r="K34" s="722"/>
    </row>
    <row r="35" spans="2:11" ht="15" customHeight="1">
      <c r="B35" s="404" t="s">
        <v>79</v>
      </c>
      <c r="C35" s="720" t="s">
        <v>80</v>
      </c>
      <c r="D35" s="700"/>
      <c r="E35" s="700"/>
      <c r="G35" s="729" t="s">
        <v>81</v>
      </c>
      <c r="H35" s="726"/>
      <c r="I35" s="722" t="s">
        <v>82</v>
      </c>
      <c r="J35" s="722" t="s">
        <v>83</v>
      </c>
      <c r="K35" s="723" t="s">
        <v>84</v>
      </c>
    </row>
    <row r="36" spans="2:11" ht="15" customHeight="1">
      <c r="B36" s="404" t="s">
        <v>85</v>
      </c>
      <c r="C36" s="720" t="s">
        <v>80</v>
      </c>
      <c r="D36" s="700"/>
      <c r="E36" s="700"/>
      <c r="G36" s="729"/>
      <c r="H36" s="726"/>
      <c r="I36" s="722"/>
      <c r="J36" s="722"/>
      <c r="K36" s="724"/>
    </row>
    <row r="37" spans="2:11" ht="15" customHeight="1">
      <c r="C37" s="721"/>
      <c r="D37" s="721"/>
      <c r="E37" s="721"/>
      <c r="G37" s="729" t="s">
        <v>86</v>
      </c>
      <c r="H37" s="726"/>
      <c r="I37" s="722" t="s">
        <v>87</v>
      </c>
      <c r="J37" s="722" t="s">
        <v>88</v>
      </c>
      <c r="K37" s="723" t="s">
        <v>84</v>
      </c>
    </row>
    <row r="38" spans="2:11" ht="15" customHeight="1">
      <c r="B38" s="404" t="s">
        <v>89</v>
      </c>
      <c r="C38" s="720" t="s">
        <v>90</v>
      </c>
      <c r="D38" s="700"/>
      <c r="E38" s="700"/>
      <c r="G38" s="729"/>
      <c r="H38" s="726"/>
      <c r="I38" s="722"/>
      <c r="J38" s="722"/>
      <c r="K38" s="724"/>
    </row>
    <row r="39" spans="2:11" ht="15" customHeight="1">
      <c r="B39" s="404" t="s">
        <v>91</v>
      </c>
      <c r="C39" s="727" t="s">
        <v>92</v>
      </c>
      <c r="D39" s="728"/>
      <c r="E39" s="728"/>
      <c r="G39" s="729" t="s">
        <v>93</v>
      </c>
      <c r="H39" s="737"/>
      <c r="I39" s="722" t="s">
        <v>94</v>
      </c>
      <c r="J39" s="722" t="s">
        <v>95</v>
      </c>
      <c r="K39" s="723" t="s">
        <v>84</v>
      </c>
    </row>
    <row r="40" spans="2:11" ht="15" customHeight="1">
      <c r="C40" s="406"/>
      <c r="D40" s="536"/>
      <c r="E40" s="536"/>
      <c r="G40" s="729"/>
      <c r="H40" s="737"/>
      <c r="I40" s="722"/>
      <c r="J40" s="722"/>
      <c r="K40" s="724"/>
    </row>
    <row r="41" spans="2:11" ht="15" customHeight="1">
      <c r="B41" s="376" t="s">
        <v>96</v>
      </c>
      <c r="C41" s="699" t="s">
        <v>97</v>
      </c>
      <c r="D41" s="700"/>
      <c r="E41" s="700"/>
      <c r="G41" s="729" t="s">
        <v>98</v>
      </c>
      <c r="H41" s="737"/>
      <c r="I41" s="723" t="s">
        <v>84</v>
      </c>
      <c r="J41" s="722" t="s">
        <v>99</v>
      </c>
      <c r="K41" s="722" t="s">
        <v>100</v>
      </c>
    </row>
    <row r="42" spans="2:11" ht="15" customHeight="1">
      <c r="B42" s="376" t="s">
        <v>101</v>
      </c>
      <c r="C42" s="699" t="s">
        <v>102</v>
      </c>
      <c r="D42" s="700"/>
      <c r="E42" s="700"/>
      <c r="G42" s="729"/>
      <c r="H42" s="737"/>
      <c r="I42" s="724"/>
      <c r="J42" s="722"/>
      <c r="K42" s="722"/>
    </row>
    <row r="43" spans="2:11" ht="15" customHeight="1">
      <c r="C43" s="405"/>
      <c r="D43" s="405"/>
      <c r="E43" s="405"/>
      <c r="G43" s="379"/>
      <c r="H43" s="399"/>
      <c r="I43" s="400"/>
      <c r="J43" s="401"/>
      <c r="K43" s="401"/>
    </row>
    <row r="44" spans="2:11" ht="15" customHeight="1">
      <c r="B44" s="375" t="s">
        <v>103</v>
      </c>
      <c r="C44" s="375"/>
      <c r="D44" s="375"/>
      <c r="E44" s="375"/>
      <c r="G44" s="375" t="s">
        <v>104</v>
      </c>
      <c r="H44" s="375"/>
      <c r="I44" s="375"/>
      <c r="J44" s="375"/>
      <c r="K44" s="375"/>
    </row>
    <row r="45" spans="2:11" s="23" customFormat="1" ht="3.95" customHeight="1">
      <c r="B45" s="36"/>
      <c r="C45" s="36"/>
      <c r="D45" s="36"/>
      <c r="E45" s="36"/>
      <c r="F45" s="380"/>
      <c r="G45" s="36"/>
      <c r="H45" s="36"/>
      <c r="I45" s="36"/>
      <c r="J45" s="36"/>
      <c r="K45" s="36"/>
    </row>
    <row r="46" spans="2:11" ht="15" customHeight="1" thickBot="1">
      <c r="B46" s="707" t="s">
        <v>105</v>
      </c>
      <c r="C46" s="707"/>
      <c r="D46" s="707"/>
      <c r="E46" s="707"/>
      <c r="G46" s="397"/>
      <c r="H46" s="398" t="s">
        <v>67</v>
      </c>
      <c r="I46" s="398" t="s">
        <v>68</v>
      </c>
      <c r="J46" s="398" t="s">
        <v>69</v>
      </c>
      <c r="K46" s="398" t="s">
        <v>70</v>
      </c>
    </row>
    <row r="47" spans="2:11" ht="15" customHeight="1">
      <c r="B47" s="708" t="s">
        <v>106</v>
      </c>
      <c r="C47" s="708"/>
      <c r="D47" s="708"/>
      <c r="E47" s="708"/>
      <c r="G47" s="729" t="s">
        <v>107</v>
      </c>
      <c r="H47" s="735"/>
      <c r="I47" s="732" t="s">
        <v>108</v>
      </c>
      <c r="J47" s="722" t="s">
        <v>109</v>
      </c>
      <c r="K47" s="722" t="s">
        <v>110</v>
      </c>
    </row>
    <row r="48" spans="2:11" ht="15" customHeight="1">
      <c r="B48" s="709"/>
      <c r="C48" s="709"/>
      <c r="D48" s="709"/>
      <c r="E48" s="709"/>
      <c r="G48" s="729"/>
      <c r="H48" s="735"/>
      <c r="I48" s="732"/>
      <c r="J48" s="722"/>
      <c r="K48" s="722"/>
    </row>
    <row r="49" spans="2:11" ht="15" customHeight="1">
      <c r="B49" s="709"/>
      <c r="C49" s="709"/>
      <c r="D49" s="709"/>
      <c r="E49" s="709"/>
      <c r="G49" s="729" t="s">
        <v>111</v>
      </c>
      <c r="H49" s="733"/>
      <c r="I49" s="732" t="s">
        <v>112</v>
      </c>
      <c r="J49" s="722" t="s">
        <v>113</v>
      </c>
      <c r="K49" s="722" t="s">
        <v>114</v>
      </c>
    </row>
    <row r="50" spans="2:11" ht="15" customHeight="1">
      <c r="B50" s="709"/>
      <c r="C50" s="709"/>
      <c r="D50" s="709"/>
      <c r="E50" s="709"/>
      <c r="G50" s="729"/>
      <c r="H50" s="733"/>
      <c r="I50" s="732"/>
      <c r="J50" s="722"/>
      <c r="K50" s="722"/>
    </row>
    <row r="51" spans="2:11" ht="15" customHeight="1">
      <c r="B51" s="709"/>
      <c r="C51" s="709"/>
      <c r="D51" s="709"/>
      <c r="E51" s="709"/>
      <c r="G51" s="729" t="s">
        <v>115</v>
      </c>
      <c r="H51" s="734"/>
      <c r="I51" s="732" t="s">
        <v>116</v>
      </c>
      <c r="J51" s="723" t="s">
        <v>84</v>
      </c>
      <c r="K51" s="722" t="s">
        <v>117</v>
      </c>
    </row>
    <row r="52" spans="2:11" ht="15" customHeight="1">
      <c r="B52" s="709"/>
      <c r="C52" s="709"/>
      <c r="D52" s="709"/>
      <c r="E52" s="709"/>
      <c r="G52" s="729"/>
      <c r="H52" s="734"/>
      <c r="I52" s="732"/>
      <c r="J52" s="723"/>
      <c r="K52" s="722"/>
    </row>
    <row r="53" spans="2:11" ht="15" customHeight="1">
      <c r="B53" s="709"/>
      <c r="C53" s="709"/>
      <c r="D53" s="709"/>
      <c r="E53" s="709"/>
      <c r="G53" s="729" t="s">
        <v>118</v>
      </c>
      <c r="H53" s="735"/>
      <c r="I53" s="723" t="s">
        <v>84</v>
      </c>
      <c r="J53" s="723" t="s">
        <v>84</v>
      </c>
      <c r="K53" s="722" t="s">
        <v>119</v>
      </c>
    </row>
    <row r="54" spans="2:11" ht="15" customHeight="1">
      <c r="B54" s="702"/>
      <c r="C54" s="702"/>
      <c r="D54" s="702"/>
      <c r="E54" s="702"/>
      <c r="G54" s="729"/>
      <c r="H54" s="735"/>
      <c r="I54" s="723"/>
      <c r="J54" s="723"/>
      <c r="K54" s="722"/>
    </row>
    <row r="55" spans="2:11" ht="15" customHeight="1">
      <c r="B55" s="710" t="s">
        <v>120</v>
      </c>
      <c r="C55" s="710"/>
      <c r="D55" s="710"/>
      <c r="E55" s="710"/>
      <c r="G55" s="729" t="s">
        <v>121</v>
      </c>
      <c r="H55" s="726"/>
      <c r="I55" s="732" t="s">
        <v>122</v>
      </c>
      <c r="J55" s="723" t="s">
        <v>84</v>
      </c>
      <c r="K55" s="722" t="s">
        <v>123</v>
      </c>
    </row>
    <row r="56" spans="2:11" ht="15" customHeight="1">
      <c r="B56" s="710"/>
      <c r="C56" s="710"/>
      <c r="D56" s="710"/>
      <c r="E56" s="710"/>
      <c r="G56" s="729"/>
      <c r="H56" s="726"/>
      <c r="I56" s="732"/>
      <c r="J56" s="723"/>
      <c r="K56" s="722"/>
    </row>
    <row r="57" spans="2:11" ht="15" customHeight="1">
      <c r="B57" s="710"/>
      <c r="C57" s="710"/>
      <c r="D57" s="710"/>
      <c r="E57" s="710"/>
      <c r="G57" s="729" t="s">
        <v>124</v>
      </c>
      <c r="H57" s="735"/>
      <c r="I57" s="722" t="s">
        <v>125</v>
      </c>
      <c r="J57" s="723" t="s">
        <v>84</v>
      </c>
      <c r="K57" s="722" t="s">
        <v>126</v>
      </c>
    </row>
    <row r="58" spans="2:11" ht="15" customHeight="1">
      <c r="B58" s="709" t="s">
        <v>127</v>
      </c>
      <c r="C58" s="709"/>
      <c r="D58" s="709"/>
      <c r="E58" s="709"/>
      <c r="G58" s="729"/>
      <c r="H58" s="735"/>
      <c r="I58" s="722"/>
      <c r="J58" s="723"/>
      <c r="K58" s="722"/>
    </row>
    <row r="59" spans="2:11" ht="15" customHeight="1">
      <c r="B59" s="709"/>
      <c r="C59" s="709"/>
      <c r="D59" s="709"/>
      <c r="E59" s="709"/>
      <c r="G59" s="729" t="s">
        <v>128</v>
      </c>
      <c r="H59" s="735"/>
      <c r="I59" s="723" t="s">
        <v>84</v>
      </c>
      <c r="J59" s="723" t="s">
        <v>84</v>
      </c>
      <c r="K59" s="722" t="s">
        <v>129</v>
      </c>
    </row>
    <row r="60" spans="2:11" ht="15" customHeight="1">
      <c r="B60" s="709"/>
      <c r="C60" s="709"/>
      <c r="D60" s="709"/>
      <c r="E60" s="709"/>
      <c r="G60" s="729"/>
      <c r="H60" s="735"/>
      <c r="I60" s="723"/>
      <c r="J60" s="723"/>
      <c r="K60" s="722"/>
    </row>
    <row r="61" spans="2:11" ht="15" customHeight="1">
      <c r="B61" s="709"/>
      <c r="C61" s="709"/>
      <c r="D61" s="709"/>
      <c r="E61" s="709"/>
      <c r="G61" s="729" t="s">
        <v>130</v>
      </c>
      <c r="H61" s="733"/>
      <c r="I61" s="722" t="s">
        <v>131</v>
      </c>
      <c r="J61" s="723" t="s">
        <v>84</v>
      </c>
      <c r="K61" s="722" t="s">
        <v>132</v>
      </c>
    </row>
    <row r="62" spans="2:11" ht="15" customHeight="1">
      <c r="B62" s="709"/>
      <c r="C62" s="709"/>
      <c r="D62" s="709"/>
      <c r="E62" s="709"/>
      <c r="G62" s="729"/>
      <c r="H62" s="733"/>
      <c r="I62" s="722"/>
      <c r="J62" s="723"/>
      <c r="K62" s="722"/>
    </row>
    <row r="63" spans="2:11" ht="15" customHeight="1">
      <c r="B63" s="702"/>
      <c r="C63" s="702"/>
      <c r="D63" s="702"/>
      <c r="E63" s="702"/>
      <c r="G63" s="729" t="s">
        <v>133</v>
      </c>
      <c r="H63" s="726"/>
      <c r="I63" s="722" t="s">
        <v>134</v>
      </c>
      <c r="J63" s="723" t="s">
        <v>84</v>
      </c>
      <c r="K63" s="722" t="s">
        <v>135</v>
      </c>
    </row>
    <row r="64" spans="2:11" ht="15" customHeight="1">
      <c r="B64" s="702"/>
      <c r="C64" s="702"/>
      <c r="D64" s="702"/>
      <c r="E64" s="702"/>
      <c r="G64" s="729"/>
      <c r="H64" s="726"/>
      <c r="I64" s="722"/>
      <c r="J64" s="723"/>
      <c r="K64" s="722"/>
    </row>
    <row r="65" spans="2:11" ht="15" customHeight="1">
      <c r="B65" s="702"/>
      <c r="C65" s="702"/>
      <c r="D65" s="702"/>
      <c r="E65" s="702"/>
      <c r="G65" s="729" t="s">
        <v>136</v>
      </c>
      <c r="H65" s="734"/>
      <c r="I65" s="723" t="s">
        <v>84</v>
      </c>
      <c r="J65" s="722" t="s">
        <v>137</v>
      </c>
      <c r="K65" s="722" t="s">
        <v>138</v>
      </c>
    </row>
    <row r="66" spans="2:11" ht="15" customHeight="1">
      <c r="B66" s="702"/>
      <c r="C66" s="702"/>
      <c r="D66" s="702"/>
      <c r="E66" s="702"/>
      <c r="G66" s="729"/>
      <c r="H66" s="734"/>
      <c r="I66" s="723"/>
      <c r="J66" s="722"/>
      <c r="K66" s="722"/>
    </row>
    <row r="67" spans="2:11" ht="15" customHeight="1">
      <c r="B67" s="702"/>
      <c r="C67" s="702"/>
      <c r="D67" s="702"/>
      <c r="E67" s="702"/>
      <c r="G67" s="729" t="s">
        <v>139</v>
      </c>
      <c r="H67" s="738"/>
      <c r="I67" s="732" t="s">
        <v>140</v>
      </c>
      <c r="J67" s="722" t="s">
        <v>141</v>
      </c>
      <c r="K67" s="722" t="s">
        <v>142</v>
      </c>
    </row>
    <row r="68" spans="2:11" ht="15" customHeight="1">
      <c r="B68" s="702"/>
      <c r="C68" s="702"/>
      <c r="D68" s="702"/>
      <c r="E68" s="702"/>
      <c r="G68" s="729"/>
      <c r="H68" s="738"/>
      <c r="I68" s="732"/>
      <c r="J68" s="722"/>
      <c r="K68" s="722"/>
    </row>
    <row r="69" spans="2:11" ht="15" customHeight="1">
      <c r="G69" s="379"/>
      <c r="H69" s="399"/>
      <c r="I69" s="400"/>
      <c r="J69" s="401"/>
      <c r="K69" s="401"/>
    </row>
    <row r="70" spans="2:11" ht="15" customHeight="1">
      <c r="B70" s="384" t="s">
        <v>143</v>
      </c>
      <c r="C70" s="384"/>
      <c r="D70" s="384"/>
      <c r="E70" s="385"/>
      <c r="G70" s="375" t="s">
        <v>144</v>
      </c>
      <c r="H70" s="375"/>
      <c r="I70" s="375"/>
      <c r="J70" s="375"/>
      <c r="K70" s="375"/>
    </row>
    <row r="71" spans="2:11" s="23" customFormat="1" ht="3.95" customHeight="1">
      <c r="B71" s="389"/>
      <c r="C71" s="389"/>
      <c r="D71" s="389"/>
      <c r="E71" s="389"/>
      <c r="F71" s="380"/>
      <c r="G71" s="36"/>
      <c r="H71" s="36"/>
      <c r="I71" s="36"/>
      <c r="J71" s="36"/>
      <c r="K71" s="36"/>
    </row>
    <row r="72" spans="2:11" ht="15" customHeight="1" thickBot="1">
      <c r="B72" s="398" t="s">
        <v>145</v>
      </c>
      <c r="C72" s="403" t="s">
        <v>146</v>
      </c>
      <c r="D72" s="403"/>
      <c r="E72" s="403" t="s">
        <v>147</v>
      </c>
      <c r="G72" s="397"/>
      <c r="H72" s="398" t="s">
        <v>67</v>
      </c>
      <c r="I72" s="398" t="s">
        <v>68</v>
      </c>
      <c r="J72" s="398" t="s">
        <v>69</v>
      </c>
      <c r="K72" s="398" t="s">
        <v>70</v>
      </c>
    </row>
    <row r="73" spans="2:11" ht="15" customHeight="1">
      <c r="B73" s="687" t="s">
        <v>148</v>
      </c>
      <c r="C73" s="703" t="s">
        <v>149</v>
      </c>
      <c r="D73" s="704"/>
      <c r="E73" s="380" t="s">
        <v>150</v>
      </c>
      <c r="G73" s="729" t="s">
        <v>151</v>
      </c>
      <c r="H73" s="740"/>
      <c r="I73" s="722" t="s">
        <v>152</v>
      </c>
      <c r="J73" s="722" t="s">
        <v>153</v>
      </c>
      <c r="K73" s="722" t="s">
        <v>154</v>
      </c>
    </row>
    <row r="74" spans="2:11" ht="15" customHeight="1">
      <c r="B74" s="688" t="s">
        <v>155</v>
      </c>
      <c r="C74" s="705" t="s">
        <v>156</v>
      </c>
      <c r="D74" s="706"/>
      <c r="E74" s="380" t="s">
        <v>157</v>
      </c>
      <c r="G74" s="729"/>
      <c r="H74" s="740"/>
      <c r="I74" s="722"/>
      <c r="J74" s="722"/>
      <c r="K74" s="722"/>
    </row>
    <row r="75" spans="2:11" ht="15" customHeight="1">
      <c r="B75" s="688" t="s">
        <v>158</v>
      </c>
      <c r="C75" s="701" t="s">
        <v>159</v>
      </c>
      <c r="D75" s="701"/>
      <c r="E75" s="380" t="s">
        <v>160</v>
      </c>
      <c r="G75" s="729" t="s">
        <v>161</v>
      </c>
      <c r="H75" s="741"/>
      <c r="I75" s="722" t="s">
        <v>162</v>
      </c>
      <c r="J75" s="723" t="s">
        <v>84</v>
      </c>
      <c r="K75" s="722" t="s">
        <v>163</v>
      </c>
    </row>
    <row r="76" spans="2:11" ht="15" customHeight="1">
      <c r="B76" s="688" t="s">
        <v>164</v>
      </c>
      <c r="C76" s="705" t="s">
        <v>165</v>
      </c>
      <c r="D76" s="706"/>
      <c r="E76" s="380" t="s">
        <v>166</v>
      </c>
      <c r="G76" s="729"/>
      <c r="H76" s="741"/>
      <c r="I76" s="722"/>
      <c r="J76" s="723"/>
      <c r="K76" s="722"/>
    </row>
    <row r="77" spans="2:11" ht="15" customHeight="1">
      <c r="B77" s="534" t="s">
        <v>167</v>
      </c>
      <c r="C77" s="705" t="s">
        <v>165</v>
      </c>
      <c r="D77" s="706"/>
      <c r="E77" s="689" t="s">
        <v>168</v>
      </c>
      <c r="G77" s="729" t="s">
        <v>169</v>
      </c>
      <c r="H77" s="739"/>
      <c r="I77" s="722" t="s">
        <v>170</v>
      </c>
      <c r="J77" s="723" t="s">
        <v>84</v>
      </c>
      <c r="K77" s="722" t="s">
        <v>171</v>
      </c>
    </row>
    <row r="78" spans="2:11" ht="15" customHeight="1">
      <c r="B78" s="687" t="s">
        <v>172</v>
      </c>
      <c r="C78" s="705" t="s">
        <v>165</v>
      </c>
      <c r="D78" s="706"/>
      <c r="E78" s="380" t="s">
        <v>173</v>
      </c>
      <c r="G78" s="729"/>
      <c r="H78" s="739"/>
      <c r="I78" s="722"/>
      <c r="J78" s="723"/>
      <c r="K78" s="722"/>
    </row>
    <row r="79" spans="2:11" ht="15" customHeight="1">
      <c r="B79" s="687" t="s">
        <v>174</v>
      </c>
      <c r="C79" s="705" t="s">
        <v>165</v>
      </c>
      <c r="D79" s="706"/>
      <c r="E79" s="380" t="s">
        <v>175</v>
      </c>
      <c r="G79" s="729" t="s">
        <v>176</v>
      </c>
      <c r="H79" s="740"/>
      <c r="I79" s="730" t="s">
        <v>177</v>
      </c>
      <c r="J79" s="723" t="s">
        <v>84</v>
      </c>
      <c r="K79" s="722" t="s">
        <v>178</v>
      </c>
    </row>
    <row r="80" spans="2:11" ht="15" customHeight="1">
      <c r="B80" s="687" t="s">
        <v>179</v>
      </c>
      <c r="C80" s="705" t="s">
        <v>165</v>
      </c>
      <c r="D80" s="706"/>
      <c r="E80" s="380" t="s">
        <v>166</v>
      </c>
      <c r="G80" s="729"/>
      <c r="H80" s="740"/>
      <c r="I80" s="731"/>
      <c r="J80" s="723"/>
      <c r="K80" s="722"/>
    </row>
    <row r="81" spans="3:11" ht="15" customHeight="1">
      <c r="C81" s="701"/>
      <c r="D81" s="701"/>
      <c r="E81" s="380"/>
      <c r="G81" s="729" t="s">
        <v>180</v>
      </c>
      <c r="H81" s="741"/>
      <c r="I81" s="723" t="s">
        <v>84</v>
      </c>
      <c r="J81" s="723" t="s">
        <v>84</v>
      </c>
      <c r="K81" s="722" t="s">
        <v>181</v>
      </c>
    </row>
    <row r="82" spans="3:11" ht="15" customHeight="1">
      <c r="C82" s="701"/>
      <c r="D82" s="701"/>
      <c r="E82" s="380"/>
      <c r="G82" s="729"/>
      <c r="H82" s="741"/>
      <c r="I82" s="723"/>
      <c r="J82" s="723"/>
      <c r="K82" s="722"/>
    </row>
    <row r="83" spans="3:11" ht="15" customHeight="1">
      <c r="C83" s="701"/>
      <c r="D83" s="701"/>
      <c r="E83" s="380"/>
      <c r="G83" s="729" t="s">
        <v>182</v>
      </c>
      <c r="H83" s="740"/>
      <c r="I83" s="723" t="s">
        <v>84</v>
      </c>
      <c r="J83" s="722" t="s">
        <v>183</v>
      </c>
      <c r="K83" s="722" t="s">
        <v>184</v>
      </c>
    </row>
    <row r="84" spans="3:11" ht="15" customHeight="1">
      <c r="C84" s="701"/>
      <c r="D84" s="701"/>
      <c r="E84" s="380"/>
      <c r="G84" s="729"/>
      <c r="H84" s="740"/>
      <c r="I84" s="723"/>
      <c r="J84" s="722"/>
      <c r="K84" s="722"/>
    </row>
    <row r="85" spans="3:11" ht="15" customHeight="1">
      <c r="C85" s="701"/>
      <c r="D85" s="701"/>
      <c r="E85" s="380"/>
      <c r="G85" s="729" t="s">
        <v>185</v>
      </c>
      <c r="H85" s="740"/>
      <c r="I85" s="722" t="s">
        <v>186</v>
      </c>
      <c r="J85" s="722" t="s">
        <v>187</v>
      </c>
      <c r="K85" s="722" t="s">
        <v>188</v>
      </c>
    </row>
    <row r="86" spans="3:11" ht="15" customHeight="1">
      <c r="C86" s="701"/>
      <c r="D86" s="701"/>
      <c r="E86" s="380"/>
      <c r="G86" s="729"/>
      <c r="H86" s="740"/>
      <c r="I86" s="722"/>
      <c r="J86" s="722"/>
      <c r="K86" s="722"/>
    </row>
    <row r="87" spans="3:11" ht="15" customHeight="1">
      <c r="C87" s="701"/>
      <c r="D87" s="701"/>
      <c r="E87" s="380"/>
      <c r="G87" s="729" t="s">
        <v>189</v>
      </c>
      <c r="H87" s="733"/>
      <c r="I87" s="723" t="s">
        <v>84</v>
      </c>
      <c r="J87" s="723" t="s">
        <v>84</v>
      </c>
      <c r="K87" s="722" t="s">
        <v>190</v>
      </c>
    </row>
    <row r="88" spans="3:11" ht="15" customHeight="1">
      <c r="C88" s="701"/>
      <c r="D88" s="701"/>
      <c r="E88" s="380"/>
      <c r="G88" s="729"/>
      <c r="H88" s="733"/>
      <c r="I88" s="723"/>
      <c r="J88" s="723"/>
      <c r="K88" s="722"/>
    </row>
    <row r="89" spans="3:11" ht="15" customHeight="1">
      <c r="C89" s="701"/>
      <c r="D89" s="701"/>
      <c r="E89" s="380"/>
      <c r="G89" s="729" t="s">
        <v>191</v>
      </c>
      <c r="H89" s="726"/>
      <c r="I89" s="722" t="s">
        <v>192</v>
      </c>
      <c r="J89" s="723" t="s">
        <v>84</v>
      </c>
      <c r="K89" s="722" t="s">
        <v>193</v>
      </c>
    </row>
    <row r="90" spans="3:11" ht="15" customHeight="1">
      <c r="C90" s="701"/>
      <c r="D90" s="701"/>
      <c r="E90" s="380"/>
      <c r="G90" s="729"/>
      <c r="H90" s="726"/>
      <c r="I90" s="722"/>
      <c r="J90" s="723"/>
      <c r="K90" s="722"/>
    </row>
    <row r="91" spans="3:11" ht="15" customHeight="1">
      <c r="C91" s="701"/>
      <c r="D91" s="701"/>
      <c r="E91" s="380"/>
      <c r="G91" s="729" t="s">
        <v>194</v>
      </c>
      <c r="H91" s="740"/>
      <c r="I91" s="723" t="s">
        <v>84</v>
      </c>
      <c r="J91" s="723" t="s">
        <v>84</v>
      </c>
      <c r="K91" s="722" t="s">
        <v>195</v>
      </c>
    </row>
    <row r="92" spans="3:11" ht="15" customHeight="1">
      <c r="C92" s="701"/>
      <c r="D92" s="701"/>
      <c r="E92" s="380"/>
      <c r="G92" s="729"/>
      <c r="H92" s="740"/>
      <c r="I92" s="723"/>
      <c r="J92" s="723"/>
      <c r="K92" s="722"/>
    </row>
    <row r="93" spans="3:11" ht="15" customHeight="1">
      <c r="C93" s="701"/>
      <c r="D93" s="701"/>
      <c r="E93" s="380"/>
      <c r="G93" s="729" t="s">
        <v>196</v>
      </c>
      <c r="H93" s="740"/>
      <c r="I93" s="722" t="s">
        <v>197</v>
      </c>
      <c r="J93" s="722" t="s">
        <v>198</v>
      </c>
      <c r="K93" s="722" t="s">
        <v>199</v>
      </c>
    </row>
    <row r="94" spans="3:11" ht="15" customHeight="1">
      <c r="G94" s="729"/>
      <c r="H94" s="740"/>
      <c r="I94" s="722"/>
      <c r="J94" s="722"/>
      <c r="K94" s="722"/>
    </row>
  </sheetData>
  <mergeCells count="195">
    <mergeCell ref="J93:J94"/>
    <mergeCell ref="K91:K92"/>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 ref="G91:G92"/>
    <mergeCell ref="G93:G94"/>
    <mergeCell ref="I93:I94"/>
    <mergeCell ref="H65:H66"/>
    <mergeCell ref="H67:H68"/>
    <mergeCell ref="H61:H62"/>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H49:H50"/>
    <mergeCell ref="H51:H52"/>
    <mergeCell ref="H47:H48"/>
    <mergeCell ref="H57:H58"/>
    <mergeCell ref="H59:H60"/>
    <mergeCell ref="H53:H54"/>
    <mergeCell ref="H55:H56"/>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I75:I76"/>
    <mergeCell ref="J75:J76"/>
    <mergeCell ref="I77:I78"/>
    <mergeCell ref="J77:J78"/>
    <mergeCell ref="I79:I80"/>
    <mergeCell ref="J79:J80"/>
    <mergeCell ref="I81:I82"/>
    <mergeCell ref="J81:J82"/>
    <mergeCell ref="I61:I62"/>
    <mergeCell ref="J73:J74"/>
    <mergeCell ref="I65:I66"/>
    <mergeCell ref="I67:I68"/>
    <mergeCell ref="G47:G48"/>
    <mergeCell ref="G49:G50"/>
    <mergeCell ref="G51:G52"/>
    <mergeCell ref="G53:G54"/>
    <mergeCell ref="G73:G74"/>
    <mergeCell ref="G55:G56"/>
    <mergeCell ref="G57:G58"/>
    <mergeCell ref="G59:G60"/>
    <mergeCell ref="G61:G62"/>
    <mergeCell ref="G63:G64"/>
    <mergeCell ref="G65:G66"/>
    <mergeCell ref="G67:G68"/>
    <mergeCell ref="J53:J54"/>
    <mergeCell ref="J55:J56"/>
    <mergeCell ref="J57:J58"/>
    <mergeCell ref="K73:K74"/>
    <mergeCell ref="K75:K76"/>
    <mergeCell ref="K77:K78"/>
    <mergeCell ref="K79:K80"/>
    <mergeCell ref="K65:K66"/>
    <mergeCell ref="K67:K68"/>
    <mergeCell ref="J59:J60"/>
    <mergeCell ref="J61:J62"/>
    <mergeCell ref="J63:J64"/>
    <mergeCell ref="J65:J66"/>
    <mergeCell ref="J67:J68"/>
    <mergeCell ref="K61:K62"/>
    <mergeCell ref="K63:K64"/>
    <mergeCell ref="C33:E33"/>
    <mergeCell ref="C34:E34"/>
    <mergeCell ref="C35:E35"/>
    <mergeCell ref="C36:E36"/>
    <mergeCell ref="C37:E37"/>
    <mergeCell ref="C38:E38"/>
    <mergeCell ref="K41:K42"/>
    <mergeCell ref="K39:K40"/>
    <mergeCell ref="K37:K38"/>
    <mergeCell ref="K35:K36"/>
    <mergeCell ref="K33:K34"/>
    <mergeCell ref="J41:J42"/>
    <mergeCell ref="J39:J40"/>
    <mergeCell ref="J37:J38"/>
    <mergeCell ref="J35:J36"/>
    <mergeCell ref="J33:J34"/>
    <mergeCell ref="I41:I42"/>
    <mergeCell ref="I39:I40"/>
    <mergeCell ref="I37:I38"/>
    <mergeCell ref="I35:I36"/>
    <mergeCell ref="I33:I34"/>
    <mergeCell ref="H35:H36"/>
    <mergeCell ref="C39:E39"/>
    <mergeCell ref="C41:E41"/>
    <mergeCell ref="D27:E27"/>
    <mergeCell ref="D23:E23"/>
    <mergeCell ref="D24:E24"/>
    <mergeCell ref="D19:E19"/>
    <mergeCell ref="D15:E15"/>
    <mergeCell ref="D16:E16"/>
    <mergeCell ref="D17:E17"/>
    <mergeCell ref="D18:E18"/>
    <mergeCell ref="D20:E20"/>
    <mergeCell ref="D21:E21"/>
    <mergeCell ref="D22:E22"/>
    <mergeCell ref="D25:E25"/>
    <mergeCell ref="D26:E26"/>
    <mergeCell ref="C90:D90"/>
    <mergeCell ref="C91:D91"/>
    <mergeCell ref="C92:D92"/>
    <mergeCell ref="C93:D93"/>
    <mergeCell ref="B54:E54"/>
    <mergeCell ref="B63:E63"/>
    <mergeCell ref="B64:E64"/>
    <mergeCell ref="C81:D81"/>
    <mergeCell ref="C82:D82"/>
    <mergeCell ref="C42:E42"/>
    <mergeCell ref="C89:D89"/>
    <mergeCell ref="C83:D83"/>
    <mergeCell ref="C84:D84"/>
    <mergeCell ref="C85:D85"/>
    <mergeCell ref="C86:D86"/>
    <mergeCell ref="C87:D87"/>
    <mergeCell ref="C88:D88"/>
    <mergeCell ref="B65:E65"/>
    <mergeCell ref="B66:E66"/>
    <mergeCell ref="B67:E67"/>
    <mergeCell ref="B68:E68"/>
    <mergeCell ref="C73:D73"/>
    <mergeCell ref="C74:D74"/>
    <mergeCell ref="C75:D75"/>
    <mergeCell ref="C76:D76"/>
    <mergeCell ref="C77:D77"/>
    <mergeCell ref="C78:D78"/>
    <mergeCell ref="C79:D79"/>
    <mergeCell ref="C80:D80"/>
    <mergeCell ref="B46:E46"/>
    <mergeCell ref="B47:E53"/>
    <mergeCell ref="B55:E57"/>
    <mergeCell ref="B58:E62"/>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hyperlinks>
    <hyperlink ref="C42" r:id="rId1" xr:uid="{1C8361FC-B6CD-4AA3-89C8-E76AD8E21A8D}"/>
    <hyperlink ref="C41" r:id="rId2" xr:uid="{11CA0C55-B2D3-4D4C-AB0C-16968B0F8A61}"/>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G41"/>
  <sheetViews>
    <sheetView showGridLines="0" tabSelected="1" topLeftCell="B4" zoomScale="66" zoomScaleNormal="100" workbookViewId="0">
      <selection activeCell="AA20" sqref="AA20"/>
    </sheetView>
  </sheetViews>
  <sheetFormatPr defaultColWidth="9" defaultRowHeight="15" customHeight="1" outlineLevelCol="1"/>
  <cols>
    <col min="1" max="1" width="2.125" style="97" customWidth="1"/>
    <col min="2" max="2" width="21.375" style="97" customWidth="1"/>
    <col min="3" max="3" width="3.375" style="23" customWidth="1"/>
    <col min="4" max="7" width="9.625" style="97" hidden="1" customWidth="1" outlineLevel="1"/>
    <col min="8" max="8" width="11.625" style="97" customWidth="1" collapsed="1"/>
    <col min="9" max="9" width="1.625" style="23" customWidth="1"/>
    <col min="10" max="13" width="9.625" style="97" hidden="1" customWidth="1" outlineLevel="1"/>
    <col min="14" max="14" width="11.625" style="97" customWidth="1" collapsed="1"/>
    <col min="15" max="15" width="1.625" style="23" customWidth="1"/>
    <col min="16" max="19" width="9.625" style="97" hidden="1" customWidth="1" outlineLevel="1"/>
    <col min="20" max="20" width="11.625" style="97" customWidth="1" collapsed="1"/>
    <col min="21" max="21" width="1.625" style="23" customWidth="1"/>
    <col min="22" max="25" width="9.625" style="97" hidden="1" customWidth="1" outlineLevel="1"/>
    <col min="26" max="26" width="11.625" style="97" customWidth="1" collapsed="1"/>
    <col min="27" max="27" width="1.625" style="23" customWidth="1"/>
    <col min="28" max="31" width="9.625" style="97" hidden="1" customWidth="1" outlineLevel="1"/>
    <col min="32" max="32" width="11.625" style="97" customWidth="1" collapsed="1"/>
    <col min="33" max="33" width="1.625" style="23" customWidth="1"/>
    <col min="34" max="37" width="9.625" style="97" hidden="1" customWidth="1" outlineLevel="1"/>
    <col min="38" max="38" width="11.625" style="97" customWidth="1" collapsed="1"/>
    <col min="39" max="39" width="1.625" style="23" customWidth="1"/>
    <col min="40" max="43" width="9.625" style="97" hidden="1" customWidth="1" outlineLevel="1"/>
    <col min="44" max="44" width="11.625" style="97" customWidth="1" collapsed="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1:59" s="582" customFormat="1" ht="15" customHeight="1"/>
    <row r="2" spans="1:59" s="582" customFormat="1" ht="15" customHeight="1"/>
    <row r="3" spans="1:59" s="582" customFormat="1" ht="15" customHeight="1"/>
    <row r="4" spans="1:59" s="582" customFormat="1" ht="15" customHeight="1"/>
    <row r="5" spans="1:59" s="288" customFormat="1" ht="3.95" customHeight="1">
      <c r="C5" s="36"/>
      <c r="I5" s="36"/>
      <c r="O5" s="36"/>
      <c r="U5" s="36"/>
      <c r="AA5" s="36"/>
      <c r="AG5" s="36"/>
      <c r="AM5" s="36"/>
      <c r="AS5" s="36"/>
      <c r="AU5" s="36"/>
      <c r="AV5" s="289"/>
      <c r="AW5" s="36"/>
    </row>
    <row r="7" spans="1:59" s="41" customFormat="1" ht="15" customHeight="1">
      <c r="A7" s="44" t="s">
        <v>33</v>
      </c>
      <c r="B7" s="161" t="s">
        <v>200</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c r="AY7" s="19"/>
      <c r="AZ7" s="164" t="s">
        <v>201</v>
      </c>
      <c r="BA7" s="164"/>
      <c r="BB7" s="164"/>
      <c r="BC7" s="164"/>
      <c r="BD7" s="164"/>
      <c r="BE7" s="164"/>
      <c r="BF7" s="164"/>
      <c r="BG7" s="164"/>
    </row>
    <row r="8" spans="1:59" s="41" customFormat="1" ht="15" customHeight="1">
      <c r="B8" s="164"/>
      <c r="C8" s="18"/>
      <c r="D8" s="743">
        <v>2020</v>
      </c>
      <c r="E8" s="743"/>
      <c r="F8" s="743"/>
      <c r="G8" s="743"/>
      <c r="H8" s="743"/>
      <c r="I8" s="169"/>
      <c r="J8" s="743">
        <f>D8+1</f>
        <v>2021</v>
      </c>
      <c r="K8" s="743"/>
      <c r="L8" s="743"/>
      <c r="M8" s="743"/>
      <c r="N8" s="743"/>
      <c r="O8" s="169"/>
      <c r="P8" s="743">
        <f>J8+1</f>
        <v>2022</v>
      </c>
      <c r="Q8" s="743"/>
      <c r="R8" s="743"/>
      <c r="S8" s="743"/>
      <c r="T8" s="743"/>
      <c r="U8" s="169"/>
      <c r="V8" s="743">
        <f>P8+1</f>
        <v>2023</v>
      </c>
      <c r="W8" s="743"/>
      <c r="X8" s="743"/>
      <c r="Y8" s="743"/>
      <c r="Z8" s="743"/>
      <c r="AA8" s="169"/>
      <c r="AB8" s="743">
        <f>V8+1</f>
        <v>2024</v>
      </c>
      <c r="AC8" s="743"/>
      <c r="AD8" s="743"/>
      <c r="AE8" s="743"/>
      <c r="AF8" s="743"/>
      <c r="AG8" s="169"/>
      <c r="AH8" s="742">
        <f>AB8+1</f>
        <v>2025</v>
      </c>
      <c r="AI8" s="742"/>
      <c r="AJ8" s="742"/>
      <c r="AK8" s="742"/>
      <c r="AL8" s="742"/>
      <c r="AM8" s="169"/>
      <c r="AN8" s="742">
        <f>AH8+1</f>
        <v>2026</v>
      </c>
      <c r="AO8" s="742"/>
      <c r="AP8" s="742"/>
      <c r="AQ8" s="742"/>
      <c r="AR8" s="742"/>
      <c r="AS8" s="171"/>
      <c r="AT8" s="166">
        <f>AN8+1</f>
        <v>2027</v>
      </c>
      <c r="AU8" s="167"/>
      <c r="AV8" s="166">
        <f>+AT8+1</f>
        <v>2028</v>
      </c>
      <c r="AW8" s="167"/>
      <c r="AX8" s="166">
        <f>+AV8+1</f>
        <v>2029</v>
      </c>
      <c r="AY8" s="555"/>
      <c r="AZ8" s="164"/>
      <c r="BA8" s="164"/>
      <c r="BB8" s="164"/>
      <c r="BC8" s="164"/>
      <c r="BD8" s="164"/>
      <c r="BE8" s="164"/>
      <c r="BF8" s="164"/>
      <c r="BG8" s="164"/>
    </row>
    <row r="9" spans="1:59" s="41" customFormat="1" ht="15" customHeight="1">
      <c r="B9" s="164"/>
      <c r="C9" s="18"/>
      <c r="D9" s="168" t="s">
        <v>202</v>
      </c>
      <c r="E9" s="168" t="s">
        <v>203</v>
      </c>
      <c r="F9" s="168" t="s">
        <v>204</v>
      </c>
      <c r="G9" s="168" t="s">
        <v>205</v>
      </c>
      <c r="H9" s="168" t="s">
        <v>206</v>
      </c>
      <c r="I9" s="18"/>
      <c r="J9" s="168" t="s">
        <v>202</v>
      </c>
      <c r="K9" s="168" t="s">
        <v>203</v>
      </c>
      <c r="L9" s="168" t="s">
        <v>204</v>
      </c>
      <c r="M9" s="168" t="s">
        <v>205</v>
      </c>
      <c r="N9" s="168" t="s">
        <v>206</v>
      </c>
      <c r="O9" s="165"/>
      <c r="P9" s="168" t="s">
        <v>202</v>
      </c>
      <c r="Q9" s="168" t="s">
        <v>203</v>
      </c>
      <c r="R9" s="168" t="s">
        <v>204</v>
      </c>
      <c r="S9" s="168" t="s">
        <v>205</v>
      </c>
      <c r="T9" s="168" t="s">
        <v>206</v>
      </c>
      <c r="U9" s="165"/>
      <c r="V9" s="168" t="s">
        <v>202</v>
      </c>
      <c r="W9" s="168" t="s">
        <v>203</v>
      </c>
      <c r="X9" s="168" t="s">
        <v>204</v>
      </c>
      <c r="Y9" s="168" t="s">
        <v>205</v>
      </c>
      <c r="Z9" s="168" t="s">
        <v>206</v>
      </c>
      <c r="AA9" s="165"/>
      <c r="AB9" s="168" t="s">
        <v>202</v>
      </c>
      <c r="AC9" s="168" t="s">
        <v>203</v>
      </c>
      <c r="AD9" s="168" t="s">
        <v>204</v>
      </c>
      <c r="AE9" s="168" t="s">
        <v>205</v>
      </c>
      <c r="AF9" s="168" t="s">
        <v>206</v>
      </c>
      <c r="AG9" s="165"/>
      <c r="AH9" s="168" t="s">
        <v>202</v>
      </c>
      <c r="AI9" s="168" t="s">
        <v>203</v>
      </c>
      <c r="AJ9" s="168" t="s">
        <v>204</v>
      </c>
      <c r="AK9" s="168" t="s">
        <v>205</v>
      </c>
      <c r="AL9" s="168" t="s">
        <v>206</v>
      </c>
      <c r="AM9" s="165"/>
      <c r="AN9" s="168" t="s">
        <v>202</v>
      </c>
      <c r="AO9" s="168" t="s">
        <v>203</v>
      </c>
      <c r="AP9" s="168" t="s">
        <v>204</v>
      </c>
      <c r="AQ9" s="168" t="s">
        <v>205</v>
      </c>
      <c r="AR9" s="168" t="s">
        <v>206</v>
      </c>
      <c r="AS9" s="165"/>
      <c r="AT9" s="168" t="s">
        <v>206</v>
      </c>
      <c r="AU9" s="165"/>
      <c r="AV9" s="168" t="s">
        <v>206</v>
      </c>
      <c r="AW9" s="165"/>
      <c r="AX9" s="168" t="s">
        <v>206</v>
      </c>
      <c r="AY9" s="556"/>
      <c r="AZ9" s="164"/>
      <c r="BA9" s="164"/>
      <c r="BB9" s="164"/>
      <c r="BC9" s="164"/>
      <c r="BD9" s="164"/>
      <c r="BE9" s="164"/>
      <c r="BF9" s="164"/>
      <c r="BG9" s="164"/>
    </row>
    <row r="10" spans="1:59" s="41" customFormat="1"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c r="AY10" s="34"/>
      <c r="AZ10" s="176"/>
      <c r="BA10" s="176"/>
      <c r="BB10" s="176"/>
      <c r="BC10" s="176"/>
      <c r="BD10" s="176"/>
      <c r="BE10" s="176"/>
      <c r="BF10" s="176"/>
      <c r="BG10" s="176"/>
    </row>
    <row r="11" spans="1:59" s="41" customFormat="1"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9" s="54" customFormat="1" ht="15" customHeight="1">
      <c r="B12" s="45" t="s">
        <v>207</v>
      </c>
      <c r="C12" s="23"/>
      <c r="D12" s="66"/>
      <c r="E12" s="66"/>
      <c r="F12" s="66"/>
      <c r="G12" s="66"/>
      <c r="H12" s="47"/>
      <c r="I12" s="48"/>
      <c r="J12" s="66"/>
      <c r="K12" s="66"/>
      <c r="L12" s="66"/>
      <c r="M12" s="66"/>
      <c r="N12" s="47"/>
      <c r="O12" s="47"/>
      <c r="P12" s="66"/>
      <c r="Q12" s="66"/>
      <c r="R12" s="66"/>
      <c r="S12" s="66"/>
      <c r="T12" s="47"/>
      <c r="U12" s="47"/>
      <c r="V12" s="66"/>
      <c r="W12" s="66"/>
      <c r="X12" s="66"/>
      <c r="Y12" s="66"/>
      <c r="Z12" s="47"/>
      <c r="AA12" s="47"/>
      <c r="AB12" s="66"/>
      <c r="AC12" s="66"/>
      <c r="AD12" s="66"/>
      <c r="AE12" s="66"/>
      <c r="AF12" s="47"/>
      <c r="AG12" s="49"/>
      <c r="AH12" s="66"/>
      <c r="AI12" s="66"/>
      <c r="AJ12" s="68"/>
      <c r="AK12" s="68"/>
      <c r="AL12" s="47"/>
      <c r="AM12" s="51"/>
      <c r="AN12" s="68"/>
      <c r="AO12" s="68"/>
      <c r="AP12" s="68"/>
      <c r="AQ12" s="68"/>
      <c r="AR12" s="47"/>
      <c r="AS12" s="51"/>
      <c r="AT12" s="52"/>
      <c r="AU12" s="53"/>
      <c r="AV12" s="52"/>
      <c r="AW12" s="53"/>
      <c r="AX12" s="52"/>
    </row>
    <row r="13" spans="1:59" s="54" customFormat="1" ht="15" customHeight="1">
      <c r="A13" s="55"/>
      <c r="B13" s="56" t="s">
        <v>208</v>
      </c>
      <c r="C13" s="23"/>
      <c r="D13" s="46"/>
      <c r="E13" s="46"/>
      <c r="F13" s="46"/>
      <c r="G13" s="46"/>
      <c r="H13" s="47">
        <v>827727</v>
      </c>
      <c r="I13" s="48"/>
      <c r="J13" s="46"/>
      <c r="K13" s="46"/>
      <c r="L13" s="46"/>
      <c r="M13" s="46"/>
      <c r="N13" s="47">
        <v>766284</v>
      </c>
      <c r="O13" s="47"/>
      <c r="P13" s="46"/>
      <c r="Q13" s="46"/>
      <c r="R13" s="46"/>
      <c r="S13" s="46"/>
      <c r="T13" s="695">
        <v>1061995</v>
      </c>
      <c r="U13" s="47"/>
      <c r="V13" s="46"/>
      <c r="W13" s="46"/>
      <c r="X13" s="46"/>
      <c r="Y13" s="46"/>
      <c r="Z13" s="47">
        <v>2051961</v>
      </c>
      <c r="AA13" s="47"/>
      <c r="AB13" s="46"/>
      <c r="AC13" s="46"/>
      <c r="AD13" s="46"/>
      <c r="AE13" s="46"/>
      <c r="AF13" s="47">
        <v>1291743</v>
      </c>
      <c r="AG13" s="49"/>
      <c r="AH13" s="46"/>
      <c r="AI13" s="46"/>
      <c r="AJ13" s="50"/>
      <c r="AK13" s="50"/>
      <c r="AL13" s="47">
        <v>2835423</v>
      </c>
      <c r="AM13" s="51"/>
      <c r="AN13" s="50"/>
      <c r="AO13" s="50"/>
      <c r="AP13" s="50"/>
      <c r="AQ13" s="50"/>
      <c r="AR13" s="47"/>
      <c r="AS13" s="51"/>
      <c r="AT13" s="52"/>
      <c r="AU13" s="53"/>
      <c r="AV13" s="52"/>
      <c r="AW13" s="53"/>
      <c r="AX13" s="52"/>
    </row>
    <row r="14" spans="1:59" s="54" customFormat="1" ht="15" customHeight="1">
      <c r="A14" s="55"/>
      <c r="B14" s="56" t="s">
        <v>209</v>
      </c>
      <c r="C14" s="23"/>
      <c r="D14" s="46"/>
      <c r="E14" s="46"/>
      <c r="F14" s="46"/>
      <c r="G14" s="46"/>
      <c r="H14" s="47">
        <v>483881</v>
      </c>
      <c r="I14" s="48"/>
      <c r="J14" s="46"/>
      <c r="K14" s="46"/>
      <c r="L14" s="46"/>
      <c r="M14" s="46"/>
      <c r="N14" s="47">
        <v>539780</v>
      </c>
      <c r="O14" s="47"/>
      <c r="P14" s="46"/>
      <c r="Q14" s="46"/>
      <c r="R14" s="46"/>
      <c r="S14" s="46"/>
      <c r="T14" s="47">
        <v>648838</v>
      </c>
      <c r="U14" s="47"/>
      <c r="V14" s="46"/>
      <c r="W14" s="46"/>
      <c r="X14" s="46"/>
      <c r="Y14" s="46"/>
      <c r="Z14" s="47">
        <v>956993</v>
      </c>
      <c r="AA14" s="47"/>
      <c r="AB14" s="46"/>
      <c r="AC14" s="46"/>
      <c r="AD14" s="46"/>
      <c r="AE14" s="46"/>
      <c r="AF14" s="47">
        <v>925665</v>
      </c>
      <c r="AG14" s="49"/>
      <c r="AH14" s="46"/>
      <c r="AI14" s="46"/>
      <c r="AJ14" s="50"/>
      <c r="AK14" s="50"/>
      <c r="AL14" s="47">
        <v>1184487</v>
      </c>
      <c r="AM14" s="51"/>
      <c r="AN14" s="50"/>
      <c r="AO14" s="50"/>
      <c r="AP14" s="50"/>
      <c r="AQ14" s="50"/>
      <c r="AR14" s="47"/>
      <c r="AS14" s="51"/>
      <c r="AT14" s="52"/>
      <c r="AU14" s="53"/>
      <c r="AV14" s="52"/>
      <c r="AW14" s="53"/>
      <c r="AX14" s="52"/>
    </row>
    <row r="15" spans="1:59" s="54" customFormat="1" ht="15" customHeight="1">
      <c r="A15" s="55"/>
      <c r="B15" s="56" t="s">
        <v>210</v>
      </c>
      <c r="C15" s="23"/>
      <c r="D15" s="46"/>
      <c r="E15" s="46"/>
      <c r="F15" s="46"/>
      <c r="G15" s="46"/>
      <c r="H15" s="695">
        <v>48655</v>
      </c>
      <c r="I15" s="48"/>
      <c r="J15" s="46"/>
      <c r="K15" s="46"/>
      <c r="L15" s="46"/>
      <c r="M15" s="46"/>
      <c r="N15" s="47">
        <v>36733</v>
      </c>
      <c r="O15" s="47"/>
      <c r="P15" s="46"/>
      <c r="Q15" s="46"/>
      <c r="R15" s="46"/>
      <c r="S15" s="46"/>
      <c r="T15" s="47">
        <v>60004</v>
      </c>
      <c r="U15" s="47"/>
      <c r="V15" s="46"/>
      <c r="W15" s="46"/>
      <c r="X15" s="46"/>
      <c r="Y15" s="46"/>
      <c r="Z15" s="47">
        <v>122270</v>
      </c>
      <c r="AA15" s="47"/>
      <c r="AB15" s="46"/>
      <c r="AC15" s="46"/>
      <c r="AD15" s="46"/>
      <c r="AE15" s="46"/>
      <c r="AF15" s="47">
        <v>89009</v>
      </c>
      <c r="AG15" s="49"/>
      <c r="AH15" s="46"/>
      <c r="AI15" s="46"/>
      <c r="AJ15" s="50"/>
      <c r="AK15" s="50"/>
      <c r="AL15" s="47">
        <v>198833</v>
      </c>
      <c r="AM15" s="51"/>
      <c r="AN15" s="50"/>
      <c r="AO15" s="50"/>
      <c r="AP15" s="50"/>
      <c r="AQ15" s="50"/>
      <c r="AR15" s="47"/>
      <c r="AS15" s="51"/>
      <c r="AT15" s="52"/>
      <c r="AU15" s="53"/>
      <c r="AV15" s="52"/>
      <c r="AW15" s="53"/>
      <c r="AX15" s="52"/>
    </row>
    <row r="16" spans="1:59" s="54" customFormat="1" ht="15" customHeight="1">
      <c r="A16" s="55"/>
      <c r="B16" s="56" t="s">
        <v>98</v>
      </c>
      <c r="C16" s="23"/>
      <c r="D16" s="46"/>
      <c r="E16" s="46"/>
      <c r="F16" s="46"/>
      <c r="G16" s="46"/>
      <c r="H16" s="57">
        <v>6145</v>
      </c>
      <c r="I16" s="48"/>
      <c r="J16" s="46"/>
      <c r="K16" s="46"/>
      <c r="L16" s="46"/>
      <c r="M16" s="46"/>
      <c r="N16" s="57">
        <v>6190</v>
      </c>
      <c r="O16" s="57"/>
      <c r="P16" s="46"/>
      <c r="Q16" s="46"/>
      <c r="R16" s="46"/>
      <c r="S16" s="46"/>
      <c r="T16" s="57">
        <v>6322</v>
      </c>
      <c r="U16" s="57"/>
      <c r="V16" s="46"/>
      <c r="W16" s="46"/>
      <c r="X16" s="46"/>
      <c r="Y16" s="46"/>
      <c r="Z16" s="57">
        <v>14993</v>
      </c>
      <c r="AA16" s="57"/>
      <c r="AB16" s="46"/>
      <c r="AC16" s="46"/>
      <c r="AD16" s="46"/>
      <c r="AE16" s="46"/>
      <c r="AF16" s="57">
        <v>20026</v>
      </c>
      <c r="AG16" s="49"/>
      <c r="AH16" s="46"/>
      <c r="AI16" s="46"/>
      <c r="AJ16" s="50"/>
      <c r="AK16" s="50"/>
      <c r="AL16" s="57">
        <v>43142</v>
      </c>
      <c r="AM16" s="51"/>
      <c r="AN16" s="50"/>
      <c r="AO16" s="50"/>
      <c r="AP16" s="50"/>
      <c r="AQ16" s="50"/>
      <c r="AR16" s="57"/>
      <c r="AS16" s="51"/>
      <c r="AT16" s="58"/>
      <c r="AU16" s="53"/>
      <c r="AV16" s="58"/>
      <c r="AW16" s="53"/>
      <c r="AX16" s="58"/>
    </row>
    <row r="17" spans="1:50" s="54" customFormat="1" ht="15" customHeight="1">
      <c r="B17" s="59" t="s">
        <v>211</v>
      </c>
      <c r="C17" s="23"/>
      <c r="D17" s="62">
        <f>IS!D18</f>
        <v>241166</v>
      </c>
      <c r="E17" s="62">
        <f>IS!E18</f>
        <v>311522</v>
      </c>
      <c r="F17" s="62">
        <f>IS!F18</f>
        <v>345588</v>
      </c>
      <c r="G17" s="62">
        <f>IS!G18</f>
        <v>453333</v>
      </c>
      <c r="H17" s="63">
        <f>H13+H14+H15+H16</f>
        <v>1366408</v>
      </c>
      <c r="I17" s="96"/>
      <c r="J17" s="62">
        <f>IS!J18</f>
        <v>292782</v>
      </c>
      <c r="K17" s="62">
        <f>IS!K18</f>
        <v>347328</v>
      </c>
      <c r="L17" s="62">
        <f>IS!L18</f>
        <v>359080</v>
      </c>
      <c r="M17" s="62">
        <f>IS!M18</f>
        <v>349798</v>
      </c>
      <c r="N17" s="63">
        <f>IS!N18</f>
        <v>1348987</v>
      </c>
      <c r="O17" s="52"/>
      <c r="P17" s="62">
        <f>IS!P18</f>
        <v>331704</v>
      </c>
      <c r="Q17" s="62">
        <f>IS!Q18</f>
        <v>381723</v>
      </c>
      <c r="R17" s="62">
        <f>IS!R18</f>
        <v>477485</v>
      </c>
      <c r="S17" s="62">
        <f>IS!S18</f>
        <v>592964</v>
      </c>
      <c r="T17" s="63">
        <f>IS!T18</f>
        <v>1777159</v>
      </c>
      <c r="U17" s="52"/>
      <c r="V17" s="62">
        <f>IS!V18</f>
        <v>658344</v>
      </c>
      <c r="W17" s="62">
        <f>IS!W18</f>
        <v>801700</v>
      </c>
      <c r="X17" s="62">
        <f>IS!X18</f>
        <v>997493</v>
      </c>
      <c r="Y17" s="62">
        <f>IS!Y18</f>
        <v>688680</v>
      </c>
      <c r="Z17" s="63">
        <f>IS!Z18</f>
        <v>3146217</v>
      </c>
      <c r="AA17" s="52"/>
      <c r="AB17" s="62">
        <f>IS!AB18</f>
        <v>459344</v>
      </c>
      <c r="AC17" s="62">
        <f>IS!AC18</f>
        <v>523234</v>
      </c>
      <c r="AD17" s="62">
        <f>IS!AD18</f>
        <v>703076</v>
      </c>
      <c r="AE17" s="62">
        <f>IS!AE18</f>
        <v>640789</v>
      </c>
      <c r="AF17" s="63">
        <v>2326443</v>
      </c>
      <c r="AG17" s="539"/>
      <c r="AH17" s="62">
        <f>IS!AH18</f>
        <v>785871</v>
      </c>
      <c r="AI17" s="62">
        <f>IS!AI18</f>
        <v>954671</v>
      </c>
      <c r="AJ17" s="62">
        <f>IS!AJ18</f>
        <v>25000</v>
      </c>
      <c r="AK17" s="62">
        <f>IS!AK18</f>
        <v>25000</v>
      </c>
      <c r="AL17" s="63">
        <v>4261885</v>
      </c>
      <c r="AM17" s="53"/>
      <c r="AN17" s="62">
        <f>IS!AN18</f>
        <v>22000</v>
      </c>
      <c r="AO17" s="62">
        <f>IS!AO18</f>
        <v>22000</v>
      </c>
      <c r="AP17" s="62">
        <f>IS!AP18</f>
        <v>22000</v>
      </c>
      <c r="AQ17" s="62">
        <f>IS!AQ18</f>
        <v>22000</v>
      </c>
      <c r="AR17" s="63">
        <f>IS!AR18</f>
        <v>88000</v>
      </c>
      <c r="AS17" s="53"/>
      <c r="AT17" s="63">
        <f>IS!AT18</f>
        <v>90000</v>
      </c>
      <c r="AU17" s="53"/>
      <c r="AV17" s="63">
        <f>IS!AV18</f>
        <v>87000</v>
      </c>
      <c r="AW17" s="53"/>
      <c r="AX17" s="63">
        <f>IS!AX18</f>
        <v>105000</v>
      </c>
    </row>
    <row r="18" spans="1:50" ht="15" customHeight="1">
      <c r="AG18" s="205"/>
    </row>
    <row r="19" spans="1:50" ht="15" customHeight="1">
      <c r="B19" s="45" t="s">
        <v>212</v>
      </c>
      <c r="AG19" s="205"/>
    </row>
    <row r="20" spans="1:50" ht="15" customHeight="1">
      <c r="B20" s="56" t="s">
        <v>213</v>
      </c>
      <c r="D20" s="46"/>
      <c r="E20" s="46"/>
      <c r="F20" s="46"/>
      <c r="G20" s="46"/>
      <c r="H20" s="696">
        <f>H21</f>
        <v>1351609</v>
      </c>
      <c r="I20" s="696"/>
      <c r="J20" s="696">
        <f t="shared" ref="I20:AF20" si="0">J21</f>
        <v>292782</v>
      </c>
      <c r="K20" s="696">
        <f t="shared" si="0"/>
        <v>347328</v>
      </c>
      <c r="L20" s="696">
        <f t="shared" si="0"/>
        <v>359080</v>
      </c>
      <c r="M20" s="696">
        <f t="shared" si="0"/>
        <v>349798</v>
      </c>
      <c r="N20" s="696">
        <f t="shared" si="0"/>
        <v>1348987</v>
      </c>
      <c r="O20" s="696"/>
      <c r="P20" s="696">
        <f t="shared" si="0"/>
        <v>331704</v>
      </c>
      <c r="Q20" s="696">
        <f t="shared" si="0"/>
        <v>381723</v>
      </c>
      <c r="R20" s="696">
        <f t="shared" si="0"/>
        <v>477485</v>
      </c>
      <c r="S20" s="696">
        <f t="shared" si="0"/>
        <v>592964</v>
      </c>
      <c r="T20" s="696">
        <f t="shared" si="0"/>
        <v>1777159</v>
      </c>
      <c r="U20" s="696"/>
      <c r="V20" s="696">
        <f t="shared" si="0"/>
        <v>658344</v>
      </c>
      <c r="W20" s="696">
        <f t="shared" si="0"/>
        <v>801700</v>
      </c>
      <c r="X20" s="696">
        <f t="shared" si="0"/>
        <v>997493</v>
      </c>
      <c r="Y20" s="696">
        <f t="shared" si="0"/>
        <v>688680</v>
      </c>
      <c r="Z20" s="696">
        <f t="shared" si="0"/>
        <v>3146217</v>
      </c>
      <c r="AA20" s="696"/>
      <c r="AB20" s="696">
        <f t="shared" si="0"/>
        <v>459344</v>
      </c>
      <c r="AC20" s="696">
        <f t="shared" si="0"/>
        <v>523234</v>
      </c>
      <c r="AD20" s="696">
        <f t="shared" si="0"/>
        <v>703076</v>
      </c>
      <c r="AE20" s="696">
        <f t="shared" si="0"/>
        <v>640789</v>
      </c>
      <c r="AF20" s="696">
        <f t="shared" si="0"/>
        <v>2326443</v>
      </c>
      <c r="AG20" s="49"/>
      <c r="AH20" s="46"/>
      <c r="AI20" s="46"/>
      <c r="AJ20" s="50"/>
      <c r="AK20" s="50"/>
      <c r="AL20" s="47"/>
      <c r="AM20" s="51"/>
      <c r="AN20" s="50"/>
      <c r="AO20" s="50"/>
      <c r="AP20" s="50"/>
      <c r="AQ20" s="50"/>
      <c r="AR20" s="47"/>
      <c r="AS20" s="51"/>
      <c r="AT20" s="52"/>
      <c r="AU20" s="53"/>
      <c r="AV20" s="52"/>
      <c r="AW20" s="53"/>
      <c r="AX20" s="52"/>
    </row>
    <row r="21" spans="1:50" ht="15" customHeight="1">
      <c r="B21" s="59" t="s">
        <v>211</v>
      </c>
      <c r="D21" s="62">
        <f>IS!D18</f>
        <v>241166</v>
      </c>
      <c r="E21" s="62">
        <f>IS!E18</f>
        <v>311522</v>
      </c>
      <c r="F21" s="62">
        <f>IS!F18</f>
        <v>345588</v>
      </c>
      <c r="G21" s="62">
        <f>IS!G18</f>
        <v>453333</v>
      </c>
      <c r="H21" s="63">
        <f>IS!H18</f>
        <v>1351609</v>
      </c>
      <c r="I21" s="96"/>
      <c r="J21" s="62">
        <f>IS!J18</f>
        <v>292782</v>
      </c>
      <c r="K21" s="62">
        <f>IS!K18</f>
        <v>347328</v>
      </c>
      <c r="L21" s="62">
        <f>IS!L18</f>
        <v>359080</v>
      </c>
      <c r="M21" s="62">
        <f>IS!M18</f>
        <v>349798</v>
      </c>
      <c r="N21" s="63">
        <f>IS!N18</f>
        <v>1348987</v>
      </c>
      <c r="O21" s="52"/>
      <c r="P21" s="62">
        <f>IS!P18</f>
        <v>331704</v>
      </c>
      <c r="Q21" s="62">
        <f>IS!Q18</f>
        <v>381723</v>
      </c>
      <c r="R21" s="62">
        <f>IS!R18</f>
        <v>477485</v>
      </c>
      <c r="S21" s="62">
        <f>IS!S18</f>
        <v>592964</v>
      </c>
      <c r="T21" s="63">
        <f>IS!T18</f>
        <v>1777159</v>
      </c>
      <c r="U21" s="52"/>
      <c r="V21" s="62">
        <f>IS!V18</f>
        <v>658344</v>
      </c>
      <c r="W21" s="62">
        <f>IS!W18</f>
        <v>801700</v>
      </c>
      <c r="X21" s="62">
        <f>IS!X18</f>
        <v>997493</v>
      </c>
      <c r="Y21" s="62">
        <f>IS!Y18</f>
        <v>688680</v>
      </c>
      <c r="Z21" s="63">
        <f>IS!Z18</f>
        <v>3146217</v>
      </c>
      <c r="AA21" s="52"/>
      <c r="AB21" s="62">
        <f>IS!AB18</f>
        <v>459344</v>
      </c>
      <c r="AC21" s="62">
        <f>IS!AC18</f>
        <v>523234</v>
      </c>
      <c r="AD21" s="62">
        <f>IS!AD18</f>
        <v>703076</v>
      </c>
      <c r="AE21" s="62">
        <f>IS!AE18</f>
        <v>640789</v>
      </c>
      <c r="AF21" s="63">
        <f>IS!AF18</f>
        <v>2326443</v>
      </c>
      <c r="AG21" s="539"/>
      <c r="AH21" s="62">
        <f>IS!AH18</f>
        <v>785871</v>
      </c>
      <c r="AI21" s="62">
        <f>IS!AI18</f>
        <v>954671</v>
      </c>
      <c r="AJ21" s="62">
        <f>IS!AJ18</f>
        <v>25000</v>
      </c>
      <c r="AK21" s="62">
        <f>IS!AK18</f>
        <v>25000</v>
      </c>
      <c r="AL21" s="63">
        <f>IS!AL18</f>
        <v>1790542</v>
      </c>
      <c r="AM21" s="53"/>
      <c r="AN21" s="62">
        <f>IS!AN18</f>
        <v>22000</v>
      </c>
      <c r="AO21" s="62">
        <f>IS!AO18</f>
        <v>22000</v>
      </c>
      <c r="AP21" s="62">
        <f>IS!AP18</f>
        <v>22000</v>
      </c>
      <c r="AQ21" s="62">
        <f>IS!AQ18</f>
        <v>22000</v>
      </c>
      <c r="AR21" s="63">
        <f>IS!AR18</f>
        <v>88000</v>
      </c>
      <c r="AS21" s="53"/>
      <c r="AT21" s="63">
        <f>IS!AT18</f>
        <v>90000</v>
      </c>
      <c r="AU21" s="53"/>
      <c r="AV21" s="63">
        <f>IS!AV18</f>
        <v>87000</v>
      </c>
      <c r="AW21" s="53"/>
      <c r="AX21" s="63">
        <f>IS!AX18</f>
        <v>105000</v>
      </c>
    </row>
    <row r="22" spans="1:50" ht="15" customHeight="1">
      <c r="AG22" s="205"/>
    </row>
    <row r="23" spans="1:50" ht="15" customHeight="1">
      <c r="B23" s="97" t="s">
        <v>214</v>
      </c>
      <c r="AG23" s="205"/>
    </row>
    <row r="24" spans="1:50" ht="15" customHeight="1">
      <c r="B24" s="56" t="s">
        <v>215</v>
      </c>
      <c r="D24" s="46"/>
      <c r="E24" s="46"/>
      <c r="F24" s="46"/>
      <c r="G24" s="46"/>
      <c r="J24" s="46"/>
      <c r="K24" s="46"/>
      <c r="L24" s="46"/>
      <c r="M24" s="46"/>
      <c r="P24" s="46"/>
      <c r="Q24" s="46"/>
      <c r="R24" s="46"/>
      <c r="S24" s="46"/>
      <c r="V24" s="46"/>
      <c r="W24" s="46"/>
      <c r="X24" s="46"/>
      <c r="Y24" s="46"/>
      <c r="AB24" s="46"/>
      <c r="AC24" s="46"/>
      <c r="AD24" s="46"/>
      <c r="AE24" s="46"/>
      <c r="AG24" s="205"/>
      <c r="AH24" s="46"/>
      <c r="AI24" s="46"/>
      <c r="AJ24" s="46"/>
      <c r="AK24" s="46"/>
      <c r="AN24" s="46"/>
      <c r="AO24" s="46"/>
      <c r="AP24" s="46"/>
      <c r="AQ24" s="46"/>
    </row>
    <row r="25" spans="1:50" ht="15" customHeight="1">
      <c r="B25" s="56" t="s">
        <v>216</v>
      </c>
      <c r="D25" s="46"/>
      <c r="E25" s="46"/>
      <c r="F25" s="46"/>
      <c r="G25" s="46"/>
      <c r="J25" s="46"/>
      <c r="K25" s="46"/>
      <c r="L25" s="46"/>
      <c r="M25" s="46"/>
      <c r="P25" s="46"/>
      <c r="Q25" s="46"/>
      <c r="R25" s="46"/>
      <c r="S25" s="46"/>
      <c r="V25" s="46"/>
      <c r="W25" s="46"/>
      <c r="X25" s="46"/>
      <c r="Y25" s="46"/>
      <c r="AB25" s="46"/>
      <c r="AC25" s="46"/>
      <c r="AD25" s="46"/>
      <c r="AE25" s="46"/>
      <c r="AG25" s="205"/>
      <c r="AH25" s="46"/>
      <c r="AI25" s="46"/>
      <c r="AJ25" s="46"/>
      <c r="AK25" s="46"/>
      <c r="AN25" s="46"/>
      <c r="AO25" s="46"/>
      <c r="AP25" s="46"/>
      <c r="AQ25" s="46"/>
    </row>
    <row r="26" spans="1:50" ht="15" customHeight="1">
      <c r="B26" s="56" t="s">
        <v>217</v>
      </c>
      <c r="D26" s="46"/>
      <c r="E26" s="46"/>
      <c r="F26" s="46"/>
      <c r="G26" s="46"/>
      <c r="J26" s="46"/>
      <c r="K26" s="46"/>
      <c r="L26" s="46"/>
      <c r="M26" s="46"/>
      <c r="P26" s="46"/>
      <c r="Q26" s="46"/>
      <c r="R26" s="46"/>
      <c r="S26" s="46"/>
      <c r="V26" s="46"/>
      <c r="W26" s="46"/>
      <c r="X26" s="46"/>
      <c r="Y26" s="46"/>
      <c r="AB26" s="46"/>
      <c r="AC26" s="46"/>
      <c r="AD26" s="46"/>
      <c r="AE26" s="46"/>
      <c r="AG26" s="205"/>
      <c r="AH26" s="46"/>
      <c r="AI26" s="46"/>
      <c r="AJ26" s="46"/>
      <c r="AK26" s="46"/>
      <c r="AN26" s="46"/>
      <c r="AO26" s="46"/>
      <c r="AP26" s="46"/>
      <c r="AQ26" s="46"/>
    </row>
    <row r="27" spans="1:50" ht="15" customHeight="1">
      <c r="B27" s="56" t="s">
        <v>218</v>
      </c>
      <c r="D27" s="46"/>
      <c r="E27" s="46"/>
      <c r="F27" s="46"/>
      <c r="G27" s="46"/>
      <c r="J27" s="46"/>
      <c r="K27" s="46"/>
      <c r="L27" s="46"/>
      <c r="M27" s="46"/>
      <c r="P27" s="46"/>
      <c r="Q27" s="46"/>
      <c r="R27" s="46"/>
      <c r="S27" s="46"/>
      <c r="V27" s="46"/>
      <c r="W27" s="46"/>
      <c r="X27" s="46"/>
      <c r="Y27" s="46"/>
      <c r="AB27" s="46"/>
      <c r="AC27" s="46"/>
      <c r="AD27" s="46"/>
      <c r="AE27" s="46"/>
      <c r="AG27" s="205"/>
      <c r="AH27" s="46"/>
      <c r="AI27" s="46"/>
      <c r="AJ27" s="46"/>
      <c r="AK27" s="46"/>
      <c r="AN27" s="46"/>
      <c r="AO27" s="46"/>
      <c r="AP27" s="46"/>
      <c r="AQ27" s="46"/>
    </row>
    <row r="28" spans="1:50" ht="15" customHeight="1">
      <c r="B28" s="56" t="s">
        <v>219</v>
      </c>
      <c r="D28" s="46"/>
      <c r="E28" s="46"/>
      <c r="F28" s="46"/>
      <c r="G28" s="46"/>
      <c r="J28" s="46"/>
      <c r="K28" s="46"/>
      <c r="L28" s="46"/>
      <c r="M28" s="46"/>
      <c r="P28" s="46"/>
      <c r="Q28" s="46"/>
      <c r="R28" s="46"/>
      <c r="S28" s="46"/>
      <c r="V28" s="46"/>
      <c r="W28" s="46"/>
      <c r="X28" s="46"/>
      <c r="Y28" s="46"/>
      <c r="AB28" s="46"/>
      <c r="AC28" s="46"/>
      <c r="AD28" s="46"/>
      <c r="AE28" s="46"/>
      <c r="AG28" s="205"/>
      <c r="AH28" s="46"/>
      <c r="AI28" s="46"/>
      <c r="AJ28" s="46"/>
      <c r="AK28" s="46"/>
      <c r="AN28" s="46"/>
      <c r="AO28" s="46"/>
      <c r="AP28" s="46"/>
      <c r="AQ28" s="46"/>
    </row>
    <row r="30" spans="1:50" ht="15" customHeight="1">
      <c r="A30" s="44" t="s">
        <v>33</v>
      </c>
      <c r="B30" s="161" t="s">
        <v>220</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row>
    <row r="31" spans="1:50" ht="15" customHeight="1">
      <c r="B31" s="164"/>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row>
    <row r="32" spans="1:50" ht="15" customHeight="1">
      <c r="B32" s="164"/>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row>
    <row r="33" spans="2:50" ht="3.95" customHeight="1">
      <c r="B33" s="176"/>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row>
    <row r="34" spans="2:50" ht="3.95" customHeight="1"/>
    <row r="35" spans="2:50" s="23" customFormat="1" ht="60" customHeight="1">
      <c r="B35" s="575"/>
      <c r="C35" s="546"/>
      <c r="D35" s="557"/>
      <c r="E35" s="557"/>
      <c r="F35" s="557"/>
      <c r="G35" s="557"/>
      <c r="H35" s="709"/>
      <c r="I35" s="709"/>
      <c r="J35" s="709"/>
      <c r="K35" s="709"/>
      <c r="L35" s="709"/>
      <c r="M35" s="709"/>
      <c r="N35" s="709"/>
      <c r="O35" s="709"/>
      <c r="P35" s="709"/>
      <c r="Q35" s="709"/>
      <c r="R35" s="709"/>
      <c r="S35" s="709"/>
      <c r="T35" s="709"/>
      <c r="U35" s="709"/>
      <c r="V35" s="709"/>
      <c r="W35" s="709"/>
      <c r="X35" s="709"/>
      <c r="Y35" s="709"/>
      <c r="Z35" s="709"/>
      <c r="AA35" s="709"/>
      <c r="AB35" s="709"/>
      <c r="AC35" s="709"/>
      <c r="AD35" s="709"/>
      <c r="AE35" s="709"/>
      <c r="AF35" s="709"/>
      <c r="AG35" s="709"/>
      <c r="AH35" s="709"/>
      <c r="AI35" s="709"/>
      <c r="AJ35" s="709"/>
      <c r="AK35" s="709"/>
      <c r="AL35" s="709"/>
      <c r="AM35" s="709"/>
      <c r="AN35" s="709"/>
      <c r="AO35" s="709"/>
      <c r="AP35" s="709"/>
      <c r="AQ35" s="709"/>
      <c r="AR35" s="709"/>
      <c r="AS35" s="709"/>
      <c r="AT35" s="709"/>
      <c r="AU35" s="709"/>
      <c r="AV35" s="709"/>
      <c r="AW35" s="709"/>
      <c r="AX35" s="709"/>
    </row>
    <row r="36" spans="2:50" ht="60" customHeight="1">
      <c r="B36" s="575"/>
      <c r="C36" s="546"/>
      <c r="D36" s="557"/>
      <c r="E36" s="557"/>
      <c r="F36" s="557"/>
      <c r="G36" s="557"/>
      <c r="H36" s="709"/>
      <c r="I36" s="709"/>
      <c r="J36" s="709"/>
      <c r="K36" s="709"/>
      <c r="L36" s="709"/>
      <c r="M36" s="709"/>
      <c r="N36" s="709"/>
      <c r="O36" s="709"/>
      <c r="P36" s="709"/>
      <c r="Q36" s="709"/>
      <c r="R36" s="709"/>
      <c r="S36" s="709"/>
      <c r="T36" s="709"/>
      <c r="U36" s="709"/>
      <c r="V36" s="709"/>
      <c r="W36" s="709"/>
      <c r="X36" s="709"/>
      <c r="Y36" s="709"/>
      <c r="Z36" s="709"/>
      <c r="AA36" s="709"/>
      <c r="AB36" s="709"/>
      <c r="AC36" s="709"/>
      <c r="AD36" s="709"/>
      <c r="AE36" s="709"/>
      <c r="AF36" s="709"/>
      <c r="AG36" s="709"/>
      <c r="AH36" s="709"/>
      <c r="AI36" s="709"/>
      <c r="AJ36" s="709"/>
      <c r="AK36" s="709"/>
      <c r="AL36" s="709"/>
      <c r="AM36" s="709"/>
      <c r="AN36" s="709"/>
      <c r="AO36" s="709"/>
      <c r="AP36" s="709"/>
      <c r="AQ36" s="709"/>
      <c r="AR36" s="709"/>
      <c r="AS36" s="709"/>
      <c r="AT36" s="709"/>
      <c r="AU36" s="709"/>
      <c r="AV36" s="709"/>
      <c r="AW36" s="709"/>
      <c r="AX36" s="709"/>
    </row>
    <row r="37" spans="2:50" ht="60" customHeight="1">
      <c r="B37" s="575"/>
      <c r="C37" s="205"/>
      <c r="H37" s="709"/>
      <c r="I37" s="709"/>
      <c r="J37" s="709"/>
      <c r="K37" s="709"/>
      <c r="L37" s="709"/>
      <c r="M37" s="709"/>
      <c r="N37" s="709"/>
      <c r="O37" s="709"/>
      <c r="P37" s="709"/>
      <c r="Q37" s="709"/>
      <c r="R37" s="709"/>
      <c r="S37" s="709"/>
      <c r="T37" s="709"/>
      <c r="U37" s="709"/>
      <c r="V37" s="709"/>
      <c r="W37" s="709"/>
      <c r="X37" s="709"/>
      <c r="Y37" s="709"/>
      <c r="Z37" s="709"/>
      <c r="AA37" s="709"/>
      <c r="AB37" s="709"/>
      <c r="AC37" s="709"/>
      <c r="AD37" s="709"/>
      <c r="AE37" s="709"/>
      <c r="AF37" s="709"/>
      <c r="AG37" s="709"/>
      <c r="AH37" s="709"/>
      <c r="AI37" s="709"/>
      <c r="AJ37" s="709"/>
      <c r="AK37" s="709"/>
      <c r="AL37" s="709"/>
      <c r="AM37" s="709"/>
      <c r="AN37" s="709"/>
      <c r="AO37" s="709"/>
      <c r="AP37" s="709"/>
      <c r="AQ37" s="709"/>
      <c r="AR37" s="709"/>
      <c r="AS37" s="709"/>
      <c r="AT37" s="709"/>
      <c r="AU37" s="709"/>
      <c r="AV37" s="709"/>
      <c r="AW37" s="709"/>
      <c r="AX37" s="709"/>
    </row>
    <row r="38" spans="2:50" ht="60" customHeight="1">
      <c r="B38" s="575"/>
      <c r="C38" s="205"/>
      <c r="H38" s="709"/>
      <c r="I38" s="709"/>
      <c r="J38" s="709"/>
      <c r="K38" s="709"/>
      <c r="L38" s="709"/>
      <c r="M38" s="709"/>
      <c r="N38" s="709"/>
      <c r="O38" s="709"/>
      <c r="P38" s="709"/>
      <c r="Q38" s="709"/>
      <c r="R38" s="709"/>
      <c r="S38" s="709"/>
      <c r="T38" s="709"/>
      <c r="U38" s="709"/>
      <c r="V38" s="709"/>
      <c r="W38" s="709"/>
      <c r="X38" s="709"/>
      <c r="Y38" s="709"/>
      <c r="Z38" s="709"/>
      <c r="AA38" s="709"/>
      <c r="AB38" s="709"/>
      <c r="AC38" s="709"/>
      <c r="AD38" s="709"/>
      <c r="AE38" s="709"/>
      <c r="AF38" s="709"/>
      <c r="AG38" s="709"/>
      <c r="AH38" s="709"/>
      <c r="AI38" s="709"/>
      <c r="AJ38" s="709"/>
      <c r="AK38" s="709"/>
      <c r="AL38" s="709"/>
      <c r="AM38" s="709"/>
      <c r="AN38" s="709"/>
      <c r="AO38" s="709"/>
      <c r="AP38" s="709"/>
      <c r="AQ38" s="709"/>
      <c r="AR38" s="709"/>
      <c r="AS38" s="709"/>
      <c r="AT38" s="709"/>
      <c r="AU38" s="709"/>
      <c r="AV38" s="709"/>
      <c r="AW38" s="709"/>
      <c r="AX38" s="709"/>
    </row>
    <row r="39" spans="2:50" ht="60" customHeight="1">
      <c r="B39" s="575"/>
      <c r="C39" s="205"/>
      <c r="H39" s="709"/>
      <c r="I39" s="709"/>
      <c r="J39" s="709"/>
      <c r="K39" s="709"/>
      <c r="L39" s="709"/>
      <c r="M39" s="709"/>
      <c r="N39" s="709"/>
      <c r="O39" s="709"/>
      <c r="P39" s="709"/>
      <c r="Q39" s="709"/>
      <c r="R39" s="709"/>
      <c r="S39" s="709"/>
      <c r="T39" s="709"/>
      <c r="U39" s="709"/>
      <c r="V39" s="709"/>
      <c r="W39" s="709"/>
      <c r="X39" s="709"/>
      <c r="Y39" s="709"/>
      <c r="Z39" s="709"/>
      <c r="AA39" s="709"/>
      <c r="AB39" s="709"/>
      <c r="AC39" s="709"/>
      <c r="AD39" s="709"/>
      <c r="AE39" s="709"/>
      <c r="AF39" s="709"/>
      <c r="AG39" s="709"/>
      <c r="AH39" s="709"/>
      <c r="AI39" s="709"/>
      <c r="AJ39" s="709"/>
      <c r="AK39" s="709"/>
      <c r="AL39" s="709"/>
      <c r="AM39" s="709"/>
      <c r="AN39" s="709"/>
      <c r="AO39" s="709"/>
      <c r="AP39" s="709"/>
      <c r="AQ39" s="709"/>
      <c r="AR39" s="709"/>
      <c r="AS39" s="709"/>
      <c r="AT39" s="709"/>
      <c r="AU39" s="709"/>
      <c r="AV39" s="709"/>
      <c r="AW39" s="709"/>
      <c r="AX39" s="709"/>
    </row>
    <row r="40" spans="2:50" ht="60" customHeight="1">
      <c r="B40" s="575"/>
      <c r="C40" s="205"/>
      <c r="H40" s="709"/>
      <c r="I40" s="709"/>
      <c r="J40" s="709"/>
      <c r="K40" s="709"/>
      <c r="L40" s="709"/>
      <c r="M40" s="709"/>
      <c r="N40" s="709"/>
      <c r="O40" s="709"/>
      <c r="P40" s="709"/>
      <c r="Q40" s="709"/>
      <c r="R40" s="709"/>
      <c r="S40" s="709"/>
      <c r="T40" s="709"/>
      <c r="U40" s="709"/>
      <c r="V40" s="709"/>
      <c r="W40" s="709"/>
      <c r="X40" s="709"/>
      <c r="Y40" s="709"/>
      <c r="Z40" s="709"/>
      <c r="AA40" s="709"/>
      <c r="AB40" s="709"/>
      <c r="AC40" s="709"/>
      <c r="AD40" s="709"/>
      <c r="AE40" s="709"/>
      <c r="AF40" s="709"/>
      <c r="AG40" s="709"/>
      <c r="AH40" s="709"/>
      <c r="AI40" s="709"/>
      <c r="AJ40" s="709"/>
      <c r="AK40" s="709"/>
      <c r="AL40" s="709"/>
      <c r="AM40" s="709"/>
      <c r="AN40" s="709"/>
      <c r="AO40" s="709"/>
      <c r="AP40" s="709"/>
      <c r="AQ40" s="709"/>
      <c r="AR40" s="709"/>
      <c r="AS40" s="709"/>
      <c r="AT40" s="709"/>
      <c r="AU40" s="709"/>
      <c r="AV40" s="709"/>
      <c r="AW40" s="709"/>
      <c r="AX40" s="709"/>
    </row>
    <row r="41" spans="2:50" ht="60" customHeight="1">
      <c r="B41" s="575"/>
      <c r="C41" s="205"/>
      <c r="H41" s="709"/>
      <c r="I41" s="709"/>
      <c r="J41" s="709"/>
      <c r="K41" s="709"/>
      <c r="L41" s="709"/>
      <c r="M41" s="709"/>
      <c r="N41" s="709"/>
      <c r="O41" s="709"/>
      <c r="P41" s="709"/>
      <c r="Q41" s="709"/>
      <c r="R41" s="709"/>
      <c r="S41" s="709"/>
      <c r="T41" s="709"/>
      <c r="U41" s="709"/>
      <c r="V41" s="709"/>
      <c r="W41" s="709"/>
      <c r="X41" s="709"/>
      <c r="Y41" s="709"/>
      <c r="Z41" s="709"/>
      <c r="AA41" s="709"/>
      <c r="AB41" s="709"/>
      <c r="AC41" s="709"/>
      <c r="AD41" s="709"/>
      <c r="AE41" s="709"/>
      <c r="AF41" s="709"/>
      <c r="AG41" s="709"/>
      <c r="AH41" s="709"/>
      <c r="AI41" s="709"/>
      <c r="AJ41" s="709"/>
      <c r="AK41" s="709"/>
      <c r="AL41" s="709"/>
      <c r="AM41" s="709"/>
      <c r="AN41" s="709"/>
      <c r="AO41" s="709"/>
      <c r="AP41" s="709"/>
      <c r="AQ41" s="709"/>
      <c r="AR41" s="709"/>
      <c r="AS41" s="709"/>
      <c r="AT41" s="709"/>
      <c r="AU41" s="709"/>
      <c r="AV41" s="709"/>
      <c r="AW41" s="709"/>
      <c r="AX41" s="709"/>
    </row>
  </sheetData>
  <mergeCells count="14">
    <mergeCell ref="H41:AX41"/>
    <mergeCell ref="H36:AX36"/>
    <mergeCell ref="H37:AX37"/>
    <mergeCell ref="H38:AX38"/>
    <mergeCell ref="H39:AX39"/>
    <mergeCell ref="H40:AX40"/>
    <mergeCell ref="AN8:AR8"/>
    <mergeCell ref="H35:AX35"/>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R91"/>
  <sheetViews>
    <sheetView showGridLines="0" zoomScaleNormal="100" workbookViewId="0">
      <selection activeCell="K29" sqref="K29"/>
    </sheetView>
  </sheetViews>
  <sheetFormatPr defaultColWidth="11.625" defaultRowHeight="15" customHeight="1"/>
  <cols>
    <col min="1" max="1" width="2.125" style="23" customWidth="1"/>
    <col min="2" max="2" width="31.125" style="23" customWidth="1"/>
    <col min="3" max="18" width="12.375" style="23" customWidth="1"/>
    <col min="19" max="16384" width="11.625" style="23"/>
  </cols>
  <sheetData>
    <row r="1" spans="1:18" s="582" customFormat="1" ht="15" customHeight="1"/>
    <row r="2" spans="1:18" s="582" customFormat="1" ht="15" customHeight="1"/>
    <row r="3" spans="1:18" s="582" customFormat="1" ht="15" customHeight="1"/>
    <row r="4" spans="1:18" s="582" customFormat="1" ht="15" customHeight="1"/>
    <row r="5" spans="1:18" s="36" customFormat="1" ht="3.95" customHeight="1"/>
    <row r="7" spans="1:18" ht="15" customHeight="1">
      <c r="B7" s="593" t="s">
        <v>221</v>
      </c>
      <c r="C7" s="582"/>
      <c r="D7" s="582"/>
      <c r="E7" s="582"/>
      <c r="F7" s="582"/>
      <c r="G7" s="582"/>
      <c r="H7" s="582"/>
      <c r="I7" s="582"/>
      <c r="J7" s="582"/>
      <c r="K7" s="582"/>
      <c r="L7" s="582"/>
      <c r="M7" s="582"/>
      <c r="N7" s="582"/>
      <c r="O7" s="582"/>
      <c r="P7" s="582"/>
      <c r="Q7" s="582"/>
      <c r="R7" s="582"/>
    </row>
    <row r="8" spans="1:18" ht="15" customHeight="1">
      <c r="B8" s="582"/>
      <c r="C8" s="582"/>
      <c r="D8" s="582"/>
      <c r="E8" s="582"/>
      <c r="F8" s="582"/>
      <c r="G8" s="582"/>
      <c r="H8" s="582"/>
      <c r="I8" s="582"/>
      <c r="J8" s="582"/>
      <c r="K8" s="582"/>
      <c r="L8" s="582"/>
      <c r="M8" s="582"/>
      <c r="N8" s="582"/>
      <c r="O8" s="582"/>
      <c r="P8" s="582"/>
      <c r="Q8" s="582"/>
      <c r="R8" s="582"/>
    </row>
    <row r="9" spans="1:18" ht="15" customHeight="1">
      <c r="B9" s="582"/>
      <c r="C9" s="582"/>
      <c r="D9" s="582"/>
      <c r="E9" s="582"/>
      <c r="F9" s="582"/>
      <c r="G9" s="582"/>
      <c r="H9" s="582"/>
      <c r="I9" s="582"/>
      <c r="J9" s="582"/>
      <c r="K9" s="582"/>
      <c r="L9" s="582"/>
      <c r="M9" s="582"/>
      <c r="N9" s="582"/>
      <c r="O9" s="582"/>
      <c r="P9" s="582"/>
      <c r="Q9" s="582"/>
      <c r="R9" s="582"/>
    </row>
    <row r="10" spans="1:18" ht="3.95" customHeight="1">
      <c r="B10" s="36"/>
      <c r="C10" s="36"/>
      <c r="D10" s="36"/>
      <c r="E10" s="36"/>
      <c r="F10" s="36"/>
      <c r="G10" s="36"/>
      <c r="H10" s="36"/>
      <c r="I10" s="36"/>
      <c r="J10" s="36"/>
      <c r="K10" s="36"/>
      <c r="L10" s="36"/>
      <c r="M10" s="36"/>
      <c r="N10" s="36"/>
      <c r="O10" s="36"/>
      <c r="P10" s="36"/>
      <c r="Q10" s="36"/>
      <c r="R10" s="36"/>
    </row>
    <row r="11" spans="1:18" ht="3.95" customHeight="1"/>
    <row r="12" spans="1:18" ht="15" customHeight="1">
      <c r="A12" s="383" t="s">
        <v>33</v>
      </c>
      <c r="B12" s="598" t="s">
        <v>222</v>
      </c>
      <c r="C12" s="599" t="str">
        <f>Inputs!S7</f>
        <v>CAL-MAINE FOODS</v>
      </c>
      <c r="D12" s="599" t="str" cm="1">
        <f t="array" ref="D12:H12">TRANSPOSE(Inputs!B21:B25)</f>
        <v>VITAL FARMS INC</v>
      </c>
      <c r="E12" s="599" t="str">
        <v>POST HOLDINGS IN</v>
      </c>
      <c r="F12" s="599" t="str">
        <v>TYSON FOODS-A</v>
      </c>
      <c r="G12" s="599" t="str">
        <v>LAMB WESTON</v>
      </c>
      <c r="H12" s="599" t="str">
        <v>HORMEL FOODS CRP</v>
      </c>
      <c r="I12" s="599" t="str" cm="1">
        <f t="array" ref="I12:M12">TRANSPOSE(Inputs!H21:H25)</f>
        <v>GENERAL MILLS IN</v>
      </c>
      <c r="J12" s="599" t="str">
        <v>CONAGRA BRANDS I</v>
      </c>
      <c r="K12" s="599" t="str">
        <v>PILGRIM'S PRIDE</v>
      </c>
      <c r="L12" s="599" t="str">
        <v>NESTLE SA-REG</v>
      </c>
      <c r="M12" s="599" t="str">
        <v>UNILEVER PLC</v>
      </c>
      <c r="N12" s="599" t="str" cm="1">
        <f t="array" ref="N12:R12">TRANSPOSE(Inputs!N21:N25)</f>
        <v>PEPSICO INC</v>
      </c>
      <c r="O12" s="599" t="str">
        <v>PROCTER &amp; GAMBLE</v>
      </c>
      <c r="P12" s="599" t="str">
        <v>COCA-COLA CO/THE</v>
      </c>
      <c r="Q12" s="599" t="str">
        <v>KIMBERLY-CLARK</v>
      </c>
      <c r="R12" s="599" t="str">
        <v>COLGATE-PALMOLIV</v>
      </c>
    </row>
    <row r="13" spans="1:18" ht="3.95" customHeight="1">
      <c r="A13" s="383"/>
      <c r="B13" s="597"/>
      <c r="C13" s="36"/>
      <c r="D13" s="36"/>
      <c r="E13" s="36"/>
      <c r="F13" s="36"/>
      <c r="G13" s="36"/>
      <c r="H13" s="36"/>
      <c r="I13" s="36"/>
      <c r="J13" s="36"/>
      <c r="K13" s="36"/>
      <c r="L13" s="36"/>
      <c r="M13" s="36"/>
      <c r="N13" s="36"/>
      <c r="O13" s="36"/>
      <c r="P13" s="36"/>
      <c r="Q13" s="36"/>
      <c r="R13" s="36"/>
    </row>
    <row r="14" spans="1:18" ht="15" customHeight="1">
      <c r="B14" s="378" t="s">
        <v>223</v>
      </c>
      <c r="C14" s="583">
        <v>0.83193183757349742</v>
      </c>
      <c r="D14" s="583">
        <f>_xll.BQL(
  Inputs!$E$21,
  "(sales_rev_turn(fpt=ltm,fa_adjusted=y) /
    sales_rev_turn(fpt=ltm,fa_adjusted=y,fa_period_offset=-1)) - 1"
)</f>
        <v>0.21491735865292116</v>
      </c>
      <c r="E14" s="583">
        <f>_xll.BQL(
  Inputs!$E$22,
  "(sales_rev_turn(fpt=ltm,fa_adjusted=y) /
    sales_rev_turn(fpt=ltm,fa_adjusted=y,fa_period_offset=-1)) - 1"
)</f>
        <v>8.0427589717484427E-3</v>
      </c>
      <c r="F14" s="583">
        <f>_xll.BQL(
  Inputs!$E$23,
  "(sales_rev_turn(fpt=ltm,fa_adjusted=y) /
    sales_rev_turn(fpt=ltm,fa_adjusted=y,fa_period_offset=-1)) - 1"
)</f>
        <v>1.9852331801401446E-2</v>
      </c>
      <c r="G14" s="583">
        <f>_xll.BQL(
  Inputs!$E$24,
  "(sales_rev_turn(fpt=ltm,fa_adjusted=y) /
    sales_rev_turn(fpt=ltm,fa_adjusted=y,fa_period_offset=-1)) - 1"
)</f>
        <v>1.5488507527416928E-5</v>
      </c>
      <c r="H14" s="583">
        <f>_xll.BQL(
  Inputs!$E$25,
  "(sales_rev_turn(fpt=ltm,fa_adjusted=y) /
    sales_rev_turn(fpt=ltm,fa_adjusted=y,fa_period_offset=-1)) - 1"
)</f>
        <v>6.494148755695095E-3</v>
      </c>
      <c r="I14" s="583">
        <f>_xll.BQL(
  Inputs!$K$21,
  "(sales_rev_turn(fpt=ltm,fa_adjusted=y) /
    sales_rev_turn(fpt=ltm,fa_adjusted=y,fa_period_offset=-1)) - 1"
)</f>
        <v>-3.2554569053462989E-2</v>
      </c>
      <c r="J14" s="583">
        <f>_xll.BQL(
  Inputs!$K$22,
  "(sales_rev_turn(fpt=ltm,fa_adjusted=y) /
    sales_rev_turn(fpt=ltm,fa_adjusted=y,fa_period_offset=-1)) - 1"
)</f>
        <v>-4.1141201493912094E-2</v>
      </c>
      <c r="K14" s="583">
        <f>_xll.BQL(
  Inputs!$K$23,
  "(sales_rev_turn(fpt=ltm,fa_adjusted=y) /
    sales_rev_turn(fpt=ltm,fa_adjusted=y,fa_period_offset=-1)) - 1"
)</f>
        <v>2.0644370784400845E-2</v>
      </c>
      <c r="L14" s="583">
        <f>_xll.BQL(
  Inputs!$K$23,
  "(sales_rev_turn(fpt=ltm,fa_adjusted=y) /
    sales_rev_turn(fpt=ltm,fa_adjusted=y,fa_period_offset=-1)) - 1"
)</f>
        <v>2.0644370784400845E-2</v>
      </c>
      <c r="M14" s="583">
        <f>_xll.BQL(
  Inputs!$K$24,
  "(sales_rev_turn(fpt=ltm,fa_adjusted=y) /
    sales_rev_turn(fpt=ltm,fa_adjusted=y,fa_period_offset=-1)) - 1"
)</f>
        <v>-1.3104466592838704E-2</v>
      </c>
      <c r="N14" s="583">
        <f>_xll.BQL(
  Inputs!$K$24,
  "(sales_rev_turn(fpt=ltm,fa_adjusted=y) /
    sales_rev_turn(fpt=ltm,fa_adjusted=y,fa_period_offset=-1)) - 1"
)</f>
        <v>-1.3104466592838704E-2</v>
      </c>
      <c r="O14" s="583">
        <f>_xll.BQL(
  Inputs!$K$24,
  "(sales_rev_turn(fpt=ltm,fa_adjusted=y) /
    sales_rev_turn(fpt=ltm,fa_adjusted=y,fa_period_offset=-1)) - 1"
)</f>
        <v>-1.3104466592838704E-2</v>
      </c>
      <c r="P14" s="583">
        <f>_xll.BQL(
  Inputs!$K$24,
  "(sales_rev_turn(fpt=ltm,fa_adjusted=y) /
    sales_rev_turn(fpt=ltm,fa_adjusted=y,fa_period_offset=-1)) - 1"
)</f>
        <v>-1.3104466592838704E-2</v>
      </c>
      <c r="Q14" s="583">
        <f>_xll.BQL(
  Inputs!$K$24,
  "(sales_rev_turn(fpt=ltm,fa_adjusted=y) /
    sales_rev_turn(fpt=ltm,fa_adjusted=y,fa_period_offset=-1)) - 1"
)</f>
        <v>-1.3104466592838704E-2</v>
      </c>
      <c r="R14" s="583">
        <f>_xll.BQL(
  Inputs!$K$24,
  "(sales_rev_turn(fpt=ltm,fa_adjusted=y) /
    sales_rev_turn(fpt=ltm,fa_adjusted=y,fa_period_offset=-1)) - 1"
)</f>
        <v>-1.3104466592838704E-2</v>
      </c>
    </row>
    <row r="15" spans="1:18" ht="15" customHeight="1">
      <c r="B15" s="378" t="s">
        <v>224</v>
      </c>
      <c r="C15" s="583">
        <v>0.33852087046721979</v>
      </c>
      <c r="D15" s="583">
        <f>_xll.BQL(
  Inputs!$E$21,
  "(sales_rev_turn(fpt=ltm,fa_adjusted=y) /
    sales_rev_turn(fpt=ltm,fa_adjusted=y,fa_period_offset=-3))^(1/3) - 1"
)</f>
        <v>0.29642430593085534</v>
      </c>
      <c r="E15" s="583">
        <f>_xll.BQL(
  Inputs!$E$22,
  "(sales_rev_turn(fpt=ltm,fa_adjusted=y) /
    sales_rev_turn(fpt=ltm,fa_adjusted=y,fa_period_offset=-3))^(1/3) - 1"
)</f>
        <v>8.0814416405525114E-2</v>
      </c>
      <c r="F15" s="583">
        <f>_xll.BQL(
  Inputs!$E$23,
  "(sales_rev_turn(fpt=ltm,fa_adjusted=y) /
    sales_rev_turn(fpt=ltm,fa_adjusted=y,fa_period_offset=-3))^(1/3) - 1"
)</f>
        <v>1.1268873382510369E-2</v>
      </c>
      <c r="G15" s="583">
        <f>_xll.BQL(
  Inputs!$E$24,
  "(sales_rev_turn(fpt=ltm,fa_adjusted=y) /
    sales_rev_turn(fpt=ltm,fa_adjusted=y,fa_period_offset=-3))^(1/3) - 1"
)</f>
        <v>0.15044763900924396</v>
      </c>
      <c r="H15" s="583">
        <f>_xll.BQL(
  Inputs!$E$25,
  "(sales_rev_turn(fpt=ltm,fa_adjusted=y) /
    sales_rev_turn(fpt=ltm,fa_adjusted=y,fa_period_offset=-3))^(1/3) - 1"
)</f>
        <v>-1.531621511616299E-2</v>
      </c>
      <c r="I15" s="583">
        <f>_xll.BQL(
  Inputs!$K$21,
  "(sales_rev_turn(fpt=ltm,fa_adjusted=y) /
    sales_rev_turn(fpt=ltm,fa_adjusted=y,fa_period_offset=-3))^(1/3) - 1"
)</f>
        <v>-2.5218708132357381E-4</v>
      </c>
      <c r="J15" s="583">
        <f>_xll.BQL(
  Inputs!$K$22,
  "(sales_rev_turn(fpt=ltm,fa_adjusted=y) /
    sales_rev_turn(fpt=ltm,fa_adjusted=y,fa_period_offset=-3))^(1/3) - 1"
)</f>
        <v>-9.6053537449102278E-3</v>
      </c>
      <c r="K15" s="583">
        <f>_xll.BQL(
  Inputs!$K$23,
  "(sales_rev_turn(fpt=ltm,fa_adjusted=y) /
    sales_rev_turn(fpt=ltm,fa_adjusted=y,fa_period_offset=-3))^(1/3) - 1"
)</f>
        <v>2.7873334782678061E-2</v>
      </c>
      <c r="L15" s="583">
        <f>_xll.BQL(
  Inputs!$K$24,
  "(sales_rev_turn(fpt=ltm,fa_adjusted=y) /
    sales_rev_turn(fpt=ltm,fa_adjusted=y,fa_period_offset=-3))^(1/3) - 1"
)</f>
        <v>-1.4734777451874681E-3</v>
      </c>
      <c r="M15" s="583">
        <f>_xll.BQL(
  Inputs!$K$25,
  "(sales_rev_turn(fpt=ltm,fa_adjusted=y) /
    sales_rev_turn(fpt=ltm,fa_adjusted=y,fa_period_offset=-3))^(1/3) - 1"
)</f>
        <v>2.1282952880393058E-2</v>
      </c>
      <c r="N15" s="583">
        <f>_xll.BQL(
  Inputs!$Q$21,
  "(sales_rev_turn(fpt=ltm,fa_adjusted=y) /
    sales_rev_turn(fpt=ltm,fa_adjusted=y,fa_period_offset=-3))^(1/3) - 1"
)</f>
        <v>3.873496733491355E-2</v>
      </c>
      <c r="O15" s="583">
        <f>_xll.BQL(
  Inputs!$Q$22,
  "(sales_rev_turn(fpt=ltm,fa_adjusted=y) /
    sales_rev_turn(fpt=ltm,fa_adjusted=y,fa_period_offset=-3))^(1/3) - 1"
)</f>
        <v>1.6748930470517509E-2</v>
      </c>
      <c r="P15" s="583">
        <f>_xll.BQL(
  Inputs!$Q$23,
  "(sales_rev_turn(fpt=ltm,fa_adjusted=y) /
    sales_rev_turn(fpt=ltm,fa_adjusted=y,fa_period_offset=-3))^(1/3) - 1"
)</f>
        <v>4.5260704910037308E-2</v>
      </c>
      <c r="Q15" s="583">
        <f>_xll.BQL(
  Inputs!$Q$24,
  "(sales_rev_turn(fpt=ltm,fa_adjusted=y) /
    sales_rev_turn(fpt=ltm,fa_adjusted=y,fa_period_offset=-3))^(1/3) - 1"
)</f>
        <v>-2.1139433637671456E-2</v>
      </c>
      <c r="R15" s="583">
        <f>_xll.BQL(
  Inputs!$Q$25,
  "(sales_rev_turn(fpt=ltm,fa_adjusted=y) /
    sales_rev_turn(fpt=ltm,fa_adjusted=y,fa_period_offset=-3))^(1/3) - 1"
)</f>
        <v>4.1528358284606881E-2</v>
      </c>
    </row>
    <row r="16" spans="1:18" ht="15" customHeight="1">
      <c r="B16" s="378" t="s">
        <v>225</v>
      </c>
      <c r="C16" s="583">
        <v>2.4176220661741481</v>
      </c>
      <c r="D16" s="583">
        <f>_xll.BQL(
  Inputs!$E$21,
  "(gross_profit(fpt=ltm,fa_adjusted=y) /
    gross_profit(fpt=ltm,fa_adjusted=y,fa_period_offset=-1)) - 1"
)</f>
        <v>0.24800689397986231</v>
      </c>
      <c r="E16" s="583">
        <f>_xll.BQL(
  Inputs!$E$22,
  "(gross_profit(fpt=ltm,fa_adjusted=y) /
    gross_profit(fpt=ltm,fa_adjusted=y,fa_period_offset=-1)) - 1"
)</f>
        <v>1.3941865053268554E-2</v>
      </c>
      <c r="F16" s="583">
        <f>_xll.BQL(
  Inputs!$E$23,
  "(gross_profit(fpt=ltm,fa_adjusted=y) /
    gross_profit(fpt=ltm,fa_adjusted=y,fa_period_offset=-1)) - 1"
)</f>
        <v>0.22858056265984716</v>
      </c>
      <c r="G16" s="583">
        <f>_xll.BQL(
  Inputs!$E$24,
  "(gross_profit(fpt=ltm,fa_adjusted=y) /
    gross_profit(fpt=ltm,fa_adjusted=y,fa_period_offset=-1)) - 1"
)</f>
        <v>-0.16225065179166898</v>
      </c>
      <c r="H16" s="583">
        <f>_xll.BQL(
  Inputs!$E$25,
  "(gross_profit(fpt=ltm,fa_adjusted=y) /
    gross_profit(fpt=ltm,fa_adjusted=y,fa_period_offset=-1)) - 1"
)</f>
        <v>-9.9699836543657439E-3</v>
      </c>
      <c r="I16" s="583">
        <f>_xll.BQL(
  Inputs!$K$21,
  "(gross_profit(fpt=ltm,fa_adjusted=y) /
    gross_profit(fpt=ltm,fa_adjusted=y,fa_period_offset=-1)) - 1"
)</f>
        <v>-4.5457185167978253E-2</v>
      </c>
      <c r="J16" s="583">
        <f>_xll.BQL(
  Inputs!$K$22,
  "(gross_profit(fpt=ltm,fa_adjusted=y) /
    gross_profit(fpt=ltm,fa_adjusted=y,fa_period_offset=-1)) - 1"
)</f>
        <v>-0.1084015827735344</v>
      </c>
      <c r="K16" s="583">
        <f>_xll.BQL(
  Inputs!$K$23,
  "(gross_profit(fpt=ltm,fa_adjusted=y) /
    gross_profit(fpt=ltm,fa_adjusted=y,fa_period_offset=-1)) - 1"
)</f>
        <v>0.43899673106589288</v>
      </c>
      <c r="L16" s="583">
        <f>_xll.BQL(
  Inputs!$K$23,
  "(gross_profit(fpt=ltm,fa_adjusted=y) /
    gross_profit(fpt=ltm,fa_adjusted=y,fa_period_offset=-1)) - 1"
)</f>
        <v>0.43899673106589288</v>
      </c>
      <c r="M16" s="583">
        <f>_xll.BQL(
  Inputs!$K$24,
  "(gross_profit(fpt=ltm,fa_adjusted=y) /
    gross_profit(fpt=ltm,fa_adjusted=y,fa_period_offset=-1)) - 1"
)</f>
        <v>-1.7377201112140916E-2</v>
      </c>
      <c r="N16" s="583">
        <f>_xll.BQL(
  Inputs!$K$24,
  "(gross_profit(fpt=ltm,fa_adjusted=y) /
    gross_profit(fpt=ltm,fa_adjusted=y,fa_period_offset=-1)) - 1"
)</f>
        <v>-1.7377201112140916E-2</v>
      </c>
      <c r="O16" s="583">
        <f>_xll.BQL(
  Inputs!$K$24,
  "(gross_profit(fpt=ltm,fa_adjusted=y) /
    gross_profit(fpt=ltm,fa_adjusted=y,fa_period_offset=-1)) - 1"
)</f>
        <v>-1.7377201112140916E-2</v>
      </c>
      <c r="P16" s="583">
        <f>_xll.BQL(
  Inputs!$K$24,
  "(gross_profit(fpt=ltm,fa_adjusted=y) /
    gross_profit(fpt=ltm,fa_adjusted=y,fa_period_offset=-1)) - 1"
)</f>
        <v>-1.7377201112140916E-2</v>
      </c>
      <c r="Q16" s="583">
        <f>_xll.BQL(
  Inputs!$K$24,
  "(gross_profit(fpt=ltm,fa_adjusted=y) /
    gross_profit(fpt=ltm,fa_adjusted=y,fa_period_offset=-1)) - 1"
)</f>
        <v>-1.7377201112140916E-2</v>
      </c>
      <c r="R16" s="583">
        <f>_xll.BQL(
  Inputs!$K$24,
  "(gross_profit(fpt=ltm,fa_adjusted=y) /
    gross_profit(fpt=ltm,fa_adjusted=y,fa_period_offset=-1)) - 1"
)</f>
        <v>-1.7377201112140916E-2</v>
      </c>
    </row>
    <row r="17" spans="1:18" ht="15" customHeight="1">
      <c r="B17" s="378" t="s">
        <v>226</v>
      </c>
      <c r="C17" s="583">
        <v>4.3173811023513045</v>
      </c>
      <c r="D17" s="583">
        <f>_xll.BQL(
  Inputs!$E$21,
  "(is_oper_inc(fpt=ltm,fa_adjusted=y) /
    is_oper_inc(fpt=ltm,fa_adjusted=y,fa_period_offset=-1)) - 1"
)</f>
        <v>0.22001286311501778</v>
      </c>
      <c r="E17" s="583">
        <f>_xll.BQL(
  Inputs!$E$22,
  "(is_oper_inc(fpt=ltm,fa_adjusted=y) /
    is_oper_inc(fpt=ltm,fa_adjusted=y,fa_period_offset=-1)) - 1"
)</f>
        <v>1.7761159149333849E-2</v>
      </c>
      <c r="F17" s="583">
        <f>_xll.BQL(
  Inputs!$E$23,
  "(is_oper_inc(fpt=ltm,fa_adjusted=y) /
    is_oper_inc(fpt=ltm,fa_adjusted=y,fa_period_offset=-1)) - 1"
)</f>
        <v>0.46462585034013615</v>
      </c>
      <c r="G17" s="583">
        <f>_xll.BQL(
  Inputs!$E$24,
  "(is_oper_inc(fpt=ltm,fa_adjusted=y) /
    is_oper_inc(fpt=ltm,fa_adjusted=y,fa_period_offset=-1)) - 1"
)</f>
        <v>-0.23688275148911297</v>
      </c>
      <c r="H17" s="583">
        <f>_xll.BQL(
  Inputs!$E$25,
  "(is_oper_inc(fpt=ltm,fa_adjusted=y) /
    is_oper_inc(fpt=ltm,fa_adjusted=y,fa_period_offset=-1)) - 1"
)</f>
        <v>1.3903233126930648E-3</v>
      </c>
      <c r="I17" s="583">
        <f>_xll.BQL(
  Inputs!$K$21,
  "(is_oper_inc(fpt=ltm,fa_adjusted=y) /
    is_oper_inc(fpt=ltm,fa_adjusted=y,fa_period_offset=-1)) - 1"
)</f>
        <v>-9.14860286375071E-2</v>
      </c>
      <c r="J17" s="583">
        <f>_xll.BQL(
  Inputs!$K$22,
  "(is_oper_inc(fpt=ltm,fa_adjusted=y) /
    is_oper_inc(fpt=ltm,fa_adjusted=y,fa_period_offset=-1)) - 1"
)</f>
        <v>-2.9727941395525148E-2</v>
      </c>
      <c r="K17" s="583">
        <f>_xll.BQL(
  Inputs!$K$23,
  "(is_oper_inc(fpt=ltm,fa_adjusted=y) /
    is_oper_inc(fpt=ltm,fa_adjusted=y,fa_period_offset=-1)) - 1"
)</f>
        <v>0.59580999978402893</v>
      </c>
      <c r="L17" s="583">
        <f>_xll.BQL(
  Inputs!$K$23,
  "(is_oper_inc(fpt=ltm,fa_adjusted=y) /
    is_oper_inc(fpt=ltm,fa_adjusted=y,fa_period_offset=-1)) - 1"
)</f>
        <v>0.59580999978402893</v>
      </c>
      <c r="M17" s="583">
        <f>_xll.BQL(
  Inputs!$K$24,
  "(is_oper_inc(fpt=ltm,fa_adjusted=y) /
    is_oper_inc(fpt=ltm,fa_adjusted=y,fa_period_offset=-1)) - 1"
)</f>
        <v>-4.7780073893167962E-2</v>
      </c>
      <c r="N17" s="583">
        <f>_xll.BQL(
  Inputs!$K$24,
  "(is_oper_inc(fpt=ltm,fa_adjusted=y) /
    is_oper_inc(fpt=ltm,fa_adjusted=y,fa_period_offset=-1)) - 1"
)</f>
        <v>-4.7780073893167962E-2</v>
      </c>
      <c r="O17" s="583">
        <f>_xll.BQL(
  Inputs!$K$24,
  "(is_oper_inc(fpt=ltm,fa_adjusted=y) /
    is_oper_inc(fpt=ltm,fa_adjusted=y,fa_period_offset=-1)) - 1"
)</f>
        <v>-4.7780073893167962E-2</v>
      </c>
      <c r="P17" s="583">
        <f>_xll.BQL(
  Inputs!$K$24,
  "(is_oper_inc(fpt=ltm,fa_adjusted=y) /
    is_oper_inc(fpt=ltm,fa_adjusted=y,fa_period_offset=-1)) - 1"
)</f>
        <v>-4.7780073893167962E-2</v>
      </c>
      <c r="Q17" s="583">
        <f>_xll.BQL(
  Inputs!$K$24,
  "(is_oper_inc(fpt=ltm,fa_adjusted=y) /
    is_oper_inc(fpt=ltm,fa_adjusted=y,fa_period_offset=-1)) - 1"
)</f>
        <v>-4.7780073893167962E-2</v>
      </c>
      <c r="R17" s="583">
        <f>_xll.BQL(
  Inputs!$K$24,
  "(is_oper_inc(fpt=ltm,fa_adjusted=y) /
    is_oper_inc(fpt=ltm,fa_adjusted=y,fa_period_offset=-1)) - 1"
)</f>
        <v>-4.7780073893167962E-2</v>
      </c>
    </row>
    <row r="18" spans="1:18" ht="15" customHeight="1">
      <c r="B18" s="378" t="s">
        <v>227</v>
      </c>
      <c r="C18" s="583">
        <v>3.4163445625116804</v>
      </c>
      <c r="D18" s="583">
        <f>_xll.BQL(
  Inputs!$E$21,
  "(ebitda(fpt=ltm,fa_adjusted=y) /
    ebitda(fpt=ltm,fa_adjusted=y,fa_period_offset=-1)) - 1"
)</f>
        <v>0.31492032404522385</v>
      </c>
      <c r="E18" s="583">
        <f>_xll.BQL(
  Inputs!$E$22,
  "(ebitda(fpt=ltm,fa_adjusted=y) /
    ebitda(fpt=ltm,fa_adjusted=y,fa_period_offset=-1)) - 1"
)</f>
        <v>3.8569159797322783E-2</v>
      </c>
      <c r="F18" s="583">
        <f>_xll.BQL(
  Inputs!$E$23,
  "(ebitda(fpt=ltm,fa_adjusted=y) /
    ebitda(fpt=ltm,fa_adjusted=y,fa_period_offset=-1)) - 1"
)</f>
        <v>0.18724559023066489</v>
      </c>
      <c r="G18" s="583">
        <f>_xll.BQL(
  Inputs!$E$24,
  "(ebitda(fpt=ltm,fa_adjusted=y) /
    ebitda(fpt=ltm,fa_adjusted=y,fa_period_offset=-1)) - 1"
)</f>
        <v>-0.11100528260620357</v>
      </c>
      <c r="H18" s="583">
        <f>_xll.BQL(
  Inputs!$E$25,
  "(ebitda(fpt=ltm,fa_adjusted=y) /
    ebitda(fpt=ltm,fa_adjusted=y,fa_period_offset=-1)) - 1"
)</f>
        <v>2.6147733893647329E-2</v>
      </c>
      <c r="I18" s="583">
        <f>_xll.BQL(
  Inputs!$K$21,
  "(ebitda(fpt=ltm,fa_adjusted=y) /
    ebitda(fpt=ltm,fa_adjusted=y,fa_period_offset=-1)) - 1"
)</f>
        <v>-8.3294404929471599E-2</v>
      </c>
      <c r="J18" s="583">
        <f>_xll.BQL(
  Inputs!$K$22,
  "(ebitda(fpt=ltm,fa_adjusted=y) /
    ebitda(fpt=ltm,fa_adjusted=y,fa_period_offset=-1)) - 1"
)</f>
        <v>-3.2209481752832114E-2</v>
      </c>
      <c r="K18" s="583">
        <f>_xll.BQL(
  Inputs!$K$23,
  "(ebitda(fpt=ltm,fa_adjusted=y) /
    ebitda(fpt=ltm,fa_adjusted=y,fa_period_offset=-1)) - 1"
)</f>
        <v>0.45113871524581239</v>
      </c>
      <c r="L18" s="583">
        <f>_xll.BQL(
  Inputs!$K$23,
  "(ebitda(fpt=ltm,fa_adjusted=y) /
    ebitda(fpt=ltm,fa_adjusted=y,fa_period_offset=-1)) - 1"
)</f>
        <v>0.45113871524581239</v>
      </c>
      <c r="M18" s="583">
        <f>_xll.BQL(
  Inputs!$K$24,
  "(ebitda(fpt=ltm,fa_adjusted=y) /
    ebitda(fpt=ltm,fa_adjusted=y,fa_period_offset=-1)) - 1"
)</f>
        <v>-3.3281972265023163E-2</v>
      </c>
      <c r="N18" s="583">
        <f>_xll.BQL(
  Inputs!$K$24,
  "(ebitda(fpt=ltm,fa_adjusted=y) /
    ebitda(fpt=ltm,fa_adjusted=y,fa_period_offset=-1)) - 1"
)</f>
        <v>-3.3281972265023163E-2</v>
      </c>
      <c r="O18" s="583">
        <f>_xll.BQL(
  Inputs!$K$24,
  "(ebitda(fpt=ltm,fa_adjusted=y) /
    ebitda(fpt=ltm,fa_adjusted=y,fa_period_offset=-1)) - 1"
)</f>
        <v>-3.3281972265023163E-2</v>
      </c>
      <c r="P18" s="583">
        <f>_xll.BQL(
  Inputs!$K$24,
  "(ebitda(fpt=ltm,fa_adjusted=y) /
    ebitda(fpt=ltm,fa_adjusted=y,fa_period_offset=-1)) - 1"
)</f>
        <v>-3.3281972265023163E-2</v>
      </c>
      <c r="Q18" s="583">
        <f>_xll.BQL(
  Inputs!$K$24,
  "(ebitda(fpt=ltm,fa_adjusted=y) /
    ebitda(fpt=ltm,fa_adjusted=y,fa_period_offset=-1)) - 1"
)</f>
        <v>-3.3281972265023163E-2</v>
      </c>
      <c r="R18" s="583">
        <f>_xll.BQL(
  Inputs!$K$24,
  "(ebitda(fpt=ltm,fa_adjusted=y) /
    ebitda(fpt=ltm,fa_adjusted=y,fa_period_offset=-1)) - 1"
)</f>
        <v>-3.3281972265023163E-2</v>
      </c>
    </row>
    <row r="19" spans="1:18" ht="15" customHeight="1">
      <c r="B19" s="378" t="s">
        <v>228</v>
      </c>
      <c r="C19" s="583">
        <v>2.4950440709604895</v>
      </c>
      <c r="D19" s="583" cm="1">
        <f t="array" ref="D19">_xll.BDP(Inputs!$E$21,"FREE_CASH_FLOW_1_YEAR_GROWTH")/100</f>
        <v>-8.1030278398699404E-2</v>
      </c>
      <c r="E19" s="583" cm="1">
        <f t="array" ref="E19">_xll.BDP(Inputs!$E$22,"FREE_CASH_FLOW_1_YEAR_GROWTH")/100</f>
        <v>0.12273641851106662</v>
      </c>
      <c r="F19" s="583" t="e" cm="1">
        <f t="array" ref="F19">_xll.BDP(Inputs!$E$23,"FREE_CASH_FLOW_1_YEAR_GROWTH")/100</f>
        <v>#VALUE!</v>
      </c>
      <c r="G19" s="583" t="e" cm="1">
        <f t="array" ref="G19">_xll.BDP(Inputs!$E$24,"FREE_CASH_FLOW_1_YEAR_GROWTH")/100</f>
        <v>#VALUE!</v>
      </c>
      <c r="H19" s="583" cm="1">
        <f t="array" ref="H19">_xll.BDP(Inputs!$E$25,"FREE_CASH_FLOW_1_YEAR_GROWTH")/100</f>
        <v>0.29919010951139102</v>
      </c>
      <c r="I19" s="583" cm="1">
        <f t="array" ref="I19">_xll.BDP(Inputs!$K$21,"FREE_CASH_FLOW_1_YEAR_GROWTH")/100</f>
        <v>-9.3177773383429058E-2</v>
      </c>
      <c r="J19" s="583" cm="1">
        <f t="array" ref="J19">_xll.BDP(Inputs!$K$22,"FREE_CASH_FLOW_1_YEAR_GROWTH")/100</f>
        <v>-0.19963133640552985</v>
      </c>
      <c r="K19" s="583" cm="1">
        <f t="array" ref="K19">_xll.BDP(Inputs!$K$23,"FREE_CASH_FLOW_1_YEAR_GROWTH")/100</f>
        <v>10.293172511021107</v>
      </c>
      <c r="L19" s="583" cm="1">
        <f t="array" ref="L19">_xll.BDP(Inputs!$K$24,"FREE_CASH_FLOW_1_YEAR_GROWTH")/100</f>
        <v>7.9202112056321508E-2</v>
      </c>
      <c r="M19" s="583" cm="1">
        <f t="array" ref="M19">_xll.BDP(Inputs!$K$25,"FREE_CASH_FLOW_1_YEAR_GROWTH")/100</f>
        <v>-1.8855397689549861E-2</v>
      </c>
      <c r="N19" s="583" cm="1">
        <f t="array" ref="N19">_xll.BDP(Inputs!$Q$21,"FREE_CASH_FLOW_1_YEAR_GROWTH")/100</f>
        <v>-9.2756183745583046E-2</v>
      </c>
      <c r="O19" s="583" cm="1">
        <f t="array" ref="O19">_xll.BDP(Inputs!$Q$22,"FREE_CASH_FLOW_1_YEAR_GROWTH")/100</f>
        <v>-0.15003328693336562</v>
      </c>
      <c r="P19" s="583" cm="1">
        <f t="array" ref="P19">_xll.BDP(Inputs!$Q$23,"FREE_CASH_FLOW_1_YEAR_GROWTH")/100</f>
        <v>-0.51359392633630863</v>
      </c>
      <c r="Q19" s="583" cm="1">
        <f t="array" ref="Q19">_xll.BDP(Inputs!$Q$24,"FREE_CASH_FLOW_1_YEAR_GROWTH")/100</f>
        <v>-9.4740634005763699E-2</v>
      </c>
      <c r="R19" s="583" cm="1">
        <f t="array" ref="R19">_xll.BDP(Inputs!$Q$25,"FREE_CASH_FLOW_1_YEAR_GROWTH")/100</f>
        <v>0.16644736842105265</v>
      </c>
    </row>
    <row r="20" spans="1:18" ht="15" customHeight="1">
      <c r="B20" s="378"/>
    </row>
    <row r="21" spans="1:18" ht="15" customHeight="1">
      <c r="A21" s="383" t="s">
        <v>33</v>
      </c>
      <c r="B21" s="598" t="s">
        <v>229</v>
      </c>
      <c r="C21" s="599" t="s">
        <v>230</v>
      </c>
      <c r="D21" s="599" t="str">
        <f t="shared" ref="D21:R21" si="0">D12</f>
        <v>VITAL FARMS INC</v>
      </c>
      <c r="E21" s="599" t="str">
        <f t="shared" si="0"/>
        <v>POST HOLDINGS IN</v>
      </c>
      <c r="F21" s="599" t="str">
        <f t="shared" si="0"/>
        <v>TYSON FOODS-A</v>
      </c>
      <c r="G21" s="599" t="str">
        <f t="shared" si="0"/>
        <v>LAMB WESTON</v>
      </c>
      <c r="H21" s="599" t="str">
        <f t="shared" si="0"/>
        <v>HORMEL FOODS CRP</v>
      </c>
      <c r="I21" s="599" t="str">
        <f t="shared" si="0"/>
        <v>GENERAL MILLS IN</v>
      </c>
      <c r="J21" s="599" t="str">
        <f t="shared" si="0"/>
        <v>CONAGRA BRANDS I</v>
      </c>
      <c r="K21" s="599" t="str">
        <f t="shared" si="0"/>
        <v>PILGRIM'S PRIDE</v>
      </c>
      <c r="L21" s="599" t="str">
        <f t="shared" si="0"/>
        <v>NESTLE SA-REG</v>
      </c>
      <c r="M21" s="599" t="str">
        <f t="shared" si="0"/>
        <v>UNILEVER PLC</v>
      </c>
      <c r="N21" s="599" t="str">
        <f t="shared" si="0"/>
        <v>PEPSICO INC</v>
      </c>
      <c r="O21" s="599" t="str">
        <f t="shared" si="0"/>
        <v>PROCTER &amp; GAMBLE</v>
      </c>
      <c r="P21" s="599" t="str">
        <f t="shared" si="0"/>
        <v>COCA-COLA CO/THE</v>
      </c>
      <c r="Q21" s="599" t="str">
        <f t="shared" si="0"/>
        <v>KIMBERLY-CLARK</v>
      </c>
      <c r="R21" s="599" t="str">
        <f t="shared" si="0"/>
        <v>COLGATE-PALMOLIV</v>
      </c>
    </row>
    <row r="22" spans="1:18" ht="3.95" customHeight="1">
      <c r="A22" s="383"/>
      <c r="B22" s="597"/>
      <c r="C22" s="36"/>
      <c r="D22" s="36"/>
      <c r="E22" s="36"/>
      <c r="F22" s="36"/>
      <c r="G22" s="36"/>
      <c r="H22" s="36"/>
      <c r="I22" s="36"/>
      <c r="J22" s="36"/>
      <c r="K22" s="36"/>
      <c r="L22" s="36"/>
      <c r="M22" s="36"/>
      <c r="N22" s="36"/>
      <c r="O22" s="36"/>
      <c r="P22" s="36"/>
      <c r="Q22" s="36"/>
      <c r="R22" s="36"/>
    </row>
    <row r="23" spans="1:18" ht="15" customHeight="1">
      <c r="B23" s="378" t="s">
        <v>231</v>
      </c>
      <c r="C23" s="583">
        <v>0.43428787965888338</v>
      </c>
      <c r="D23" s="583" cm="1">
        <f t="array" ref="D23">_xll.BDP(Inputs!$E$21,"GROSS_MARGIN")/100</f>
        <v>0.37922372659395331</v>
      </c>
      <c r="E23" s="583" cm="1">
        <f t="array" ref="E23">_xll.BDP(Inputs!$E$22,"GROSS_MARGIN")/100</f>
        <v>0.29092354879018512</v>
      </c>
      <c r="F23" s="583" cm="1">
        <f t="array" ref="F23">_xll.BDP(Inputs!$E$23,"GROSS_MARGIN")/100</f>
        <v>6.803729201448161E-2</v>
      </c>
      <c r="G23" s="583" cm="1">
        <f t="array" ref="G23">_xll.BDP(Inputs!$E$24,"GROSS_MARGIN")/100</f>
        <v>0.21679351448545259</v>
      </c>
      <c r="H23" s="583" cm="1">
        <f t="array" ref="H23">_xll.BDP(Inputs!$E$25,"GROSS_MARGIN")/100</f>
        <v>0.16963110771872059</v>
      </c>
      <c r="I23" s="583" cm="1">
        <f t="array" ref="I23">_xll.BDP(Inputs!$K$21,"GROSS_MARGIN")/100</f>
        <v>0.34551948518469106</v>
      </c>
      <c r="J23" s="583" cm="1">
        <f t="array" ref="J23">_xll.BDP(Inputs!$K$22,"GROSS_MARGIN")/100</f>
        <v>0.25863702121796639</v>
      </c>
      <c r="K23" s="583" cm="1">
        <f t="array" ref="K23">_xll.BDP(Inputs!$K$23,"GROSS_MARGIN")/100</f>
        <v>0.12936174939763545</v>
      </c>
      <c r="L23" s="583" cm="1">
        <f t="array" ref="L23">_xll.BDP(Inputs!$K$24,"GROSS_MARGIN")/100</f>
        <v>0.46936327954644574</v>
      </c>
      <c r="M23" s="583" cm="1">
        <f t="array" ref="M23">_xll.BDP(Inputs!$K$25,"GROSS_MARGIN")/100</f>
        <v>0.45045341584239895</v>
      </c>
      <c r="N23" s="583" cm="1">
        <f t="array" ref="N23">_xll.BDP(Inputs!$Q$21,"GROSS_MARGIN")/100</f>
        <v>0.54553966076599814</v>
      </c>
      <c r="O23" s="583" cm="1">
        <f t="array" ref="O23">_xll.BDP(Inputs!$Q$22,"GROSS_MARGIN")/100</f>
        <v>0.51160362583645769</v>
      </c>
      <c r="P23" s="583" cm="1">
        <f t="array" ref="P23">_xll.BDP(Inputs!$Q$23,"GROSS_MARGIN")/100</f>
        <v>0.61063300822336974</v>
      </c>
      <c r="Q23" s="583" cm="1">
        <f t="array" ref="Q23">_xll.BDP(Inputs!$Q$24,"GROSS_MARGIN")/100</f>
        <v>0.35796191045966697</v>
      </c>
      <c r="R23" s="583" cm="1">
        <f t="array" ref="R23">_xll.BDP(Inputs!$Q$25,"GROSS_MARGIN")/100</f>
        <v>0.60499477637928467</v>
      </c>
    </row>
    <row r="24" spans="1:18" ht="15" customHeight="1">
      <c r="B24" s="378" t="s">
        <v>232</v>
      </c>
      <c r="C24" s="583">
        <v>0.36053037564364115</v>
      </c>
      <c r="D24" s="583" cm="1">
        <f t="array" ref="D24">_xll.BDP(Inputs!$E$21,"OPER_MARGIN")/100</f>
        <v>0.10481818616641406</v>
      </c>
      <c r="E24" s="583" cm="1">
        <f t="array" ref="E24">_xll.BDP(Inputs!$E$22,"OPER_MARGIN")/100</f>
        <v>0.10015525010413116</v>
      </c>
      <c r="F24" s="583" cm="1">
        <f t="array" ref="F24">_xll.BDP(Inputs!$E$23,"OPER_MARGIN")/100</f>
        <v>2.6430809056632087E-2</v>
      </c>
      <c r="G24" s="583" cm="1">
        <f t="array" ref="G24">_xll.BDP(Inputs!$E$24,"OPER_MARGIN")/100</f>
        <v>0.10309550013175638</v>
      </c>
      <c r="H24" s="583" cm="1">
        <f t="array" ref="H24">_xll.BDP(Inputs!$E$25,"OPER_MARGIN")/100</f>
        <v>8.9585620827198051E-2</v>
      </c>
      <c r="I24" s="583" cm="1">
        <f t="array" ref="I24">_xll.BDP(Inputs!$K$21,"OPER_MARGIN")/100</f>
        <v>0.16959346422669941</v>
      </c>
      <c r="J24" s="583" cm="1">
        <f t="array" ref="J24">_xll.BDP(Inputs!$K$22,"OPER_MARGIN")/100</f>
        <v>0.11750826674014882</v>
      </c>
      <c r="K24" s="583" cm="1">
        <f t="array" ref="K24">_xll.BDP(Inputs!$K$23,"OPER_MARGIN")/100</f>
        <v>8.4240098787965803E-2</v>
      </c>
      <c r="L24" s="583" cm="1">
        <f t="array" ref="L24">_xll.BDP(Inputs!$K$24,"OPER_MARGIN")/100</f>
        <v>0.16053205407762752</v>
      </c>
      <c r="M24" s="583" cm="1">
        <f t="array" ref="M24">_xll.BDP(Inputs!$K$25,"OPER_MARGIN")/100</f>
        <v>0.15470449795098831</v>
      </c>
      <c r="N24" s="583" cm="1">
        <f t="array" ref="N24">_xll.BDP(Inputs!$Q$21,"OPER_MARGIN")/100</f>
        <v>0.14029873494894071</v>
      </c>
      <c r="O24" s="583" cm="1">
        <f t="array" ref="O24">_xll.BDP(Inputs!$Q$22,"OPER_MARGIN")/100</f>
        <v>0.24264391818138675</v>
      </c>
      <c r="P24" s="583" cm="1">
        <f t="array" ref="P24">_xll.BDP(Inputs!$Q$23,"OPER_MARGIN")/100</f>
        <v>0.21232018019166612</v>
      </c>
      <c r="Q24" s="583" cm="1">
        <f t="array" ref="Q24">_xll.BDP(Inputs!$Q$24,"OPER_MARGIN")/100</f>
        <v>0.1600358959018845</v>
      </c>
      <c r="R24" s="583" cm="1">
        <f t="array" ref="R24">_xll.BDP(Inputs!$Q$25,"OPER_MARGIN")/100</f>
        <v>0.21232774488831402</v>
      </c>
    </row>
    <row r="25" spans="1:18" ht="15" customHeight="1">
      <c r="B25" s="378" t="s">
        <v>233</v>
      </c>
      <c r="C25" s="583">
        <v>0.38259127123326875</v>
      </c>
      <c r="D25" s="583" cm="1">
        <f t="array" ref="D25">_xll.BDP(Inputs!$E$21,"EBITDA_MARGIN")/100</f>
        <v>0.13396671768394716</v>
      </c>
      <c r="E25" s="583" cm="1">
        <f t="array" ref="E25">_xll.BDP(Inputs!$E$22,"EBITDA_MARGIN")/100</f>
        <v>0.16715901631066005</v>
      </c>
      <c r="F25" s="583" cm="1">
        <f t="array" ref="F25">_xll.BDP(Inputs!$E$23,"EBITDA_MARGIN")/100</f>
        <v>5.1933660842906217E-2</v>
      </c>
      <c r="G25" s="583" cm="1">
        <f t="array" ref="G25">_xll.BDP(Inputs!$E$24,"EBITDA_MARGIN")/100</f>
        <v>0.15825911871757145</v>
      </c>
      <c r="H25" s="583" cm="1">
        <f t="array" ref="H25">_xll.BDP(Inputs!$E$25,"EBITDA_MARGIN")/100</f>
        <v>0.10547170108611371</v>
      </c>
      <c r="I25" s="583" cm="1">
        <f t="array" ref="I25">_xll.BDP(Inputs!$K$21,"EBITDA_MARGIN")/100</f>
        <v>0.24729588640634792</v>
      </c>
      <c r="J25" s="583" cm="1">
        <f t="array" ref="J25">_xll.BDP(Inputs!$K$22,"EBITDA_MARGIN")/100</f>
        <v>0.14818566874808961</v>
      </c>
      <c r="K25" s="583" cm="1">
        <f t="array" ref="K25">_xll.BDP(Inputs!$K$23,"EBITDA_MARGIN")/100</f>
        <v>0.11949838637689832</v>
      </c>
      <c r="L25" s="583" cm="1">
        <f t="array" ref="L25">_xll.BDP(Inputs!$K$24,"EBITDA_MARGIN")/100</f>
        <v>0.19486462997392709</v>
      </c>
      <c r="M25" s="583" t="e" cm="1">
        <f t="array" ref="M25">_xll.BDP(Inputs!$K$25,"EBITDA_MARGIN")/100</f>
        <v>#VALUE!</v>
      </c>
      <c r="N25" s="583" cm="1">
        <f t="array" ref="N25">_xll.BDP(Inputs!$Q$21,"EBITDA_MARGIN")/100</f>
        <v>0.15004141779657323</v>
      </c>
      <c r="O25" s="583" cm="1">
        <f t="array" ref="O25">_xll.BDP(Inputs!$Q$22,"EBITDA_MARGIN")/100</f>
        <v>0.27642257130653503</v>
      </c>
      <c r="P25" s="583" cm="1">
        <f t="array" ref="P25">_xll.BDP(Inputs!$Q$23,"EBITDA_MARGIN")/100</f>
        <v>0.3027495644044027</v>
      </c>
      <c r="Q25" s="583" cm="1">
        <f t="array" ref="Q25">_xll.BDP(Inputs!$Q$24,"EBITDA_MARGIN")/100</f>
        <v>0.20711751310702747</v>
      </c>
      <c r="R25" s="583" cm="1">
        <f t="array" ref="R25">_xll.BDP(Inputs!$Q$25,"EBITDA_MARGIN")/100</f>
        <v>0.24412441244124414</v>
      </c>
    </row>
    <row r="26" spans="1:18" ht="15" customHeight="1">
      <c r="B26" s="378" t="s">
        <v>234</v>
      </c>
      <c r="C26" s="583">
        <v>0.28626957320528357</v>
      </c>
      <c r="D26" s="583" cm="1">
        <f t="array" ref="D26">_xll.BDP(Inputs!$E$21,"NET_INCOME_TO_COMMON_MARGIN")/100</f>
        <v>8.8054401483077041E-2</v>
      </c>
      <c r="E26" s="583" cm="1">
        <f t="array" ref="E26">_xll.BDP(Inputs!$E$22,"NET_INCOME_TO_COMMON_MARGIN")/100</f>
        <v>4.6284726166584626E-2</v>
      </c>
      <c r="F26" s="583" cm="1">
        <f t="array" ref="F26">_xll.BDP(Inputs!$E$23,"NET_INCOME_TO_COMMON_MARGIN")/100</f>
        <v>1.5006846873886211E-2</v>
      </c>
      <c r="G26" s="583" cm="1">
        <f t="array" ref="G26">_xll.BDP(Inputs!$E$24,"NET_INCOME_TO_COMMON_MARGIN")/100</f>
        <v>5.5368685381240984E-2</v>
      </c>
      <c r="H26" s="583" cm="1">
        <f t="array" ref="H26">_xll.BDP(Inputs!$E$25,"NET_INCOME_TO_COMMON_MARGIN")/100</f>
        <v>6.7532229598406879E-2</v>
      </c>
      <c r="I26" s="583" cm="1">
        <f t="array" ref="I26">_xll.BDP(Inputs!$K$21,"NET_INCOME_TO_COMMON_MARGIN")/100</f>
        <v>0.11778350250941673</v>
      </c>
      <c r="J26" s="583" cm="1">
        <f t="array" ref="J26">_xll.BDP(Inputs!$K$22,"NET_INCOME_TO_COMMON_MARGIN")/100</f>
        <v>9.9235326536235888E-2</v>
      </c>
      <c r="K26" s="583" cm="1">
        <f t="array" ref="K26">_xll.BDP(Inputs!$K$23,"NET_INCOME_TO_COMMON_MARGIN")/100</f>
        <v>6.0768560037421926E-2</v>
      </c>
      <c r="L26" s="583" cm="1">
        <f t="array" ref="L26">_xll.BDP(Inputs!$K$24,"NET_INCOME_TO_COMMON_MARGIN")/100</f>
        <v>0.11866550370693414</v>
      </c>
      <c r="M26" s="583" cm="1">
        <f t="array" ref="M26">_xll.BDP(Inputs!$K$25,"NET_INCOME_TO_COMMON_MARGIN")/100</f>
        <v>9.4534323003242215E-2</v>
      </c>
      <c r="N26" s="583" cm="1">
        <f t="array" ref="N26">_xll.BDP(Inputs!$Q$21,"NET_INCOME_TO_COMMON_MARGIN")/100</f>
        <v>0.10427417423302197</v>
      </c>
      <c r="O26" s="583" cm="1">
        <f t="array" ref="O26">_xll.BDP(Inputs!$Q$22,"NET_INCOME_TO_COMMON_MARGIN")/100</f>
        <v>0.18607327606663188</v>
      </c>
      <c r="P26" s="583" cm="1">
        <f t="array" ref="P26">_xll.BDP(Inputs!$Q$23,"NET_INCOME_TO_COMMON_MARGIN")/100</f>
        <v>0.22589830220352308</v>
      </c>
      <c r="Q26" s="583" cm="1">
        <f t="array" ref="Q26">_xll.BDP(Inputs!$Q$24,"NET_INCOME_TO_COMMON_MARGIN")/100</f>
        <v>0.12688204207797388</v>
      </c>
      <c r="R26" s="583" cm="1">
        <f t="array" ref="R26">_xll.BDP(Inputs!$Q$25,"NET_INCOME_TO_COMMON_MARGIN")/100</f>
        <v>0.14372419282622756</v>
      </c>
    </row>
    <row r="27" spans="1:18" ht="15" customHeight="1">
      <c r="B27" s="378" t="s">
        <v>235</v>
      </c>
      <c r="C27" s="583" t="e">
        <v>#VALUE!</v>
      </c>
      <c r="D27" s="583" cm="1">
        <f t="array" ref="D27">_xll.BDP(Inputs!$E$21,"SG&amp;A_AS_%_TOTAL_SALES")/100</f>
        <v>0.27440554042753912</v>
      </c>
      <c r="E27" s="583" cm="1">
        <f t="array" ref="E27">_xll.BDP(Inputs!$E$22,"SG&amp;A_AS_%_TOTAL_SALES")/100</f>
        <v>0.16792255165537001</v>
      </c>
      <c r="F27" s="583" cm="1">
        <f t="array" ref="F27">_xll.BDP(Inputs!$E$23,"SG&amp;A_AS_%_TOTAL_SALES")/100</f>
        <v>3.9618075747059597E-2</v>
      </c>
      <c r="G27" s="583" cm="1">
        <f t="array" ref="G27">_xll.BDP(Inputs!$E$24,"SG&amp;A_AS_%_TOTAL_SALES")/100</f>
        <v>8.7594748345294737E-2</v>
      </c>
      <c r="H27" s="583" cm="1">
        <f t="array" ref="H27">_xll.BDP(Inputs!$E$25,"SG&amp;A_AS_%_TOTAL_SALES")/100</f>
        <v>8.4331106384917032E-2</v>
      </c>
      <c r="I27" s="583" cm="1">
        <f t="array" ref="I27">_xll.BDP(Inputs!$K$21,"SG&amp;A_AS_%_TOTAL_SALES")/100</f>
        <v>0.17682920571059088</v>
      </c>
      <c r="J27" s="583" cm="1">
        <f t="array" ref="J27">_xll.BDP(Inputs!$K$22,"SG&amp;A_AS_%_TOTAL_SALES")/100</f>
        <v>0.13237978782033619</v>
      </c>
      <c r="K27" s="583" cm="1">
        <f t="array" ref="K27">_xll.BDP(Inputs!$K$23,"SG&amp;A_AS_%_TOTAL_SALES")/100</f>
        <v>3.9898108829305882E-2</v>
      </c>
      <c r="L27" s="583" cm="1">
        <f t="array" ref="L27">_xll.BDP(Inputs!$K$24,"SG&amp;A_AS_%_TOTAL_SALES")/100</f>
        <v>0.27997165285651987</v>
      </c>
      <c r="M27" s="583" cm="1">
        <f t="array" ref="M27">_xll.BDP(Inputs!$K$25,"SG&amp;A_AS_%_TOTAL_SALES")/100</f>
        <v>0.61705699379536216</v>
      </c>
      <c r="N27" s="583" cm="1">
        <f t="array" ref="N27">_xll.BDP(Inputs!$Q$21,"SG&amp;A_AS_%_TOTAL_SALES")/100</f>
        <v>0.39603065734752979</v>
      </c>
      <c r="O27" s="583" cm="1">
        <f t="array" ref="O27">_xll.BDP(Inputs!$Q$22,"SG&amp;A_AS_%_TOTAL_SALES")/100</f>
        <v>0.24404394665654217</v>
      </c>
      <c r="P27" s="583" cm="1">
        <f t="array" ref="P27">_xll.BDP(Inputs!$Q$23,"SG&amp;A_AS_%_TOTAL_SALES")/100</f>
        <v>0.30985316929092027</v>
      </c>
      <c r="Q27" s="583" cm="1">
        <f t="array" ref="Q27">_xll.BDP(Inputs!$Q$24,"SG&amp;A_AS_%_TOTAL_SALES")/100</f>
        <v>0.21492671253365242</v>
      </c>
      <c r="R27" s="583" cm="1">
        <f t="array" ref="R27">_xll.BDP(Inputs!$Q$25,"SG&amp;A_AS_%_TOTAL_SALES")/100</f>
        <v>0.36684742052634201</v>
      </c>
    </row>
    <row r="28" spans="1:18" ht="15" customHeight="1">
      <c r="B28" s="378" t="s">
        <v>236</v>
      </c>
      <c r="C28" s="583" t="e">
        <v>#VALUE!</v>
      </c>
      <c r="D28" s="583" t="e" cm="1">
        <f t="array" ref="D28">_xll.BDP(Inputs!$E$21,"TRAILING_12M_R&amp;D_%_SALES")/100</f>
        <v>#VALUE!</v>
      </c>
      <c r="E28" s="583" t="e" cm="1">
        <f t="array" ref="E28">_xll.BDP(Inputs!$E$22,"TRAILING_12M_R&amp;D_%_SALES")/100</f>
        <v>#VALUE!</v>
      </c>
      <c r="F28" s="583" t="e" cm="1">
        <f t="array" ref="F28">_xll.BDP(Inputs!$E$23,"TRAILING_12M_R&amp;D_%_SALES")/100</f>
        <v>#VALUE!</v>
      </c>
      <c r="G28" s="583" t="e" cm="1">
        <f t="array" ref="G28">_xll.BDP(Inputs!$E$24,"TRAILING_12M_R&amp;D_%_SALES")/100</f>
        <v>#VALUE!</v>
      </c>
      <c r="H28" s="583" t="e" cm="1">
        <f t="array" ref="H28">_xll.BDP(Inputs!$E$25,"TRAILING_12M_R&amp;D_%_SALES")/100</f>
        <v>#VALUE!</v>
      </c>
      <c r="I28" s="583" t="e" cm="1">
        <f t="array" ref="I28">_xll.BDP(Inputs!$K$21,"TRAILING_12M_R&amp;D_%_SALES")/100</f>
        <v>#VALUE!</v>
      </c>
      <c r="J28" s="583" t="e" cm="1">
        <f t="array" ref="J28">_xll.BDP(Inputs!$K$22,"TRAILING_12M_R&amp;D_%_SALES")/100</f>
        <v>#VALUE!</v>
      </c>
      <c r="K28" s="583" t="e" cm="1">
        <f t="array" ref="K28">_xll.BDP(Inputs!$K$23,"TRAILING_12M_R&amp;D_%_SALES")/100</f>
        <v>#VALUE!</v>
      </c>
      <c r="L28" s="583" cm="1">
        <f t="array" ref="L28">_xll.BDP(Inputs!$K$24,"TRAILING_12M_R&amp;D_%_SALES")/100</f>
        <v>1.7854981902991233E-2</v>
      </c>
      <c r="M28" s="583" t="e" cm="1">
        <f t="array" ref="M28">_xll.BDP(Inputs!$K$25,"TRAILING_12M_R&amp;D_%_SALES")/100</f>
        <v>#VALUE!</v>
      </c>
      <c r="N28" s="583" t="e" cm="1">
        <f t="array" ref="N28">_xll.BDP(Inputs!$Q$21,"TRAILING_12M_R&amp;D_%_SALES")/100</f>
        <v>#VALUE!</v>
      </c>
      <c r="O28" s="583" t="e" cm="1">
        <f t="array" ref="O28">_xll.BDP(Inputs!$Q$22,"TRAILING_12M_R&amp;D_%_SALES")/100</f>
        <v>#VALUE!</v>
      </c>
      <c r="P28" s="583" t="e" cm="1">
        <f t="array" ref="P28">_xll.BDP(Inputs!$Q$23,"TRAILING_12M_R&amp;D_%_SALES")/100</f>
        <v>#VALUE!</v>
      </c>
      <c r="Q28" s="583" t="e" cm="1">
        <f t="array" ref="Q28">_xll.BDP(Inputs!$Q$24,"TRAILING_12M_R&amp;D_%_SALES")/100</f>
        <v>#VALUE!</v>
      </c>
      <c r="R28" s="583" t="e" cm="1">
        <f t="array" ref="R28">_xll.BDP(Inputs!$Q$25,"TRAILING_12M_R&amp;D_%_SALES")/100</f>
        <v>#VALUE!</v>
      </c>
    </row>
    <row r="29" spans="1:18" ht="15" customHeight="1">
      <c r="B29" s="378"/>
    </row>
    <row r="30" spans="1:18" ht="15" customHeight="1">
      <c r="A30" s="383" t="s">
        <v>33</v>
      </c>
      <c r="B30" s="598" t="s">
        <v>237</v>
      </c>
      <c r="C30" s="599" t="s">
        <v>230</v>
      </c>
      <c r="D30" s="599" t="str">
        <f t="shared" ref="D30:R30" si="1">D21</f>
        <v>VITAL FARMS INC</v>
      </c>
      <c r="E30" s="599" t="str">
        <f t="shared" si="1"/>
        <v>POST HOLDINGS IN</v>
      </c>
      <c r="F30" s="599" t="str">
        <f t="shared" si="1"/>
        <v>TYSON FOODS-A</v>
      </c>
      <c r="G30" s="599" t="str">
        <f t="shared" si="1"/>
        <v>LAMB WESTON</v>
      </c>
      <c r="H30" s="599" t="str">
        <f t="shared" si="1"/>
        <v>HORMEL FOODS CRP</v>
      </c>
      <c r="I30" s="599" t="str">
        <f t="shared" si="1"/>
        <v>GENERAL MILLS IN</v>
      </c>
      <c r="J30" s="599" t="str">
        <f t="shared" si="1"/>
        <v>CONAGRA BRANDS I</v>
      </c>
      <c r="K30" s="599" t="str">
        <f t="shared" si="1"/>
        <v>PILGRIM'S PRIDE</v>
      </c>
      <c r="L30" s="599" t="str">
        <f t="shared" si="1"/>
        <v>NESTLE SA-REG</v>
      </c>
      <c r="M30" s="599" t="str">
        <f t="shared" si="1"/>
        <v>UNILEVER PLC</v>
      </c>
      <c r="N30" s="599" t="str">
        <f t="shared" si="1"/>
        <v>PEPSICO INC</v>
      </c>
      <c r="O30" s="599" t="str">
        <f t="shared" si="1"/>
        <v>PROCTER &amp; GAMBLE</v>
      </c>
      <c r="P30" s="599" t="str">
        <f t="shared" si="1"/>
        <v>COCA-COLA CO/THE</v>
      </c>
      <c r="Q30" s="599" t="str">
        <f t="shared" si="1"/>
        <v>KIMBERLY-CLARK</v>
      </c>
      <c r="R30" s="599" t="str">
        <f t="shared" si="1"/>
        <v>COLGATE-PALMOLIV</v>
      </c>
    </row>
    <row r="31" spans="1:18" ht="3.95" customHeight="1">
      <c r="A31" s="383"/>
      <c r="B31" s="597"/>
      <c r="C31" s="36"/>
      <c r="D31" s="36"/>
      <c r="E31" s="36"/>
      <c r="F31" s="36"/>
      <c r="G31" s="36"/>
      <c r="H31" s="36"/>
      <c r="I31" s="36"/>
      <c r="J31" s="36"/>
      <c r="K31" s="36"/>
      <c r="L31" s="36"/>
      <c r="M31" s="36"/>
      <c r="N31" s="36"/>
      <c r="O31" s="36"/>
      <c r="P31" s="36"/>
      <c r="Q31" s="36"/>
      <c r="R31" s="36"/>
    </row>
    <row r="32" spans="1:18" ht="15" customHeight="1">
      <c r="B32" s="378" t="s">
        <v>238</v>
      </c>
      <c r="C32" s="583">
        <v>0.49631534413701667</v>
      </c>
      <c r="D32" s="583" cm="1">
        <f t="array" ref="D32">_xll.BDP(Inputs!$E$21,"RETURN_ON_INV_CAPITAL")/100</f>
        <v>0.16569802864399027</v>
      </c>
      <c r="E32" s="583" cm="1">
        <f t="array" ref="E32">_xll.BDP(Inputs!$E$22,"RETURN_ON_INV_CAPITAL")/100</f>
        <v>5.8291058339533637E-2</v>
      </c>
      <c r="F32" s="583" cm="1">
        <f t="array" ref="F32">_xll.BDP(Inputs!$E$23,"RETURN_ON_INV_CAPITAL")/100</f>
        <v>3.3444230316658427E-2</v>
      </c>
      <c r="G32" s="583" cm="1">
        <f t="array" ref="G32">_xll.BDP(Inputs!$E$24,"RETURN_ON_INV_CAPITAL")/100</f>
        <v>7.194642809999939E-2</v>
      </c>
      <c r="H32" s="583" cm="1">
        <f t="array" ref="H32">_xll.BDP(Inputs!$E$25,"RETURN_ON_INV_CAPITAL")/100</f>
        <v>7.2628487945251105E-2</v>
      </c>
      <c r="I32" s="583" cm="1">
        <f t="array" ref="I32">_xll.BDP(Inputs!$K$21,"RETURN_ON_INV_CAPITAL")/100</f>
        <v>0.14140226193036115</v>
      </c>
      <c r="J32" s="583" cm="1">
        <f t="array" ref="J32">_xll.BDP(Inputs!$K$22,"RETURN_ON_INV_CAPITAL")/100</f>
        <v>5.619178094432517E-2</v>
      </c>
      <c r="K32" s="583" cm="1">
        <f t="array" ref="K32">_xll.BDP(Inputs!$K$23,"RETURN_ON_INV_CAPITAL")/100</f>
        <v>0.17544145877560871</v>
      </c>
      <c r="L32" s="583" cm="1">
        <f t="array" ref="L32">_xll.BDP(Inputs!$K$24,"RETURN_ON_INV_CAPITAL")/100</f>
        <v>0.11479441462018616</v>
      </c>
      <c r="M32" s="583" t="e" cm="1">
        <f t="array" ref="M32">_xll.BDP(Inputs!$K$25,"RETURN_ON_INV_CAPITAL")/100</f>
        <v>#VALUE!</v>
      </c>
      <c r="N32" s="583" cm="1">
        <f t="array" ref="N32">_xll.BDP(Inputs!$Q$21,"RETURN_ON_INV_CAPITAL")/100</f>
        <v>0.1270012982149942</v>
      </c>
      <c r="O32" s="583" cm="1">
        <f t="array" ref="O32">_xll.BDP(Inputs!$Q$22,"RETURN_ON_INV_CAPITAL")/100</f>
        <v>0.18861607446695461</v>
      </c>
      <c r="P32" s="583" cm="1">
        <f t="array" ref="P32">_xll.BDP(Inputs!$Q$23,"RETURN_ON_INV_CAPITAL")/100</f>
        <v>0.13661658923811562</v>
      </c>
      <c r="Q32" s="583" cm="1">
        <f t="array" ref="Q32">_xll.BDP(Inputs!$Q$24,"RETURN_ON_INV_CAPITAL")/100</f>
        <v>0.29099642432542827</v>
      </c>
      <c r="R32" s="583" cm="1">
        <f t="array" ref="R32">_xll.BDP(Inputs!$Q$25,"RETURN_ON_INV_CAPITAL")/100</f>
        <v>0.33781178271211681</v>
      </c>
    </row>
    <row r="33" spans="1:18" ht="15" customHeight="1">
      <c r="B33" s="378" t="s">
        <v>239</v>
      </c>
      <c r="C33" s="583">
        <v>0.39078220820008441</v>
      </c>
      <c r="D33" s="583" cm="1">
        <f t="array" ref="D33">_xll.BDP(Inputs!$E$21,"CF_FREE_CASH_FLOW")/_xll.BDP(Inputs!$E$21,"TOTAL_INVESTED_CAPITAL")</f>
        <v>0.12524839882291844</v>
      </c>
      <c r="E33" s="583" cm="1">
        <f t="array" ref="E33">_xll.BDP(Inputs!$E$22,"CF_FREE_CASH_FLOW")/_xll.BDP(Inputs!$E$22,"TOTAL_INVESTED_CAPITAL")</f>
        <v>4.2492702119558322E-2</v>
      </c>
      <c r="F33" s="583" cm="1">
        <f t="array" ref="F33">_xll.BDP(Inputs!$E$23,"CF_FREE_CASH_FLOW")/_xll.BDP(Inputs!$E$23,"TOTAL_INVESTED_CAPITAL")</f>
        <v>5.0218716632797158E-2</v>
      </c>
      <c r="G33" s="583" cm="1">
        <f t="array" ref="G33">_xll.BDP(Inputs!$E$24,"CF_FREE_CASH_FLOW")/_xll.BDP(Inputs!$E$24,"TOTAL_INVESTED_CAPITAL")</f>
        <v>3.8396075290348407E-2</v>
      </c>
      <c r="H33" s="583" cm="1">
        <f t="array" ref="H33">_xll.BDP(Inputs!$E$25,"CF_FREE_CASH_FLOW")/_xll.BDP(Inputs!$E$25,"TOTAL_INVESTED_CAPITAL")</f>
        <v>8.6889315429190456E-2</v>
      </c>
      <c r="I33" s="583" cm="1">
        <f t="array" ref="I33">_xll.BDP(Inputs!$K$21,"CF_FREE_CASH_FLOW")/_xll.BDP(Inputs!$K$21,"TOTAL_INVESTED_CAPITAL")</f>
        <v>8.66690857959313E-2</v>
      </c>
      <c r="J33" s="583" cm="1">
        <f t="array" ref="J33">_xll.BDP(Inputs!$K$22,"CF_FREE_CASH_FLOW")/_xll.BDP(Inputs!$K$22,"TOTAL_INVESTED_CAPITAL")</f>
        <v>7.5526616377435948E-2</v>
      </c>
      <c r="K33" s="583" cm="1">
        <f t="array" ref="K33">_xll.BDP(Inputs!$K$23,"CF_FREE_CASH_FLOW")/_xll.BDP(Inputs!$K$23,"TOTAL_INVESTED_CAPITAL")</f>
        <v>0.18172820004369233</v>
      </c>
      <c r="L33" s="583" cm="1">
        <f t="array" ref="L33">_xll.BDP(Inputs!$K$24,"CF_FREE_CASH_FLOW")/_xll.BDP(Inputs!$K$24,"TOTAL_INVESTED_CAPITAL")</f>
        <v>0.10351522199921218</v>
      </c>
      <c r="M33" s="583" cm="1">
        <f t="array" ref="M33">_xll.BDP(Inputs!$K$25,"CF_FREE_CASH_FLOW")/_xll.BDP(Inputs!$K$25,"TOTAL_INVESTED_CAPITAL")</f>
        <v>0.1253860512472425</v>
      </c>
      <c r="N33" s="583" cm="1">
        <f t="array" ref="N33">_xll.BDP(Inputs!$Q$21,"CF_FREE_CASH_FLOW")/_xll.BDP(Inputs!$Q$21,"TOTAL_INVESTED_CAPITAL")</f>
        <v>0.10992354740061162</v>
      </c>
      <c r="O33" s="583" cm="1">
        <f t="array" ref="O33">_xll.BDP(Inputs!$Q$22,"CF_FREE_CASH_FLOW")/_xll.BDP(Inputs!$Q$22,"TOTAL_INVESTED_CAPITAL")</f>
        <v>0.15792906461552303</v>
      </c>
      <c r="P33" s="583" cm="1">
        <f t="array" ref="P33">_xll.BDP(Inputs!$Q$23,"CF_FREE_CASH_FLOW")/_xll.BDP(Inputs!$Q$23,"TOTAL_INVESTED_CAPITAL")</f>
        <v>6.3087159015302721E-2</v>
      </c>
      <c r="Q33" s="583" cm="1">
        <f t="array" ref="Q33">_xll.BDP(Inputs!$Q$24,"CF_FREE_CASH_FLOW")/_xll.BDP(Inputs!$Q$24,"TOTAL_INVESTED_CAPITAL")</f>
        <v>0.2836983517724091</v>
      </c>
      <c r="R33" s="583" cm="1">
        <f t="array" ref="R33">_xll.BDP(Inputs!$Q$25,"CF_FREE_CASH_FLOW")/_xll.BDP(Inputs!$Q$25,"TOTAL_INVESTED_CAPITAL")</f>
        <v>0.36586875773834088</v>
      </c>
    </row>
    <row r="34" spans="1:18" ht="15" customHeight="1">
      <c r="B34" s="378" t="s">
        <v>240</v>
      </c>
      <c r="C34" s="583">
        <v>0.5719646533699273</v>
      </c>
      <c r="D34" s="583" cm="1">
        <f t="array" ref="D34">_xll.BDP(Inputs!$E$21,"IS_OPER_INC")/_xll.BDP(Inputs!$E$21,"CAPITAL_EMPLOYED")</f>
        <v>0.20720550357014772</v>
      </c>
      <c r="E34" s="583" cm="1">
        <f t="array" ref="E34">_xll.BDP(Inputs!$E$22,"IS_OPER_INC")/_xll.BDP(Inputs!$E$22,"CAPITAL_EMPLOYED")</f>
        <v>0.19516454326331839</v>
      </c>
      <c r="F34" s="583" cm="1">
        <f t="array" ref="F34">_xll.BDP(Inputs!$E$23,"IS_OPER_INC")/_xll.BDP(Inputs!$E$23,"CAPITAL_EMPLOYED")</f>
        <v>0.10633962264150944</v>
      </c>
      <c r="G34" s="583" cm="1">
        <f t="array" ref="G34">_xll.BDP(Inputs!$E$24,"IS_OPER_INC")/_xll.BDP(Inputs!$E$24,"CAPITAL_EMPLOYED")</f>
        <v>0.15048532705839765</v>
      </c>
      <c r="H34" s="583" cm="1">
        <f t="array" ref="H34">_xll.BDP(Inputs!$E$25,"IS_OPER_INC")/_xll.BDP(Inputs!$E$25,"CAPITAL_EMPLOYED")</f>
        <v>0.25489656937017446</v>
      </c>
      <c r="I34" s="583" cm="1">
        <f t="array" ref="I34">_xll.BDP(Inputs!$K$21,"IS_OPER_INC")/_xll.BDP(Inputs!$K$21,"CAPITAL_EMPLOYED")</f>
        <v>3.8276580958999324</v>
      </c>
      <c r="J34" s="583" cm="1">
        <f t="array" ref="J34">_xll.BDP(Inputs!$K$22,"IS_OPER_INC")/_xll.BDP(Inputs!$K$22,"CAPITAL_EMPLOYED")</f>
        <v>0.45091365694081881</v>
      </c>
      <c r="K34" s="583" cm="1">
        <f t="array" ref="K34">_xll.BDP(Inputs!$K$23,"IS_OPER_INC")/_xll.BDP(Inputs!$K$23,"CAPITAL_EMPLOYED")</f>
        <v>0.29082135697284672</v>
      </c>
      <c r="L34" s="583" cm="1">
        <f t="array" ref="L34">_xll.BDP(Inputs!$K$24,"IS_OPER_INC")/_xll.BDP(Inputs!$K$24,"CAPITAL_EMPLOYED")</f>
        <v>0.79895816376363338</v>
      </c>
      <c r="M34" s="583" cm="1">
        <f t="array" ref="M34">_xll.BDP(Inputs!$K$25,"IS_OPER_INC")/_xll.BDP(Inputs!$K$25,"CAPITAL_EMPLOYED")</f>
        <v>1.868415821904194</v>
      </c>
      <c r="N34" s="583" cm="1">
        <f t="array" ref="N34">_xll.BDP(Inputs!$Q$21,"IS_OPER_INC")/_xll.BDP(Inputs!$Q$21,"CAPITAL_EMPLOYED")</f>
        <v>0.62524865363155602</v>
      </c>
      <c r="O34" s="583" cm="1">
        <f t="array" ref="O34">_xll.BDP(Inputs!$Q$22,"IS_OPER_INC")/_xll.BDP(Inputs!$Q$22,"CAPITAL_EMPLOYED")</f>
        <v>1.4446877649053405</v>
      </c>
      <c r="P34" s="583" cm="1">
        <f t="array" ref="P34">_xll.BDP(Inputs!$Q$23,"IS_OPER_INC")/_xll.BDP(Inputs!$Q$23,"CAPITAL_EMPLOYED")</f>
        <v>0.64677325393229335</v>
      </c>
      <c r="Q34" s="583" cm="1">
        <f t="array" ref="Q34">_xll.BDP(Inputs!$Q$24,"IS_OPER_INC")/_xll.BDP(Inputs!$Q$24,"CAPITAL_EMPLOYED")</f>
        <v>0.68254305762279399</v>
      </c>
      <c r="R34" s="583" cm="1">
        <f t="array" ref="R34">_xll.BDP(Inputs!$Q$25,"IS_OPER_INC")/_xll.BDP(Inputs!$Q$25,"CAPITAL_EMPLOYED")</f>
        <v>1.1381333333333334</v>
      </c>
    </row>
    <row r="35" spans="1:18" ht="15" customHeight="1">
      <c r="B35" s="378" t="s">
        <v>241</v>
      </c>
      <c r="C35" s="583">
        <v>0.59880359234065272</v>
      </c>
      <c r="D35" s="583" cm="1">
        <f t="array" ref="D35">_xll.BDP(Inputs!$E$21,"IS_OPER_INC")/_xll.BDP(Inputs!$E$21,"NET_ASSETS")</f>
        <v>0.23598785007166673</v>
      </c>
      <c r="E35" s="583" cm="1">
        <f t="array" ref="E35">_xll.BDP(Inputs!$E$22,"IS_OPER_INC")/_xll.BDP(Inputs!$E$22,"NET_ASSETS")</f>
        <v>0.19347523955818891</v>
      </c>
      <c r="F35" s="583" cm="1">
        <f t="array" ref="F35">_xll.BDP(Inputs!$E$23,"IS_OPER_INC")/_xll.BDP(Inputs!$E$23,"NET_ASSETS")</f>
        <v>7.6104569514961654E-2</v>
      </c>
      <c r="G35" s="583" cm="1">
        <f t="array" ref="G35">_xll.BDP(Inputs!$E$24,"IS_OPER_INC")/_xll.BDP(Inputs!$E$24,"NET_ASSETS")</f>
        <v>0.38274730966219717</v>
      </c>
      <c r="H35" s="583" cm="1">
        <f t="array" ref="H35">_xll.BDP(Inputs!$E$25,"IS_OPER_INC")/_xll.BDP(Inputs!$E$25,"NET_ASSETS")</f>
        <v>0.13342462090876947</v>
      </c>
      <c r="I35" s="583" cm="1">
        <f t="array" ref="I35">_xll.BDP(Inputs!$K$21,"IS_OPER_INC")/_xll.BDP(Inputs!$K$21,"NET_ASSETS")</f>
        <v>0.3587806149035957</v>
      </c>
      <c r="J35" s="583" cm="1">
        <f t="array" ref="J35">_xll.BDP(Inputs!$K$22,"IS_OPER_INC")/_xll.BDP(Inputs!$K$22,"NET_ASSETS")</f>
        <v>0.15276456166668531</v>
      </c>
      <c r="K35" s="583" cm="1">
        <f t="array" ref="K35">_xll.BDP(Inputs!$K$23,"IS_OPER_INC")/_xll.BDP(Inputs!$K$23,"NET_ASSETS")</f>
        <v>0.3540862407356381</v>
      </c>
      <c r="L35" s="583" cm="1">
        <f t="array" ref="L35">_xll.BDP(Inputs!$K$24,"IS_OPER_INC")/_xll.BDP(Inputs!$K$24,"NET_ASSETS")</f>
        <v>0.40127544763306355</v>
      </c>
      <c r="M35" s="583" cm="1">
        <f t="array" ref="M35">_xll.BDP(Inputs!$K$25,"IS_OPER_INC")/_xll.BDP(Inputs!$K$25,"NET_ASSETS")</f>
        <v>0.41675903347373089</v>
      </c>
      <c r="N35" s="583" cm="1">
        <f t="array" ref="N35">_xll.BDP(Inputs!$Q$21,"IS_OPER_INC")/_xll.BDP(Inputs!$Q$21,"NET_ASSETS")</f>
        <v>0.7092069781520004</v>
      </c>
      <c r="O35" s="583" cm="1">
        <f t="array" ref="O35">_xll.BDP(Inputs!$Q$22,"IS_OPER_INC")/_xll.BDP(Inputs!$Q$22,"NET_ASSETS")</f>
        <v>0.39114468776895861</v>
      </c>
      <c r="P35" s="583" cm="1">
        <f t="array" ref="P35">_xll.BDP(Inputs!$Q$23,"IS_OPER_INC")/_xll.BDP(Inputs!$Q$23,"NET_ASSETS")</f>
        <v>0.37888669801304414</v>
      </c>
      <c r="Q35" s="583" cm="1">
        <f t="array" ref="Q35">_xll.BDP(Inputs!$Q$24,"IS_OPER_INC")/_xll.BDP(Inputs!$Q$24,"NET_ASSETS")</f>
        <v>3.1719367588932808</v>
      </c>
      <c r="R35" s="583" cm="1">
        <f t="array" ref="R35">_xll.BDP(Inputs!$Q$25,"IS_OPER_INC")/_xll.BDP(Inputs!$Q$25,"NET_ASSETS")</f>
        <v>7.8455882352941178</v>
      </c>
    </row>
    <row r="36" spans="1:18" ht="15" customHeight="1">
      <c r="B36" s="378" t="s">
        <v>242</v>
      </c>
      <c r="C36" s="583">
        <v>0.55955609684617713</v>
      </c>
      <c r="D36" s="583" cm="1">
        <f t="array" ref="D36">_xll.BDP(Inputs!$E$21,"RETURN_COM_EQY")/100</f>
        <v>0.18813241177017834</v>
      </c>
      <c r="E36" s="583" cm="1">
        <f t="array" ref="E36">_xll.BDP(Inputs!$E$22,"RETURN_COM_EQY")/100</f>
        <v>9.2251898303804147E-2</v>
      </c>
      <c r="F36" s="583" cm="1">
        <f t="array" ref="F36">_xll.BDP(Inputs!$E$23,"RETURN_COM_EQY")/100</f>
        <v>4.3060361399461747E-2</v>
      </c>
      <c r="G36" s="583" cm="1">
        <f t="array" ref="G36">_xll.BDP(Inputs!$E$24,"RETURN_COM_EQY")/100</f>
        <v>0.1621949538122156</v>
      </c>
      <c r="H36" s="583" cm="1">
        <f t="array" ref="H36">_xll.BDP(Inputs!$E$25,"RETURN_COM_EQY")/100</f>
        <v>9.4609616682027872E-2</v>
      </c>
      <c r="I36" s="583" cm="1">
        <f t="array" ref="I36">_xll.BDP(Inputs!$K$21,"RETURN_COM_EQY")/100</f>
        <v>0.31087944969172937</v>
      </c>
      <c r="J36" s="583" cm="1">
        <f t="array" ref="J36">_xll.BDP(Inputs!$K$22,"RETURN_COM_EQY")/100</f>
        <v>9.6539741303928131E-2</v>
      </c>
      <c r="K36" s="583" cm="1">
        <f t="array" ref="K36">_xll.BDP(Inputs!$K$23,"RETURN_COM_EQY")/100</f>
        <v>0.33129458424807934</v>
      </c>
      <c r="L36" s="583" cm="1">
        <f t="array" ref="L36">_xll.BDP(Inputs!$K$24,"RETURN_COM_EQY")/100</f>
        <v>0.33413313446386306</v>
      </c>
      <c r="M36" s="583" t="e" cm="1">
        <f t="array" ref="M36">_xll.BDP(Inputs!$K$25,"RETURN_COM_EQY")/100</f>
        <v>#VALUE!</v>
      </c>
      <c r="N36" s="583" cm="1">
        <f t="array" ref="N36">_xll.BDP(Inputs!$Q$21,"RETURN_COM_EQY")/100</f>
        <v>0.39879568983731256</v>
      </c>
      <c r="O36" s="583" cm="1">
        <f t="array" ref="O36">_xll.BDP(Inputs!$Q$22,"RETURN_COM_EQY")/100</f>
        <v>0.31220751499327914</v>
      </c>
      <c r="P36" s="583" cm="1">
        <f t="array" ref="P36">_xll.BDP(Inputs!$Q$23,"RETURN_COM_EQY")/100</f>
        <v>0.44759175575884491</v>
      </c>
      <c r="Q36" s="583" cm="1">
        <f t="array" ref="Q36">_xll.BDP(Inputs!$Q$24,"RETURN_COM_EQY")/100</f>
        <v>1.9676113360323884</v>
      </c>
      <c r="R36" s="583" cm="1">
        <f t="array" ref="R36">_xll.BDP(Inputs!$Q$25,"RETURN_COM_EQY")/100</f>
        <v>7.0521212121212109</v>
      </c>
    </row>
    <row r="37" spans="1:18" ht="15" customHeight="1">
      <c r="B37" s="378" t="s">
        <v>243</v>
      </c>
      <c r="C37" s="583">
        <v>0.46307079770295556</v>
      </c>
      <c r="D37" s="583" cm="1">
        <f t="array" ref="D37">_xll.BDP(Inputs!$E$21,"RETURN_ON_ASSET")/100</f>
        <v>0.13728483935248476</v>
      </c>
      <c r="E37" s="583" cm="1">
        <f t="array" ref="E37">_xll.BDP(Inputs!$E$22,"RETURN_ON_ASSET")/100</f>
        <v>2.8731552547052525E-2</v>
      </c>
      <c r="F37" s="583" cm="1">
        <f t="array" ref="F37">_xll.BDP(Inputs!$E$23,"RETURN_ON_ASSET")/100</f>
        <v>2.1133214728556796E-2</v>
      </c>
      <c r="G37" s="583" cm="1">
        <f t="array" ref="G37">_xll.BDP(Inputs!$E$24,"RETURN_ON_ASSET")/100</f>
        <v>3.9880129091747339E-2</v>
      </c>
      <c r="H37" s="583" cm="1">
        <f t="array" ref="H37">_xll.BDP(Inputs!$E$25,"RETURN_ON_ASSET")/100</f>
        <v>5.6709178821733847E-2</v>
      </c>
      <c r="I37" s="583" cm="1">
        <f t="array" ref="I37">_xll.BDP(Inputs!$K$21,"RETURN_ON_ASSET")/100</f>
        <v>9.0129166100690286E-2</v>
      </c>
      <c r="J37" s="583" cm="1">
        <f t="array" ref="J37">_xll.BDP(Inputs!$K$22,"RETURN_ON_ASSET")/100</f>
        <v>4.0079583975709918E-2</v>
      </c>
      <c r="K37" s="583" cm="1">
        <f t="array" ref="K37">_xll.BDP(Inputs!$K$23,"RETURN_ON_ASSET")/100</f>
        <v>0.12251913304682059</v>
      </c>
      <c r="L37" s="583" cm="1">
        <f t="array" ref="L37">_xll.BDP(Inputs!$K$24,"RETURN_ON_ASSET")/100</f>
        <v>7.7560804886217805E-2</v>
      </c>
      <c r="M37" s="583" t="e" cm="1">
        <f t="array" ref="M37">_xll.BDP(Inputs!$K$25,"RETURN_ON_ASSET")/100</f>
        <v>#VALUE!</v>
      </c>
      <c r="N37" s="583" cm="1">
        <f t="array" ref="N37">_xll.BDP(Inputs!$Q$21,"RETURN_ON_ASSET")/100</f>
        <v>7.3702398500571073E-2</v>
      </c>
      <c r="O37" s="583" cm="1">
        <f t="array" ref="O37">_xll.BDP(Inputs!$Q$22,"RETURN_ON_ASSET")/100</f>
        <v>0.12902209603353784</v>
      </c>
      <c r="P37" s="583" cm="1">
        <f t="array" ref="P37">_xll.BDP(Inputs!$Q$23,"RETURN_ON_ASSET")/100</f>
        <v>0.11854915221251855</v>
      </c>
      <c r="Q37" s="583" cm="1">
        <f t="array" ref="Q37">_xll.BDP(Inputs!$Q$24,"RETURN_ON_ASSET")/100</f>
        <v>0.1427270858418255</v>
      </c>
      <c r="R37" s="583" cm="1">
        <f t="array" ref="R37">_xll.BDP(Inputs!$Q$25,"RETURN_ON_ASSET")/100</f>
        <v>0.17136966126656852</v>
      </c>
    </row>
    <row r="38" spans="1:18" ht="15" customHeight="1">
      <c r="B38" s="378"/>
    </row>
    <row r="39" spans="1:18" ht="15" customHeight="1">
      <c r="A39" s="383" t="s">
        <v>33</v>
      </c>
      <c r="B39" s="598" t="s">
        <v>244</v>
      </c>
      <c r="C39" s="599" t="s">
        <v>230</v>
      </c>
      <c r="D39" s="599" t="str">
        <f t="shared" ref="D39:R39" si="2">D30</f>
        <v>VITAL FARMS INC</v>
      </c>
      <c r="E39" s="599" t="str">
        <f t="shared" si="2"/>
        <v>POST HOLDINGS IN</v>
      </c>
      <c r="F39" s="599" t="str">
        <f t="shared" si="2"/>
        <v>TYSON FOODS-A</v>
      </c>
      <c r="G39" s="599" t="str">
        <f t="shared" si="2"/>
        <v>LAMB WESTON</v>
      </c>
      <c r="H39" s="599" t="str">
        <f t="shared" si="2"/>
        <v>HORMEL FOODS CRP</v>
      </c>
      <c r="I39" s="599" t="str">
        <f t="shared" si="2"/>
        <v>GENERAL MILLS IN</v>
      </c>
      <c r="J39" s="599" t="str">
        <f t="shared" si="2"/>
        <v>CONAGRA BRANDS I</v>
      </c>
      <c r="K39" s="599" t="str">
        <f t="shared" si="2"/>
        <v>PILGRIM'S PRIDE</v>
      </c>
      <c r="L39" s="599" t="str">
        <f t="shared" si="2"/>
        <v>NESTLE SA-REG</v>
      </c>
      <c r="M39" s="599" t="str">
        <f t="shared" si="2"/>
        <v>UNILEVER PLC</v>
      </c>
      <c r="N39" s="599" t="str">
        <f t="shared" si="2"/>
        <v>PEPSICO INC</v>
      </c>
      <c r="O39" s="599" t="str">
        <f t="shared" si="2"/>
        <v>PROCTER &amp; GAMBLE</v>
      </c>
      <c r="P39" s="599" t="str">
        <f t="shared" si="2"/>
        <v>COCA-COLA CO/THE</v>
      </c>
      <c r="Q39" s="599" t="str">
        <f t="shared" si="2"/>
        <v>KIMBERLY-CLARK</v>
      </c>
      <c r="R39" s="599" t="str">
        <f t="shared" si="2"/>
        <v>COLGATE-PALMOLIV</v>
      </c>
    </row>
    <row r="40" spans="1:18" ht="3.95" customHeight="1">
      <c r="A40" s="383"/>
      <c r="B40" s="597"/>
      <c r="C40" s="36"/>
      <c r="D40" s="36"/>
      <c r="E40" s="36"/>
      <c r="F40" s="36"/>
      <c r="G40" s="36"/>
      <c r="H40" s="36"/>
      <c r="I40" s="36"/>
      <c r="J40" s="36"/>
      <c r="K40" s="36"/>
      <c r="L40" s="36"/>
      <c r="M40" s="36"/>
      <c r="N40" s="36"/>
      <c r="O40" s="36"/>
      <c r="P40" s="36"/>
      <c r="Q40" s="36"/>
      <c r="R40" s="36"/>
    </row>
    <row r="41" spans="1:18" ht="15" customHeight="1">
      <c r="B41" s="378" t="s">
        <v>245</v>
      </c>
      <c r="C41" s="584">
        <v>1.617603968588335</v>
      </c>
      <c r="D41" s="584" cm="1">
        <f t="array" ref="D41">_xll.BDP(Inputs!$E$21,"ASSET_TURNOVER")</f>
        <v>1.7516269745660851</v>
      </c>
      <c r="E41" s="584" cm="1">
        <f t="array" ref="E41">_xll.BDP(Inputs!$E$22,"ASSET_TURNOVER")</f>
        <v>0.62131688243437744</v>
      </c>
      <c r="F41" s="584" cm="1">
        <f t="array" ref="F41">_xll.BDP(Inputs!$E$23,"ASSET_TURNOVER")</f>
        <v>1.4595395978219849</v>
      </c>
      <c r="G41" s="584" cm="1">
        <f t="array" ref="G41">_xll.BDP(Inputs!$E$24,"ASSET_TURNOVER")</f>
        <v>0.87550511214167548</v>
      </c>
      <c r="H41" s="584" cm="1">
        <f t="array" ref="H41">_xll.BDP(Inputs!$E$25,"ASSET_TURNOVER")</f>
        <v>0.90630291260516005</v>
      </c>
      <c r="I41" s="584" cm="1">
        <f t="array" ref="I41">_xll.BDP(Inputs!$K$21,"ASSET_TURNOVER")</f>
        <v>0.59137328509156462</v>
      </c>
      <c r="J41" s="584" cm="1">
        <f t="array" ref="J41">_xll.BDP(Inputs!$K$22,"ASSET_TURNOVER")</f>
        <v>0.53985563617676324</v>
      </c>
      <c r="K41" s="584" cm="1">
        <f t="array" ref="K41">_xll.BDP(Inputs!$K$23,"ASSET_TURNOVER")</f>
        <v>1.8000006238512289</v>
      </c>
      <c r="L41" s="584" cm="1">
        <f t="array" ref="L41">_xll.BDP(Inputs!$K$24,"ASSET_TURNOVER")</f>
        <v>0.68415328513850682</v>
      </c>
      <c r="M41" s="584" cm="1">
        <f t="array" ref="M41">_xll.BDP(Inputs!$K$25,"ASSET_TURNOVER")</f>
        <v>0.76787032105293551</v>
      </c>
      <c r="N41" s="584" cm="1">
        <f t="array" ref="N41">_xll.BDP(Inputs!$Q$21,"ASSET_TURNOVER")</f>
        <v>0.89563545134177414</v>
      </c>
      <c r="O41" s="584" cm="1">
        <f t="array" ref="O41">_xll.BDP(Inputs!$Q$22,"ASSET_TURNOVER")</f>
        <v>0.68080500482631334</v>
      </c>
      <c r="P41" s="584" cm="1">
        <f t="array" ref="P41">_xll.BDP(Inputs!$Q$23,"ASSET_TURNOVER")</f>
        <v>0.45794633517405797</v>
      </c>
      <c r="Q41" s="584" cm="1">
        <f t="array" ref="Q41">_xll.BDP(Inputs!$Q$24,"ASSET_TURNOVER")</f>
        <v>1.1091010543009017</v>
      </c>
      <c r="R41" s="584" cm="1">
        <f t="array" ref="R41">_xll.BDP(Inputs!$Q$25,"ASSET_TURNOVER")</f>
        <v>1.1780854197349042</v>
      </c>
    </row>
    <row r="42" spans="1:18" ht="15" customHeight="1">
      <c r="B42" s="378" t="s">
        <v>246</v>
      </c>
      <c r="C42" s="584">
        <v>2.5180721752606616</v>
      </c>
      <c r="D42" s="584" cm="1">
        <f t="array" ref="D42">_xll.BDP(Inputs!$E$21,"SALES_REV_TURN")/(_xll.BDP(Inputs!$E$21,"BS_TOT_ASSET")-_xll.BDP(Inputs!$E$21,"BS_CASH_CASH_EQUIVALENTS_AND_STI")-_xll.BDP(Inputs!$E$21,"SHORT_AND_LONG_TERM_DEBT"))</f>
        <v>3.3622268187590465</v>
      </c>
      <c r="E42" s="584" cm="1">
        <f t="array" ref="E42">_xll.BDP(Inputs!$E$22,"SALES_REV_TURN")/(_xll.BDP(Inputs!$E$22,"BS_TOT_ASSET")-_xll.BDP(Inputs!$E$22,"BS_CASH_CASH_EQUIVALENTS_AND_STI")-_xll.BDP(Inputs!$E$22,"SHORT_AND_LONG_TERM_DEBT"))</f>
        <v>1.5827673006233014</v>
      </c>
      <c r="F42" s="584" cm="1">
        <f t="array" ref="F42">_xll.BDP(Inputs!$E$23,"SALES_REV_TURN")/(_xll.BDP(Inputs!$E$23,"BS_TOT_ASSET")-_xll.BDP(Inputs!$E$23,"BS_CASH_CASH_EQUIVALENTS_AND_STI")-_xll.BDP(Inputs!$E$23,"SHORT_AND_LONG_TERM_DEBT"))</f>
        <v>2.1407517468476427</v>
      </c>
      <c r="G42" s="584" cm="1">
        <f t="array" ref="G42">_xll.BDP(Inputs!$E$24,"SALES_REV_TURN")/(_xll.BDP(Inputs!$E$24,"BS_TOT_ASSET")-_xll.BDP(Inputs!$E$24,"BS_CASH_CASH_EQUIVALENTS_AND_STI")-_xll.BDP(Inputs!$E$24,"SHORT_AND_LONG_TERM_DEBT"))</f>
        <v>2.1029761710727901</v>
      </c>
      <c r="H42" s="584" cm="1">
        <f t="array" ref="H42">_xll.BDP(Inputs!$E$25,"SALES_REV_TURN")/(_xll.BDP(Inputs!$E$25,"BS_TOT_ASSET")-_xll.BDP(Inputs!$E$25,"BS_CASH_CASH_EQUIVALENTS_AND_STI")-_xll.BDP(Inputs!$E$25,"SHORT_AND_LONG_TERM_DEBT"))</f>
        <v>1.2345487958516965</v>
      </c>
      <c r="I42" s="584" cm="1">
        <f t="array" ref="I42">_xll.BDP(Inputs!$K$21,"SALES_REV_TURN")/(_xll.BDP(Inputs!$K$21,"BS_TOT_ASSET")-_xll.BDP(Inputs!$K$21,"BS_CASH_CASH_EQUIVALENTS_AND_STI")-_xll.BDP(Inputs!$K$21,"SHORT_AND_LONG_TERM_DEBT"))</f>
        <v>1.1192441342867812</v>
      </c>
      <c r="J42" s="584" cm="1">
        <f t="array" ref="J42">_xll.BDP(Inputs!$K$22,"SALES_REV_TURN")/(_xll.BDP(Inputs!$K$22,"BS_TOT_ASSET")-_xll.BDP(Inputs!$K$22,"BS_CASH_CASH_EQUIVALENTS_AND_STI")-_xll.BDP(Inputs!$K$22,"SHORT_AND_LONG_TERM_DEBT"))</f>
        <v>0.92493210038788387</v>
      </c>
      <c r="K42" s="584" cm="1">
        <f t="array" ref="K42">_xll.BDP(Inputs!$K$23,"SALES_REV_TURN")/(_xll.BDP(Inputs!$K$23,"BS_TOT_ASSET")-_xll.BDP(Inputs!$K$23,"BS_CASH_CASH_EQUIVALENTS_AND_STI")-_xll.BDP(Inputs!$K$23,"SHORT_AND_LONG_TERM_DEBT"))</f>
        <v>3.5542361081290856</v>
      </c>
      <c r="L42" s="584" cm="1">
        <f t="array" ref="L42">_xll.BDP(Inputs!$K$24,"SALES_REV_TURN")/(_xll.BDP(Inputs!$K$24,"BS_TOT_ASSET")-_xll.BDP(Inputs!$K$24,"BS_CASH_CASH_EQUIVALENTS_AND_STI")-_xll.BDP(Inputs!$K$24,"SHORT_AND_LONG_TERM_DEBT"))</f>
        <v>1.3360135174503291</v>
      </c>
      <c r="M42" s="584" cm="1">
        <f t="array" ref="M42">_xll.BDP(Inputs!$K$25,"SALES_REV_TURN")/(_xll.BDP(Inputs!$K$25,"BS_TOT_ASSET")-_xll.BDP(Inputs!$K$25,"BS_CASH_CASH_EQUIVALENTS_AND_STI")-_xll.BDP(Inputs!$K$25,"SHORT_AND_LONG_TERM_DEBT"))</f>
        <v>1.4990871410243758</v>
      </c>
      <c r="N42" s="584" cm="1">
        <f t="array" ref="N42">_xll.BDP(Inputs!$Q$21,"SALES_REV_TURN")/(_xll.BDP(Inputs!$Q$21,"BS_TOT_ASSET")-_xll.BDP(Inputs!$Q$21,"BS_CASH_CASH_EQUIVALENTS_AND_STI")-_xll.BDP(Inputs!$Q$21,"SHORT_AND_LONG_TERM_DEBT"))</f>
        <v>2.163816254416961</v>
      </c>
      <c r="O42" s="584" cm="1">
        <f t="array" ref="O42">_xll.BDP(Inputs!$Q$22,"SALES_REV_TURN")/(_xll.BDP(Inputs!$Q$22,"BS_TOT_ASSET")-_xll.BDP(Inputs!$Q$22,"BS_CASH_CASH_EQUIVALENTS_AND_STI")-_xll.BDP(Inputs!$Q$22,"SHORT_AND_LONG_TERM_DEBT"))</f>
        <v>1.0507785715176223</v>
      </c>
      <c r="P42" s="584" cm="1">
        <f t="array" ref="P42">_xll.BDP(Inputs!$Q$23,"SALES_REV_TURN")/(_xll.BDP(Inputs!$Q$23,"BS_TOT_ASSET")-_xll.BDP(Inputs!$Q$23,"BS_CASH_CASH_EQUIVALENTS_AND_STI")-_xll.BDP(Inputs!$Q$23,"SHORT_AND_LONG_TERM_DEBT"))</f>
        <v>1.1694207688293616</v>
      </c>
      <c r="Q42" s="584" cm="1">
        <f t="array" ref="Q42">_xll.BDP(Inputs!$Q$24,"SALES_REV_TURN")/(_xll.BDP(Inputs!$Q$24,"BS_TOT_ASSET")-_xll.BDP(Inputs!$Q$24,"BS_CASH_CASH_EQUIVALENTS_AND_STI")-_xll.BDP(Inputs!$Q$24,"SHORT_AND_LONG_TERM_DEBT"))</f>
        <v>2.6233324614177347</v>
      </c>
      <c r="R42" s="584" cm="1">
        <f t="array" ref="R42">_xll.BDP(Inputs!$Q$25,"SALES_REV_TURN")/(_xll.BDP(Inputs!$Q$25,"BS_TOT_ASSET")-_xll.BDP(Inputs!$Q$25,"BS_CASH_CASH_EQUIVALENTS_AND_STI")-_xll.BDP(Inputs!$Q$25,"SHORT_AND_LONG_TERM_DEBT"))</f>
        <v>3.2018158649251354</v>
      </c>
    </row>
    <row r="43" spans="1:18" ht="15" customHeight="1">
      <c r="B43" s="378" t="s">
        <v>247</v>
      </c>
      <c r="C43" s="584">
        <v>4.5244909810299596</v>
      </c>
      <c r="D43" s="584" cm="1">
        <f t="array" ref="D43">_xll.BDP(Inputs!$E$21,"NET_FIX_ASSET_TURN")</f>
        <v>5.8967448780225498</v>
      </c>
      <c r="E43" s="584" cm="1">
        <f t="array" ref="E43">_xll.BDP(Inputs!$E$22,"NET_FIX_ASSET_TURN")</f>
        <v>3.4224977856510184</v>
      </c>
      <c r="F43" s="584" cm="1">
        <f t="array" ref="F43">_xll.BDP(Inputs!$E$23,"NET_FIX_ASSET_TURN")</f>
        <v>5.8698032413680954</v>
      </c>
      <c r="G43" s="584" cm="1">
        <f t="array" ref="G43">_xll.BDP(Inputs!$E$24,"NET_FIX_ASSET_TURN")</f>
        <v>1.6938414114251985</v>
      </c>
      <c r="H43" s="584" cm="1">
        <f t="array" ref="H43">_xll.BDP(Inputs!$E$25,"NET_FIX_ASSET_TURN")</f>
        <v>5.5046470862130361</v>
      </c>
      <c r="I43" s="584" cm="1">
        <f t="array" ref="I43">_xll.BDP(Inputs!$K$21,"NET_FIX_ASSET_TURN")</f>
        <v>5.2057884367144505</v>
      </c>
      <c r="J43" s="584" cm="1">
        <f t="array" ref="J43">_xll.BDP(Inputs!$K$22,"NET_FIX_ASSET_TURN")</f>
        <v>4.022800730747611</v>
      </c>
      <c r="K43" s="584" cm="1">
        <f t="array" ref="K43">_xll.BDP(Inputs!$K$23,"NET_FIX_ASSET_TURN")</f>
        <v>5.2424205543623685</v>
      </c>
      <c r="L43" s="584" cm="1">
        <f t="array" ref="L43">_xll.BDP(Inputs!$K$24,"NET_FIX_ASSET_TURN")</f>
        <v>2.8380660973820193</v>
      </c>
      <c r="M43" s="584" cm="1">
        <f t="array" ref="M43">_xll.BDP(Inputs!$K$25,"NET_FIX_ASSET_TURN")</f>
        <v>5.4296215627552407</v>
      </c>
      <c r="N43" s="584" cm="1">
        <f t="array" ref="N43">_xll.BDP(Inputs!$Q$21,"NET_FIX_ASSET_TURN")</f>
        <v>3.2861620014685076</v>
      </c>
      <c r="O43" s="584" cm="1">
        <f t="array" ref="O43">_xll.BDP(Inputs!$Q$22,"NET_FIX_ASSET_TURN")</f>
        <v>3.5229158394114819</v>
      </c>
      <c r="P43" s="584" cm="1">
        <f t="array" ref="P43">_xll.BDP(Inputs!$Q$23,"NET_FIX_ASSET_TURN")</f>
        <v>4.6384782180169521</v>
      </c>
      <c r="Q43" s="584" cm="1">
        <f t="array" ref="Q43">_xll.BDP(Inputs!$Q$24,"NET_FIX_ASSET_TURN")</f>
        <v>2.709765372748798</v>
      </c>
      <c r="R43" s="584" cm="1">
        <f t="array" ref="R43">_xll.BDP(Inputs!$Q$25,"NET_FIX_ASSET_TURN")</f>
        <v>4.4833538840937113</v>
      </c>
    </row>
    <row r="44" spans="1:18" ht="15" customHeight="1">
      <c r="B44" s="378" t="s">
        <v>248</v>
      </c>
      <c r="C44" s="585">
        <v>1113.3450888192267</v>
      </c>
      <c r="D44" s="585">
        <f>_xll.BQL(
Inputs!$E$21,
"sales_rev_turn(fpt=ltm,fa_adjusted=y,fs=mr)/1k",
"currency=USD"
)/IFERROR(VALUE(_xll.BDP(Inputs!$E$21,"NUM_OF_EMPLOYEES")),_xll.BDP(Inputs!$E$21,"NUM_OF_EMPLOYEES_CSR"))</f>
        <v>1100.2458193979933</v>
      </c>
      <c r="E44" s="585">
        <f>_xll.BQL(
Inputs!$E$22,
"sales_rev_turn(fpt=ltm,fa_adjusted=y,fs=mr)/1k",
"currency=USD"
)/IFERROR(VALUE(_xll.BDP(Inputs!$E$22,"NUM_OF_EMPLOYEES")),_xll.BDP(Inputs!$E$22,"NUM_OF_EMPLOYEES_CSR"))</f>
        <v>690</v>
      </c>
      <c r="F44" s="585">
        <f>_xll.BQL(
Inputs!$E$23,
"sales_rev_turn(fpt=ltm,fa_adjusted=y,fs=mr)/1k",
"currency=USD"
)/IFERROR(VALUE(_xll.BDP(Inputs!$E$23,"NUM_OF_EMPLOYEES")),_xll.BDP(Inputs!$E$23,"NUM_OF_EMPLOYEES_CSR"))</f>
        <v>392.36231884057969</v>
      </c>
      <c r="G44" s="585">
        <f>_xll.BQL(
Inputs!$E$24,
"sales_rev_turn(fpt=ltm,fa_adjusted=y,fs=mr)/1k",
"currency=USD"
)/IFERROR(VALUE(_xll.BDP(Inputs!$E$24,"NUM_OF_EMPLOYEES")),_xll.BDP(Inputs!$E$24,"NUM_OF_EMPLOYEES_CSR"))</f>
        <v>639.25742574257424</v>
      </c>
      <c r="H44" s="585">
        <f>_xll.BQL(
Inputs!$E$25,
"sales_rev_turn(fpt=ltm,fa_adjusted=y,fs=mr)/1k",
"currency=USD"
)/IFERROR(VALUE(_xll.BDP(Inputs!$E$25,"NUM_OF_EMPLOYEES")),_xll.BDP(Inputs!$E$25,"NUM_OF_EMPLOYEES_CSR"))</f>
        <v>602.92949999999996</v>
      </c>
      <c r="I44" s="585">
        <f>_xll.BQL(
Inputs!$K$21,
"sales_rev_turn(fpt=ltm,fa_adjusted=y,fs=mr)/1k",
"currency=USD"
)/IFERROR(VALUE(_xll.BDP(Inputs!$K$21,"NUM_OF_EMPLOYEES")),_xll.BDP(Inputs!$K$21,"NUM_OF_EMPLOYEES_CSR"))</f>
        <v>580.4848484848485</v>
      </c>
      <c r="J44" s="585">
        <f>_xll.BQL(
Inputs!$K$22,
"sales_rev_turn(fpt=ltm,fa_adjusted=y,fs=mr)/1k",
"currency=USD"
)/IFERROR(VALUE(_xll.BDP(Inputs!$K$22,"NUM_OF_EMPLOYEES")),_xll.BDP(Inputs!$K$22,"NUM_OF_EMPLOYEES_CSR"))</f>
        <v>625.71038251366122</v>
      </c>
      <c r="K44" s="585">
        <f>_xll.BQL(
Inputs!$K$23,
"sales_rev_turn(fpt=ltm,fa_adjusted=y,fs=mr)/1k",
"currency=USD"
)/IFERROR(VALUE(_xll.BDP(Inputs!$K$23,"NUM_OF_EMPLOYEES")),_xll.BDP(Inputs!$K$23,"NUM_OF_EMPLOYEES_CSR"))</f>
        <v>297.99044262295081</v>
      </c>
      <c r="L44" s="585">
        <f>_xll.BQL(
Inputs!$K$24,
"sales_rev_turn(fpt=ltm,fa_adjusted=y,fs=mr)/1k",
"currency=USD"
)/IFERROR(VALUE(_xll.BDP(Inputs!$K$24,"NUM_OF_EMPLOYEES")),_xll.BDP(Inputs!$K$24,"NUM_OF_EMPLOYEES_CSR"))</f>
        <v>378.89972682268979</v>
      </c>
      <c r="M44" s="585">
        <f>_xll.BQL(
Inputs!$K$25,
"sales_rev_turn(fpt=ltm,fa_adjusted=y,fs=mr)/1k",
"currency=USD"
)/IFERROR(VALUE(_xll.BDP(Inputs!$K$25,"NUM_OF_EMPLOYEES")),_xll.BDP(Inputs!$K$25,"NUM_OF_EMPLOYEES_CSR"))</f>
        <v>520.7694042390799</v>
      </c>
      <c r="N44" s="585">
        <f>_xll.BQL(
Inputs!$Q$21,
"sales_rev_turn(fpt=ltm,fa_adjusted=y,fs=mr)/1k",
"currency=USD"
)/IFERROR(VALUE(_xll.BDP(Inputs!$Q$21,"NUM_OF_EMPLOYEES")),_xll.BDP(Inputs!$Q$21,"NUM_OF_EMPLOYEES_CSR"))</f>
        <v>287.61128526645768</v>
      </c>
      <c r="O44" s="585">
        <f>_xll.BQL(
Inputs!$Q$22,
"sales_rev_turn(fpt=ltm,fa_adjusted=y,fs=mr)/1k",
"currency=USD"
)/IFERROR(VALUE(_xll.BDP(Inputs!$Q$22,"NUM_OF_EMPLOYEES")),_xll.BDP(Inputs!$Q$22,"NUM_OF_EMPLOYEES_CSR"))</f>
        <v>773.24770642201838</v>
      </c>
      <c r="P44" s="585">
        <f>_xll.BQL(
Inputs!$Q$23,
"sales_rev_turn(fpt=ltm,fa_adjusted=y,fs=mr)/1k",
"currency=USD"
)/IFERROR(VALUE(_xll.BDP(Inputs!$Q$23,"NUM_OF_EMPLOYEES")),_xll.BDP(Inputs!$Q$23,"NUM_OF_EMPLOYEES_CSR"))</f>
        <v>676.98708751793401</v>
      </c>
      <c r="Q44" s="585">
        <f>_xll.BQL(
Inputs!$Q$24,
"sales_rev_turn(fpt=ltm,fa_adjusted=y,fs=mr)/1k",
"currency=USD"
)/IFERROR(VALUE(_xll.BDP(Inputs!$Q$24,"NUM_OF_EMPLOYEES")),_xll.BDP(Inputs!$Q$24,"NUM_OF_EMPLOYEES_CSR"))</f>
        <v>496.92105263157896</v>
      </c>
      <c r="R44" s="585">
        <f>_xll.BQL(
Inputs!$Q$25,
"sales_rev_turn(fpt=ltm,fa_adjusted=y,fs=mr)/1k",
"currency=USD"
)/IFERROR(VALUE(_xll.BDP(Inputs!$Q$25,"NUM_OF_EMPLOYEES")),_xll.BDP(Inputs!$Q$25,"NUM_OF_EMPLOYEES_CSR"))</f>
        <v>588.17647058823525</v>
      </c>
    </row>
    <row r="45" spans="1:18" ht="15" customHeight="1">
      <c r="B45" s="378" t="s">
        <v>249</v>
      </c>
      <c r="C45" s="585">
        <v>401.36781609195401</v>
      </c>
      <c r="D45" s="585">
        <f>_xll.BQL(
Inputs!$E$21,
"is_oper_inc(fpt=ltm,fa_adjusted=y,fs=mr)/1k",
"currency=USD"
)/IFERROR(VALUE(_xll.BDP(Inputs!$E$21,"NUM_OF_EMPLOYEES")),_xll.BDP(Inputs!$E$21,"NUM_OF_EMPLOYEES_CSR"))</f>
        <v>114.19565217391305</v>
      </c>
      <c r="E45" s="585">
        <f>_xll.BQL(
Inputs!$E$22,
"is_oper_inc(fpt=ltm,fa_adjusted=y,fs=mr)/1k",
"currency=USD"
)/IFERROR(VALUE(_xll.BDP(Inputs!$E$22,"NUM_OF_EMPLOYEES")),_xll.BDP(Inputs!$E$22,"NUM_OF_EMPLOYEES_CSR"))</f>
        <v>75.871080139372822</v>
      </c>
      <c r="F45" s="585">
        <f>_xll.BQL(
Inputs!$E$23,
"is_oper_inc(fpt=ltm,fa_adjusted=y,fs=mr)/1k",
"currency=USD"
)/IFERROR(VALUE(_xll.BDP(Inputs!$E$23,"NUM_OF_EMPLOYEES")),_xll.BDP(Inputs!$E$23,"NUM_OF_EMPLOYEES_CSR"))</f>
        <v>15.601449275362318</v>
      </c>
      <c r="G45" s="585">
        <f>_xll.BQL(
Inputs!$E$24,
"is_oper_inc(fpt=ltm,fa_adjusted=y,fs=mr)/1k",
"currency=USD"
)/IFERROR(VALUE(_xll.BDP(Inputs!$E$24,"NUM_OF_EMPLOYEES")),_xll.BDP(Inputs!$E$24,"NUM_OF_EMPLOYEES_CSR"))</f>
        <v>72.881188118811878</v>
      </c>
      <c r="H45" s="585">
        <f>_xll.BQL(
Inputs!$E$25,
"is_oper_inc(fpt=ltm,fa_adjusted=y,fs=mr)/1k",
"currency=USD"
)/IFERROR(VALUE(_xll.BDP(Inputs!$E$25,"NUM_OF_EMPLOYEES")),_xll.BDP(Inputs!$E$25,"NUM_OF_EMPLOYEES_CSR"))</f>
        <v>54.055300000000003</v>
      </c>
      <c r="I45" s="585">
        <f>_xll.BQL(
Inputs!$K$21,
"is_oper_inc(fpt=ltm,fa_adjusted=y,fs=mr)/1k",
"currency=USD"
)/IFERROR(VALUE(_xll.BDP(Inputs!$K$21,"NUM_OF_EMPLOYEES")),_xll.BDP(Inputs!$K$21,"NUM_OF_EMPLOYEES_CSR"))</f>
        <v>98.259915611814336</v>
      </c>
      <c r="J45" s="585">
        <f>_xll.BQL(
Inputs!$K$22,
"is_oper_inc(fpt=ltm,fa_adjusted=y,fs=mr)/1k",
"currency=USD"
)/IFERROR(VALUE(_xll.BDP(Inputs!$K$22,"NUM_OF_EMPLOYEES")),_xll.BDP(Inputs!$K$22,"NUM_OF_EMPLOYEES_CSR"))</f>
        <v>85.606626547693182</v>
      </c>
      <c r="K45" s="585">
        <f>_xll.BQL(
Inputs!$K$23,
"is_oper_inc(fpt=ltm,fa_adjusted=y,fs=mr)/1k",
"currency=USD"
)/IFERROR(VALUE(_xll.BDP(Inputs!$K$23,"NUM_OF_EMPLOYEES")),_xll.BDP(Inputs!$K$23,"NUM_OF_EMPLOYEES_CSR"))</f>
        <v>32.705393442622949</v>
      </c>
      <c r="L45" s="585">
        <f>_xll.BQL(
Inputs!$K$24,
"is_oper_inc(fpt=ltm,fa_adjusted=y,fs=mr)/1k",
"currency=USD"
)/IFERROR(VALUE(_xll.BDP(Inputs!$K$24,"NUM_OF_EMPLOYEES")),_xll.BDP(Inputs!$K$24,"NUM_OF_EMPLOYEES_CSR"))</f>
        <v>63.384077339308696</v>
      </c>
      <c r="M45" s="585">
        <f>_xll.BQL(
Inputs!$K$25,
"is_oper_inc(fpt=ltm,fa_adjusted=y,fs=mr)/1k",
"currency=USD"
)/IFERROR(VALUE(_xll.BDP(Inputs!$K$25,"NUM_OF_EMPLOYEES")),_xll.BDP(Inputs!$K$25,"NUM_OF_EMPLOYEES_CSR"))</f>
        <v>94.746276306513323</v>
      </c>
      <c r="N45" s="585">
        <f>_xll.BQL(
Inputs!$Q$21,
"is_oper_inc(fpt=ltm,fa_adjusted=y,fs=mr)/1k",
"currency=USD"
)/IFERROR(VALUE(_xll.BDP(Inputs!$Q$21,"NUM_OF_EMPLOYEES")),_xll.BDP(Inputs!$Q$21,"NUM_OF_EMPLOYEES_CSR"))</f>
        <v>44.322884012539184</v>
      </c>
      <c r="O45" s="585">
        <f>_xll.BQL(
Inputs!$Q$22,
"is_oper_inc(fpt=ltm,fa_adjusted=y,fs=mr)/1k",
"currency=USD"
)/IFERROR(VALUE(_xll.BDP(Inputs!$Q$22,"NUM_OF_EMPLOYEES")),_xll.BDP(Inputs!$Q$22,"NUM_OF_EMPLOYEES_CSR"))</f>
        <v>201.83486238532109</v>
      </c>
      <c r="P45" s="585">
        <f>_xll.BQL(
Inputs!$Q$23,
"is_oper_inc(fpt=ltm,fa_adjusted=y,fs=mr)/1k",
"currency=USD"
)/IFERROR(VALUE(_xll.BDP(Inputs!$Q$23,"NUM_OF_EMPLOYEES")),_xll.BDP(Inputs!$Q$23,"NUM_OF_EMPLOYEES_CSR"))</f>
        <v>209.62188765595766</v>
      </c>
      <c r="Q45" s="585">
        <f>_xll.BQL(
Inputs!$Q$24,
"is_oper_inc(fpt=ltm,fa_adjusted=y,fs=mr)/1k",
"currency=USD"
)/IFERROR(VALUE(_xll.BDP(Inputs!$Q$24,"NUM_OF_EMPLOYEES")),_xll.BDP(Inputs!$Q$24,"NUM_OF_EMPLOYEES_CSR"))</f>
        <v>105.44736842105263</v>
      </c>
      <c r="R45" s="585">
        <f>_xll.BQL(
Inputs!$Q$25,
"is_oper_inc(fpt=ltm,fa_adjusted=y,fs=mr)/1k",
"currency=USD"
)/IFERROR(VALUE(_xll.BDP(Inputs!$Q$25,"NUM_OF_EMPLOYEES")),_xll.BDP(Inputs!$Q$25,"NUM_OF_EMPLOYEES_CSR"))</f>
        <v>128.55882352941177</v>
      </c>
    </row>
    <row r="46" spans="1:18" ht="15" customHeight="1">
      <c r="B46" s="378"/>
    </row>
    <row r="47" spans="1:18" ht="15" customHeight="1">
      <c r="A47" s="383" t="s">
        <v>33</v>
      </c>
      <c r="B47" s="598" t="s">
        <v>250</v>
      </c>
      <c r="C47" s="599" t="s">
        <v>230</v>
      </c>
      <c r="D47" s="599" t="str">
        <f t="shared" ref="D47:R47" si="3">D39</f>
        <v>VITAL FARMS INC</v>
      </c>
      <c r="E47" s="599" t="str">
        <f t="shared" si="3"/>
        <v>POST HOLDINGS IN</v>
      </c>
      <c r="F47" s="599" t="str">
        <f t="shared" si="3"/>
        <v>TYSON FOODS-A</v>
      </c>
      <c r="G47" s="599" t="str">
        <f t="shared" si="3"/>
        <v>LAMB WESTON</v>
      </c>
      <c r="H47" s="599" t="str">
        <f t="shared" si="3"/>
        <v>HORMEL FOODS CRP</v>
      </c>
      <c r="I47" s="599" t="str">
        <f t="shared" si="3"/>
        <v>GENERAL MILLS IN</v>
      </c>
      <c r="J47" s="599" t="str">
        <f t="shared" si="3"/>
        <v>CONAGRA BRANDS I</v>
      </c>
      <c r="K47" s="599" t="str">
        <f t="shared" si="3"/>
        <v>PILGRIM'S PRIDE</v>
      </c>
      <c r="L47" s="599" t="str">
        <f t="shared" si="3"/>
        <v>NESTLE SA-REG</v>
      </c>
      <c r="M47" s="599" t="str">
        <f t="shared" si="3"/>
        <v>UNILEVER PLC</v>
      </c>
      <c r="N47" s="599" t="str">
        <f t="shared" si="3"/>
        <v>PEPSICO INC</v>
      </c>
      <c r="O47" s="599" t="str">
        <f t="shared" si="3"/>
        <v>PROCTER &amp; GAMBLE</v>
      </c>
      <c r="P47" s="599" t="str">
        <f t="shared" si="3"/>
        <v>COCA-COLA CO/THE</v>
      </c>
      <c r="Q47" s="599" t="str">
        <f t="shared" si="3"/>
        <v>KIMBERLY-CLARK</v>
      </c>
      <c r="R47" s="599" t="str">
        <f t="shared" si="3"/>
        <v>COLGATE-PALMOLIV</v>
      </c>
    </row>
    <row r="48" spans="1:18" ht="3.95" customHeight="1">
      <c r="A48" s="383"/>
      <c r="B48" s="597"/>
      <c r="C48" s="36"/>
      <c r="D48" s="36"/>
      <c r="E48" s="36"/>
      <c r="F48" s="36"/>
      <c r="G48" s="36"/>
      <c r="H48" s="36"/>
      <c r="I48" s="36"/>
      <c r="J48" s="36"/>
      <c r="K48" s="36"/>
      <c r="L48" s="36"/>
      <c r="M48" s="36"/>
      <c r="N48" s="36"/>
      <c r="O48" s="36"/>
      <c r="P48" s="36"/>
      <c r="Q48" s="36"/>
      <c r="R48" s="36"/>
    </row>
    <row r="49" spans="1:18" ht="15" customHeight="1">
      <c r="B49" s="378" t="s">
        <v>251</v>
      </c>
      <c r="C49" s="585">
        <v>16.339830380219084</v>
      </c>
      <c r="D49" s="585" cm="1">
        <f t="array" ref="D49">_xll.BDP(Inputs!$E$21,"ACCT_RCV_DAYS")</f>
        <v>30.778734457334703</v>
      </c>
      <c r="E49" s="585" cm="1">
        <f t="array" ref="E49">_xll.BDP(Inputs!$E$22,"ACCT_RCV_DAYS")</f>
        <v>28.350029036004649</v>
      </c>
      <c r="F49" s="585" cm="1">
        <f t="array" ref="F49">_xll.BDP(Inputs!$E$23,"ACCT_RCV_DAYS")</f>
        <v>16.278690946699662</v>
      </c>
      <c r="G49" s="585" cm="1">
        <f t="array" ref="G49">_xll.BDP(Inputs!$E$24,"ACCT_RCV_DAYS")</f>
        <v>42.102563308293966</v>
      </c>
      <c r="H49" s="585" cm="1">
        <f t="array" ref="H49">_xll.BDP(Inputs!$E$25,"ACCT_RCV_DAYS")</f>
        <v>22.509542492115578</v>
      </c>
      <c r="I49" s="585" cm="1">
        <f t="array" ref="I49">_xll.BDP(Inputs!$K$21,"ACCT_RCV_DAYS")</f>
        <v>34.660377949467531</v>
      </c>
      <c r="J49" s="585" cm="1">
        <f t="array" ref="J49">_xll.BDP(Inputs!$K$22,"ACCT_RCV_DAYS")</f>
        <v>26.860119645430331</v>
      </c>
      <c r="K49" s="585" cm="1">
        <f t="array" ref="K49">_xll.BDP(Inputs!$K$23,"ACCT_RCV_DAYS")</f>
        <v>21.425184887379764</v>
      </c>
      <c r="L49" s="585" t="str" cm="1">
        <f t="array" ref="L49">_xll.BDP(Inputs!$K$24,"ACCT_RCV_DAYS")</f>
        <v>#N/A N/A</v>
      </c>
      <c r="M49" s="585" t="str" cm="1">
        <f t="array" ref="M49">_xll.BDP(Inputs!$K$25,"ACCT_RCV_DAYS")</f>
        <v>#N/A N/A</v>
      </c>
      <c r="N49" s="585" cm="1">
        <f t="array" ref="N49">_xll.BDP(Inputs!$Q$21,"ACCT_RCV_DAYS")</f>
        <v>48.267253782098791</v>
      </c>
      <c r="O49" s="585" cm="1">
        <f t="array" ref="O49">_xll.BDP(Inputs!$Q$22,"ACCT_RCV_DAYS")</f>
        <v>26.639664705044851</v>
      </c>
      <c r="P49" s="585" cm="1">
        <f t="array" ref="P49">_xll.BDP(Inputs!$Q$23,"ACCT_RCV_DAYS")</f>
        <v>33.695253070417742</v>
      </c>
      <c r="Q49" s="585" cm="1">
        <f t="array" ref="Q49">_xll.BDP(Inputs!$Q$24,"ACCT_RCV_DAYS")</f>
        <v>41.684186834719057</v>
      </c>
      <c r="R49" s="585" cm="1">
        <f t="array" ref="R49">_xll.BDP(Inputs!$Q$25,"ACCT_RCV_DAYS")</f>
        <v>32.835033503350338</v>
      </c>
    </row>
    <row r="50" spans="1:18" ht="15" customHeight="1">
      <c r="B50" s="378" t="s">
        <v>252</v>
      </c>
      <c r="C50" s="585">
        <v>42.080574035669848</v>
      </c>
      <c r="D50" s="585" cm="1">
        <f t="array" ref="D50">_xll.BDP(Inputs!$E$21,"INVENT_DAYS")</f>
        <v>32.894847672434807</v>
      </c>
      <c r="E50" s="585" cm="1">
        <f t="array" ref="E50">_xll.BDP(Inputs!$E$22,"INVENT_DAYS")</f>
        <v>50.999777124008205</v>
      </c>
      <c r="F50" s="585" cm="1">
        <f t="array" ref="F50">_xll.BDP(Inputs!$E$23,"INVENT_DAYS")</f>
        <v>37.917572139303488</v>
      </c>
      <c r="G50" s="585" cm="1">
        <f t="array" ref="G50">_xll.BDP(Inputs!$E$24,"INVENT_DAYS")</f>
        <v>73.298826777087655</v>
      </c>
      <c r="H50" s="585" cm="1">
        <f t="array" ref="H50">_xll.BDP(Inputs!$E$25,"INVENT_DAYS")</f>
        <v>62.615507275935741</v>
      </c>
      <c r="I50" s="585" cm="1">
        <f t="array" ref="I50">_xll.BDP(Inputs!$K$21,"INVENT_DAYS")</f>
        <v>58.567278797996664</v>
      </c>
      <c r="J50" s="585" cm="1">
        <f t="array" ref="J50">_xll.BDP(Inputs!$K$22,"INVENT_DAYS")</f>
        <v>95.386170822752959</v>
      </c>
      <c r="K50" s="585" cm="1">
        <f t="array" ref="K50">_xll.BDP(Inputs!$K$23,"INVENT_DAYS")</f>
        <v>43.517894971013746</v>
      </c>
      <c r="L50" s="585" cm="1">
        <f t="array" ref="L50">_xll.BDP(Inputs!$K$24,"INVENT_DAYS")</f>
        <v>103.80395553630721</v>
      </c>
      <c r="M50" s="585" t="str" cm="1">
        <f t="array" ref="M50">_xll.BDP(Inputs!$K$25,"INVENT_DAYS")</f>
        <v>#N/A N/A</v>
      </c>
      <c r="N50" s="585" cm="1">
        <f t="array" ref="N50">_xll.BDP(Inputs!$Q$21,"INVENT_DAYS")</f>
        <v>53.868203889300837</v>
      </c>
      <c r="O50" s="585" cm="1">
        <f t="array" ref="O50">_xll.BDP(Inputs!$Q$22,"INVENT_DAYS")</f>
        <v>64.582584296958515</v>
      </c>
      <c r="P50" s="585" cm="1">
        <f t="array" ref="P50">_xll.BDP(Inputs!$Q$23,"INVENT_DAYS")</f>
        <v>98.699460174066331</v>
      </c>
      <c r="Q50" s="585" cm="1">
        <f t="array" ref="Q50">_xll.BDP(Inputs!$Q$24,"INVENT_DAYS")</f>
        <v>51.804045770331015</v>
      </c>
      <c r="R50" s="585" cm="1">
        <f t="array" ref="R50">_xll.BDP(Inputs!$Q$25,"INVENT_DAYS")</f>
        <v>93.541085467917839</v>
      </c>
    </row>
    <row r="51" spans="1:18" ht="15" customHeight="1">
      <c r="B51" s="378" t="s">
        <v>253</v>
      </c>
      <c r="C51" s="585">
        <v>13.168247379839075</v>
      </c>
      <c r="D51" s="585" cm="1">
        <f t="array" ref="D51">_xll.BDP(Inputs!$E$21,"ACCOUNTS_PAYABLE_TURNOVER_DAYS")</f>
        <v>43.04757070134405</v>
      </c>
      <c r="E51" s="585" cm="1">
        <f t="array" ref="E51">_xll.BDP(Inputs!$E$22,"ACCOUNTS_PAYABLE_TURNOVER_DAYS")</f>
        <v>30.110637688424223</v>
      </c>
      <c r="F51" s="585" cm="1">
        <f t="array" ref="F51">_xll.BDP(Inputs!$E$23,"ACCOUNTS_PAYABLE_TURNOVER_DAYS")</f>
        <v>16.758099224132824</v>
      </c>
      <c r="G51" s="585" cm="1">
        <f t="array" ref="G51">_xll.BDP(Inputs!$E$24,"ACCOUNTS_PAYABLE_TURNOVER_DAYS")</f>
        <v>46.362532523850817</v>
      </c>
      <c r="H51" s="585" cm="1">
        <f t="array" ref="H51">_xll.BDP(Inputs!$E$25,"ACCOUNTS_PAYABLE_TURNOVER_DAYS")</f>
        <v>24.4513292298236</v>
      </c>
      <c r="I51" s="585" cm="1">
        <f t="array" ref="I51">_xll.BDP(Inputs!$K$21,"ACCOUNTS_PAYABLE_TURNOVER_DAYS")</f>
        <v>108.95424288235805</v>
      </c>
      <c r="J51" s="585" cm="1">
        <f t="array" ref="J51">_xll.BDP(Inputs!$K$22,"ACCOUNTS_PAYABLE_TURNOVER_DAYS")</f>
        <v>65.100415923945349</v>
      </c>
      <c r="K51" s="585" cm="1">
        <f t="array" ref="K51">_xll.BDP(Inputs!$K$23,"ACCOUNTS_PAYABLE_TURNOVER_DAYS")</f>
        <v>32.517147023077662</v>
      </c>
      <c r="L51" s="585" t="str" cm="1">
        <f t="array" ref="L51">_xll.BDP(Inputs!$K$24,"ACCOUNTS_PAYABLE_TURNOVER_DAYS")</f>
        <v>#N/A N/A</v>
      </c>
      <c r="M51" s="585" t="str" cm="1">
        <f t="array" ref="M51">_xll.BDP(Inputs!$K$25,"ACCOUNTS_PAYABLE_TURNOVER_DAYS")</f>
        <v>#N/A N/A</v>
      </c>
      <c r="N51" s="585" t="str" cm="1">
        <f t="array" ref="N51">_xll.BDP(Inputs!$Q$21,"ACCOUNTS_PAYABLE_TURNOVER_DAYS")</f>
        <v>#N/A N/A</v>
      </c>
      <c r="O51" s="585" cm="1">
        <f t="array" ref="O51">_xll.BDP(Inputs!$Q$22,"ACCOUNTS_PAYABLE_TURNOVER_DAYS")</f>
        <v>133.88468548406436</v>
      </c>
      <c r="P51" s="585" t="str" cm="1">
        <f t="array" ref="P51">_xll.BDP(Inputs!$Q$23,"ACCOUNTS_PAYABLE_TURNOVER_DAYS")</f>
        <v>#N/A N/A</v>
      </c>
      <c r="Q51" s="585" cm="1">
        <f t="array" ref="Q51">_xll.BDP(Inputs!$Q$24,"ACCOUNTS_PAYABLE_TURNOVER_DAYS")</f>
        <v>105.49292810237414</v>
      </c>
      <c r="R51" s="585" cm="1">
        <f t="array" ref="R51">_xll.BDP(Inputs!$Q$25,"ACCOUNTS_PAYABLE_TURNOVER_DAYS")</f>
        <v>75.560056902523513</v>
      </c>
    </row>
    <row r="52" spans="1:18" ht="15" customHeight="1">
      <c r="B52" s="378" t="s">
        <v>254</v>
      </c>
      <c r="C52" s="585">
        <v>45.252157036049859</v>
      </c>
      <c r="D52" s="585" cm="1">
        <f t="array" ref="D52">_xll.BDP(Inputs!$E$21,"CASH_CONVERSION_CYCLE")</f>
        <v>19.855100325288987</v>
      </c>
      <c r="E52" s="585" cm="1">
        <f t="array" ref="E52">_xll.BDP(Inputs!$E$22,"CASH_CONVERSION_CYCLE")</f>
        <v>47.647452548804381</v>
      </c>
      <c r="F52" s="585" cm="1">
        <f t="array" ref="F52">_xll.BDP(Inputs!$E$23,"CASH_CONVERSION_CYCLE")</f>
        <v>36.8653547504247</v>
      </c>
      <c r="G52" s="585" cm="1">
        <f t="array" ref="G52">_xll.BDP(Inputs!$E$24,"CASH_CONVERSION_CYCLE")</f>
        <v>68.010338799545167</v>
      </c>
      <c r="H52" s="585" cm="1">
        <f t="array" ref="H52">_xll.BDP(Inputs!$E$25,"CASH_CONVERSION_CYCLE")</f>
        <v>56.98817771181298</v>
      </c>
      <c r="I52" s="585" cm="1">
        <f t="array" ref="I52">_xll.BDP(Inputs!$K$21,"CASH_CONVERSION_CYCLE")</f>
        <v>-27.041067969301537</v>
      </c>
      <c r="J52" s="585" cm="1">
        <f t="array" ref="J52">_xll.BDP(Inputs!$K$22,"CASH_CONVERSION_CYCLE")</f>
        <v>47.611141351389932</v>
      </c>
      <c r="K52" s="585" cm="1">
        <f t="array" ref="K52">_xll.BDP(Inputs!$K$23,"CASH_CONVERSION_CYCLE")</f>
        <v>31.626477374193186</v>
      </c>
      <c r="L52" s="585" cm="1">
        <f t="array" ref="L52">_xll.BDP(Inputs!$K$24,"CASH_CONVERSION_CYCLE")</f>
        <v>18.366677986709803</v>
      </c>
      <c r="M52" s="585" cm="1">
        <f t="array" ref="M52">_xll.BDP(Inputs!$K$25,"CASH_CONVERSION_CYCLE")</f>
        <v>-31.499270761946974</v>
      </c>
      <c r="N52" s="585" cm="1">
        <f t="array" ref="N52">_xll.BDP(Inputs!$Q$21,"CASH_CONVERSION_CYCLE")</f>
        <v>-18.345369693334177</v>
      </c>
      <c r="O52" s="585" cm="1">
        <f t="array" ref="O52">_xll.BDP(Inputs!$Q$22,"CASH_CONVERSION_CYCLE")</f>
        <v>-42.662436482060997</v>
      </c>
      <c r="P52" s="585" cm="1">
        <f t="array" ref="P52">_xll.BDP(Inputs!$Q$23,"CASH_CONVERSION_CYCLE")</f>
        <v>9.9055438902815496</v>
      </c>
      <c r="Q52" s="585" cm="1">
        <f t="array" ref="Q52">_xll.BDP(Inputs!$Q$24,"CASH_CONVERSION_CYCLE")</f>
        <v>-14.313769777148067</v>
      </c>
      <c r="R52" s="585" cm="1">
        <f t="array" ref="R52">_xll.BDP(Inputs!$Q$25,"CASH_CONVERSION_CYCLE")</f>
        <v>38.455558439777093</v>
      </c>
    </row>
    <row r="53" spans="1:18" ht="15" customHeight="1">
      <c r="B53" s="378" t="s">
        <v>255</v>
      </c>
      <c r="C53" s="583">
        <v>0.3136915942124201</v>
      </c>
      <c r="D53" s="583" cm="1">
        <f t="array" ref="D53">_xll.BDP(Inputs!$E$21,"WORKING_CAPITAL_TO_SALES")</f>
        <v>0.25197926276736571</v>
      </c>
      <c r="E53" s="583" cm="1">
        <f t="array" ref="E53">_xll.BDP(Inputs!$E$22,"WORKING_CAPITAL_TO_SALES")</f>
        <v>0.15929404635661268</v>
      </c>
      <c r="F53" s="583" cm="1">
        <f t="array" ref="F53">_xll.BDP(Inputs!$E$23,"WORKING_CAPITAL_TO_SALES")</f>
        <v>8.2471466036272298E-2</v>
      </c>
      <c r="G53" s="583" cm="1">
        <f t="array" ref="G53">_xll.BDP(Inputs!$E$24,"WORKING_CAPITAL_TO_SALES")</f>
        <v>7.34608534035468E-2</v>
      </c>
      <c r="H53" s="583" cm="1">
        <f t="array" ref="H53">_xll.BDP(Inputs!$E$25,"WORKING_CAPITAL_TO_SALES")</f>
        <v>0.15195221829417865</v>
      </c>
      <c r="I53" s="583" cm="1">
        <f t="array" ref="I53">_xll.BDP(Inputs!$K$21,"WORKING_CAPITAL_TO_SALES")</f>
        <v>-0.13561286281060764</v>
      </c>
      <c r="J53" s="583" cm="1">
        <f t="array" ref="J53">_xll.BDP(Inputs!$K$22,"WORKING_CAPITAL_TO_SALES")</f>
        <v>-8.7769093052706706E-4</v>
      </c>
      <c r="K53" s="583" cm="1">
        <f t="array" ref="K53">_xll.BDP(Inputs!$K$23,"WORKING_CAPITAL_TO_SALES")</f>
        <v>0.10082953480134171</v>
      </c>
      <c r="L53" s="583" cm="1">
        <f t="array" ref="L53">_xll.BDP(Inputs!$K$24,"WORKING_CAPITAL_TO_SALES")</f>
        <v>-0.10545770580534439</v>
      </c>
      <c r="M53" s="583" cm="1">
        <f t="array" ref="M53">_xll.BDP(Inputs!$K$25,"WORKING_CAPITAL_TO_SALES")</f>
        <v>-9.8764813050527339E-2</v>
      </c>
      <c r="N53" s="583" cm="1">
        <f t="array" ref="N53">_xll.BDP(Inputs!$Q$21,"WORKING_CAPITAL_TO_SALES")</f>
        <v>-7.4284998038104372E-2</v>
      </c>
      <c r="O53" s="583" cm="1">
        <f t="array" ref="O53">_xll.BDP(Inputs!$Q$22,"WORKING_CAPITAL_TO_SALES")</f>
        <v>-0.11618456646575863</v>
      </c>
      <c r="P53" s="583" cm="1">
        <f t="array" ref="P53">_xll.BDP(Inputs!$Q$23,"WORKING_CAPITAL_TO_SALES")</f>
        <v>7.4380604309209133E-2</v>
      </c>
      <c r="Q53" s="583" cm="1">
        <f t="array" ref="Q53">_xll.BDP(Inputs!$Q$24,"WORKING_CAPITAL_TO_SALES")</f>
        <v>-7.0857384949425409E-2</v>
      </c>
      <c r="R53" s="583" cm="1">
        <f t="array" ref="R53">_xll.BDP(Inputs!$Q$25,"WORKING_CAPITAL_TO_SALES")</f>
        <v>-1.2076207620762076E-2</v>
      </c>
    </row>
    <row r="54" spans="1:18" ht="15" customHeight="1">
      <c r="B54" s="378" t="s">
        <v>256</v>
      </c>
      <c r="C54" s="584">
        <v>0.79707316247748994</v>
      </c>
      <c r="D54" s="584" cm="1">
        <f t="array" ref="D54">_xll.BDP(Inputs!$E$21,"CF_CASH_FROM_OPER")/_xll.BDP(Inputs!$E$21,"IS_OPER_INC")</f>
        <v>1.0200151057401812</v>
      </c>
      <c r="E54" s="584" cm="1">
        <f t="array" ref="E54">_xll.BDP(Inputs!$E$22,"CF_CASH_FROM_OPER")/_xll.BDP(Inputs!$E$22,"IS_OPER_INC")</f>
        <v>1.1741650913673598</v>
      </c>
      <c r="F54" s="584" cm="1">
        <f t="array" ref="F54">_xll.BDP(Inputs!$E$23,"CF_CASH_FROM_OPER")/_xll.BDP(Inputs!$E$23,"IS_OPER_INC")</f>
        <v>1.8381831085876508</v>
      </c>
      <c r="G54" s="584" cm="1">
        <f t="array" ref="G54">_xll.BDP(Inputs!$E$24,"CF_CASH_FROM_OPER")/_xll.BDP(Inputs!$E$24,"IS_OPER_INC")</f>
        <v>1.305517967222974</v>
      </c>
      <c r="H54" s="584" cm="1">
        <f t="array" ref="H54">_xll.BDP(Inputs!$E$25,"CF_CASH_FROM_OPER")/_xll.BDP(Inputs!$E$25,"IS_OPER_INC")</f>
        <v>1.1861597929456182</v>
      </c>
      <c r="I54" s="584" cm="1">
        <f t="array" ref="I54">_xll.BDP(Inputs!$K$21,"CF_CASH_FROM_OPER")/_xll.BDP(Inputs!$K$21,"IS_OPER_INC")</f>
        <v>0.88301863955458715</v>
      </c>
      <c r="J54" s="584" cm="1">
        <f t="array" ref="J54">_xll.BDP(Inputs!$K$22,"CF_CASH_FROM_OPER")/_xll.BDP(Inputs!$K$22,"IS_OPER_INC")</f>
        <v>1.2398505056426794</v>
      </c>
      <c r="K54" s="584" cm="1">
        <f t="array" ref="K54">_xll.BDP(Inputs!$K$23,"CF_CASH_FROM_OPER")/_xll.BDP(Inputs!$K$23,"IS_OPER_INC")</f>
        <v>1.3214049289906373</v>
      </c>
      <c r="L54" s="584" cm="1">
        <f t="array" ref="L54">_xll.BDP(Inputs!$K$24,"CF_CASH_FROM_OPER")/_xll.BDP(Inputs!$K$24,"IS_OPER_INC")</f>
        <v>1.1325047541428959</v>
      </c>
      <c r="M54" s="584" cm="1">
        <f t="array" ref="M54">_xll.BDP(Inputs!$K$25,"CF_CASH_FROM_OPER")/_xll.BDP(Inputs!$K$25,"IS_OPER_INC")</f>
        <v>0.97095744680851059</v>
      </c>
      <c r="N54" s="584" cm="1">
        <f t="array" ref="N54">_xll.BDP(Inputs!$Q$21,"CF_CASH_FROM_OPER")/_xll.BDP(Inputs!$Q$21,"IS_OPER_INC")</f>
        <v>0.97051291999689615</v>
      </c>
      <c r="O54" s="584" cm="1">
        <f t="array" ref="O54">_xll.BDP(Inputs!$Q$22,"CF_CASH_FROM_OPER")/_xll.BDP(Inputs!$Q$22,"IS_OPER_INC")</f>
        <v>0.87120434208596154</v>
      </c>
      <c r="P54" s="584" cm="1">
        <f t="array" ref="P54">_xll.BDP(Inputs!$Q$23,"CF_CASH_FROM_OPER")/_xll.BDP(Inputs!$Q$23,"IS_OPER_INC")</f>
        <v>0.68104483586869491</v>
      </c>
      <c r="Q54" s="584" cm="1">
        <f t="array" ref="Q54">_xll.BDP(Inputs!$Q$24,"CF_CASH_FROM_OPER")/_xll.BDP(Inputs!$Q$24,"IS_OPER_INC")</f>
        <v>1.0074766355140188</v>
      </c>
      <c r="R54" s="584" cm="1">
        <f t="array" ref="R54">_xll.BDP(Inputs!$Q$25,"CF_CASH_FROM_OPER")/_xll.BDP(Inputs!$Q$25,"IS_OPER_INC")</f>
        <v>0.96227741330834116</v>
      </c>
    </row>
    <row r="55" spans="1:18" ht="15" customHeight="1">
      <c r="B55" s="378" t="s">
        <v>257</v>
      </c>
      <c r="C55" s="583">
        <v>0.28736908668347455</v>
      </c>
      <c r="D55" s="583" cm="1">
        <f t="array" ref="D55">_xll.BDP(Inputs!$E$21,"CF_CASH_FROM_OPER")/_xll.BDP(Inputs!$E$21,"SALES_REV_TURN")</f>
        <v>0.10691613324602882</v>
      </c>
      <c r="E55" s="583" cm="1">
        <f t="array" ref="E55">_xll.BDP(Inputs!$E$22,"CF_CASH_FROM_OPER")/_xll.BDP(Inputs!$E$22,"SALES_REV_TURN")</f>
        <v>0.11759879838943796</v>
      </c>
      <c r="F55" s="583" cm="1">
        <f t="array" ref="F55">_xll.BDP(Inputs!$E$23,"CF_CASH_FROM_OPER")/_xll.BDP(Inputs!$E$23,"SALES_REV_TURN")</f>
        <v>4.8584666754206605E-2</v>
      </c>
      <c r="G55" s="583" cm="1">
        <f t="array" ref="G55">_xll.BDP(Inputs!$E$24,"CF_CASH_FROM_OPER")/_xll.BDP(Inputs!$E$24,"SALES_REV_TURN")</f>
        <v>0.13459302776184645</v>
      </c>
      <c r="H55" s="583" cm="1">
        <f t="array" ref="H55">_xll.BDP(Inputs!$E$25,"CF_CASH_FROM_OPER")/_xll.BDP(Inputs!$E$25,"SALES_REV_TURN")</f>
        <v>0.10626286145129391</v>
      </c>
      <c r="I55" s="583" cm="1">
        <f t="array" ref="I55">_xll.BDP(Inputs!$K$21,"CF_CASH_FROM_OPER")/_xll.BDP(Inputs!$K$21,"SALES_REV_TURN")</f>
        <v>0.14975419005880963</v>
      </c>
      <c r="J55" s="583" cm="1">
        <f t="array" ref="J55">_xll.BDP(Inputs!$K$22,"CF_CASH_FROM_OPER")/_xll.BDP(Inputs!$K$22,"SALES_REV_TURN")</f>
        <v>0.14569268393496831</v>
      </c>
      <c r="K55" s="583" cm="1">
        <f t="array" ref="K55">_xll.BDP(Inputs!$K$23,"CF_CASH_FROM_OPER")/_xll.BDP(Inputs!$K$23,"SALES_REV_TURN")</f>
        <v>0.11131528175707621</v>
      </c>
      <c r="L55" s="583" cm="1">
        <f t="array" ref="L55">_xll.BDP(Inputs!$K$24,"CF_CASH_FROM_OPER")/_xll.BDP(Inputs!$K$24,"SALES_REV_TURN")</f>
        <v>0.18180331443523767</v>
      </c>
      <c r="M55" s="583" cm="1">
        <f t="array" ref="M55">_xll.BDP(Inputs!$K$25,"CF_CASH_FROM_OPER")/_xll.BDP(Inputs!$K$25,"SALES_REV_TURN")</f>
        <v>0.15021148434028406</v>
      </c>
      <c r="N55" s="583" cm="1">
        <f t="array" ref="N55">_xll.BDP(Inputs!$Q$21,"CF_CASH_FROM_OPER")/_xll.BDP(Inputs!$Q$21,"SALES_REV_TURN")</f>
        <v>0.13616173492716702</v>
      </c>
      <c r="O55" s="583" cm="1">
        <f t="array" ref="O55">_xll.BDP(Inputs!$Q$22,"CF_CASH_FROM_OPER")/_xll.BDP(Inputs!$Q$22,"SALES_REV_TURN")</f>
        <v>0.21139243510037492</v>
      </c>
      <c r="P55" s="583" cm="1">
        <f t="array" ref="P55">_xll.BDP(Inputs!$Q$23,"CF_CASH_FROM_OPER")/_xll.BDP(Inputs!$Q$23,"SALES_REV_TURN")</f>
        <v>0.14459956227024501</v>
      </c>
      <c r="Q55" s="583" cm="1">
        <f t="array" ref="Q55">_xll.BDP(Inputs!$Q$24,"CF_CASH_FROM_OPER")/_xll.BDP(Inputs!$Q$24,"SALES_REV_TURN")</f>
        <v>0.16123242596470236</v>
      </c>
      <c r="R55" s="583" cm="1">
        <f t="array" ref="R55">_xll.BDP(Inputs!$Q$25,"CF_CASH_FROM_OPER")/_xll.BDP(Inputs!$Q$25,"SALES_REV_TURN")</f>
        <v>0.20431819312472016</v>
      </c>
    </row>
    <row r="56" spans="1:18" ht="15" customHeight="1">
      <c r="B56" s="378"/>
    </row>
    <row r="57" spans="1:18" ht="15" customHeight="1">
      <c r="A57" s="383" t="s">
        <v>33</v>
      </c>
      <c r="B57" s="598" t="s">
        <v>258</v>
      </c>
      <c r="C57" s="599" t="s">
        <v>230</v>
      </c>
      <c r="D57" s="599" t="str">
        <f t="shared" ref="D57:R57" si="4">D47</f>
        <v>VITAL FARMS INC</v>
      </c>
      <c r="E57" s="599" t="str">
        <f t="shared" si="4"/>
        <v>POST HOLDINGS IN</v>
      </c>
      <c r="F57" s="599" t="str">
        <f t="shared" si="4"/>
        <v>TYSON FOODS-A</v>
      </c>
      <c r="G57" s="599" t="str">
        <f t="shared" si="4"/>
        <v>LAMB WESTON</v>
      </c>
      <c r="H57" s="599" t="str">
        <f t="shared" si="4"/>
        <v>HORMEL FOODS CRP</v>
      </c>
      <c r="I57" s="599" t="str">
        <f t="shared" si="4"/>
        <v>GENERAL MILLS IN</v>
      </c>
      <c r="J57" s="599" t="str">
        <f t="shared" si="4"/>
        <v>CONAGRA BRANDS I</v>
      </c>
      <c r="K57" s="599" t="str">
        <f t="shared" si="4"/>
        <v>PILGRIM'S PRIDE</v>
      </c>
      <c r="L57" s="599" t="str">
        <f t="shared" si="4"/>
        <v>NESTLE SA-REG</v>
      </c>
      <c r="M57" s="599" t="str">
        <f t="shared" si="4"/>
        <v>UNILEVER PLC</v>
      </c>
      <c r="N57" s="599" t="str">
        <f t="shared" si="4"/>
        <v>PEPSICO INC</v>
      </c>
      <c r="O57" s="599" t="str">
        <f t="shared" si="4"/>
        <v>PROCTER &amp; GAMBLE</v>
      </c>
      <c r="P57" s="599" t="str">
        <f t="shared" si="4"/>
        <v>COCA-COLA CO/THE</v>
      </c>
      <c r="Q57" s="599" t="str">
        <f t="shared" si="4"/>
        <v>KIMBERLY-CLARK</v>
      </c>
      <c r="R57" s="599" t="str">
        <f t="shared" si="4"/>
        <v>COLGATE-PALMOLIV</v>
      </c>
    </row>
    <row r="58" spans="1:18" ht="3.95" customHeight="1">
      <c r="A58" s="383"/>
      <c r="B58" s="597"/>
      <c r="C58" s="36"/>
      <c r="D58" s="36"/>
      <c r="E58" s="36"/>
      <c r="F58" s="36"/>
      <c r="G58" s="36"/>
      <c r="H58" s="36"/>
      <c r="I58" s="36"/>
      <c r="J58" s="36"/>
      <c r="K58" s="36"/>
      <c r="L58" s="36"/>
      <c r="M58" s="36"/>
      <c r="N58" s="36"/>
      <c r="O58" s="36"/>
      <c r="P58" s="36"/>
      <c r="Q58" s="36"/>
      <c r="R58" s="36"/>
    </row>
    <row r="59" spans="1:18" ht="15" customHeight="1">
      <c r="B59" s="378" t="s">
        <v>259</v>
      </c>
      <c r="C59" s="584">
        <v>-0.85375576489058969</v>
      </c>
      <c r="D59" s="584" cm="1">
        <f t="array" ref="D59">_xll.BDP(Inputs!$E$21,"NET_DEBT_TO_EBITDA")</f>
        <v>-1.5589326435451485</v>
      </c>
      <c r="E59" s="584" cm="1">
        <f t="array" ref="E59">_xll.BDP(Inputs!$E$22,"NET_DEBT_TO_EBITDA")</f>
        <v>4.7510762027037234</v>
      </c>
      <c r="F59" s="584" cm="1">
        <f t="array" ref="F59">_xll.BDP(Inputs!$E$23,"NET_DEBT_TO_EBITDA")</f>
        <v>3.0049786628733997</v>
      </c>
      <c r="G59" s="584" cm="1">
        <f t="array" ref="G59">_xll.BDP(Inputs!$E$24,"NET_DEBT_TO_EBITDA")</f>
        <v>3.8099432374241533</v>
      </c>
      <c r="H59" s="584" cm="1">
        <f t="array" ref="H59">_xll.BDP(Inputs!$E$25,"NET_DEBT_TO_EBITDA")</f>
        <v>1.7504057114102403</v>
      </c>
      <c r="I59" s="584" cm="1">
        <f t="array" ref="I59">_xll.BDP(Inputs!$K$21,"NET_DEBT_TO_EBITDA")</f>
        <v>2.8400954150130877</v>
      </c>
      <c r="J59" s="584" cm="1">
        <f t="array" ref="J59">_xll.BDP(Inputs!$K$22,"NET_DEBT_TO_EBITDA")</f>
        <v>4.4682343234323429</v>
      </c>
      <c r="K59" s="584" cm="1">
        <f t="array" ref="K59">_xll.BDP(Inputs!$K$23,"NET_DEBT_TO_EBITDA")</f>
        <v>1.1795193934918597</v>
      </c>
      <c r="L59" s="584" cm="1">
        <f t="array" ref="L59">_xll.BDP(Inputs!$K$24,"NET_DEBT_TO_EBITDA")</f>
        <v>3.3923671879410602</v>
      </c>
      <c r="M59" s="584" t="str" cm="1">
        <f t="array" ref="M59">_xll.BDP(Inputs!$K$25,"NET_DEBT_TO_EBITDA")</f>
        <v>#N/A N/A</v>
      </c>
      <c r="N59" s="584" cm="1">
        <f t="array" ref="N59">_xll.BDP(Inputs!$Q$21,"NET_DEBT_TO_EBITDA")</f>
        <v>3.1534941159378178</v>
      </c>
      <c r="O59" s="584" cm="1">
        <f t="array" ref="O59">_xll.BDP(Inputs!$Q$22,"NET_DEBT_TO_EBITDA")</f>
        <v>1.1120267834148854</v>
      </c>
      <c r="P59" s="584" cm="1">
        <f t="array" ref="P59">_xll.BDP(Inputs!$Q$23,"NET_DEBT_TO_EBITDA")</f>
        <v>2.4669427288040429</v>
      </c>
      <c r="Q59" s="584" cm="1">
        <f t="array" ref="Q59">_xll.BDP(Inputs!$Q$24,"NET_DEBT_TO_EBITDA")</f>
        <v>1.6893377652774226</v>
      </c>
      <c r="R59" s="584" cm="1">
        <f t="array" ref="R59">_xll.BDP(Inputs!$Q$25,"NET_DEBT_TO_EBITDA")</f>
        <v>1.5047111839410079</v>
      </c>
    </row>
    <row r="60" spans="1:18" ht="15" customHeight="1">
      <c r="B60" s="378" t="s">
        <v>260</v>
      </c>
      <c r="C60" s="584">
        <v>-1.3090056315169365</v>
      </c>
      <c r="D60" s="584" cm="1">
        <f t="array" ref="D60">_xll.BDP(Inputs!$E$21,"NET_DEBT")/_xll.BDP(Inputs!$E$21,"CF_FREE_CASH_FLOW")</f>
        <v>-3.913510973519819</v>
      </c>
      <c r="E60" s="584" cm="1">
        <f t="array" ref="E60">_xll.BDP(Inputs!$E$22,"NET_DEBT")/_xll.BDP(Inputs!$E$22,"CF_FREE_CASH_FLOW")</f>
        <v>12.4926324173636</v>
      </c>
      <c r="F60" s="584" cm="1">
        <f t="array" ref="F60">_xll.BDP(Inputs!$E$23,"NET_DEBT")/_xll.BDP(Inputs!$E$23,"CF_FREE_CASH_FLOW")</f>
        <v>6.0109739368998625</v>
      </c>
      <c r="G60" s="584" cm="1">
        <f t="array" ref="G60">_xll.BDP(Inputs!$E$24,"NET_DEBT")/_xll.BDP(Inputs!$E$24,"CF_FREE_CASH_FLOW")</f>
        <v>18.181225554106916</v>
      </c>
      <c r="H60" s="584" cm="1">
        <f t="array" ref="H60">_xll.BDP(Inputs!$E$25,"NET_DEBT")/_xll.BDP(Inputs!$E$25,"CF_FREE_CASH_FLOW")</f>
        <v>2.2226018685594431</v>
      </c>
      <c r="I60" s="584" cm="1">
        <f t="array" ref="I60">_xll.BDP(Inputs!$K$21,"NET_DEBT")/_xll.BDP(Inputs!$K$21,"CF_FREE_CASH_FLOW")</f>
        <v>6.5126259322255677</v>
      </c>
      <c r="J60" s="584" cm="1">
        <f t="array" ref="J60">_xll.BDP(Inputs!$K$22,"NET_DEBT")/_xll.BDP(Inputs!$K$22,"CF_FREE_CASH_FLOW")</f>
        <v>6.3278059266083213</v>
      </c>
      <c r="K60" s="584" cm="1">
        <f t="array" ref="K60">_xll.BDP(Inputs!$K$23,"NET_DEBT")/_xll.BDP(Inputs!$K$23,"CF_FREE_CASH_FLOW")</f>
        <v>1.0163794094218261</v>
      </c>
      <c r="L60" s="584" cm="1">
        <f t="array" ref="L60">_xll.BDP(Inputs!$K$24,"NET_DEBT")/_xll.BDP(Inputs!$K$24,"CF_FREE_CASH_FLOW")</f>
        <v>4.9714596357705902</v>
      </c>
      <c r="M60" s="584" cm="1">
        <f t="array" ref="M60">_xll.BDP(Inputs!$K$25,"NET_DEBT")/_xll.BDP(Inputs!$K$25,"CF_FREE_CASH_FLOW")</f>
        <v>3.3271078630396533</v>
      </c>
      <c r="N60" s="584" cm="1">
        <f t="array" ref="N60">_xll.BDP(Inputs!$Q$21,"NET_DEBT")/_xll.BDP(Inputs!$Q$21,"CF_FREE_CASH_FLOW")</f>
        <v>5.3533175685074417</v>
      </c>
      <c r="O60" s="584" cm="1">
        <f t="array" ref="O60">_xll.BDP(Inputs!$Q$22,"NET_DEBT")/_xll.BDP(Inputs!$Q$22,"CF_FREE_CASH_FLOW")</f>
        <v>1.8447735687838223</v>
      </c>
      <c r="P60" s="584" cm="1">
        <f t="array" ref="P60">_xll.BDP(Inputs!$Q$23,"NET_DEBT")/_xll.BDP(Inputs!$Q$23,"CF_FREE_CASH_FLOW")</f>
        <v>6.5732967728327356</v>
      </c>
      <c r="Q60" s="584" cm="1">
        <f t="array" ref="Q60">_xll.BDP(Inputs!$Q$24,"NET_DEBT")/_xll.BDP(Inputs!$Q$24,"CF_FREE_CASH_FLOW")</f>
        <v>2.7290091524074813</v>
      </c>
      <c r="R60" s="584" cm="1">
        <f t="array" ref="R60">_xll.BDP(Inputs!$Q$25,"NET_DEBT")/_xll.BDP(Inputs!$Q$25,"CF_FREE_CASH_FLOW")</f>
        <v>2.0462492949802593</v>
      </c>
    </row>
    <row r="61" spans="1:18" ht="15" customHeight="1">
      <c r="B61" s="378" t="s">
        <v>261</v>
      </c>
      <c r="C61" s="584">
        <v>2510.6846405228757</v>
      </c>
      <c r="D61" s="584" cm="1">
        <f t="array" ref="D61">_xll.BDP(Inputs!$E$21,"IS_OPER_INC")/_xll.BDP(Inputs!$E$21,"IS_INT_EXPENSE")</f>
        <v>62.922772277227722</v>
      </c>
      <c r="E61" s="584" cm="1">
        <f t="array" ref="E61">_xll.BDP(Inputs!$E$22,"IS_OPER_INC")/_xll.BDP(Inputs!$E$22,"IS_INT_EXPENSE")</f>
        <v>2.5071090047393363</v>
      </c>
      <c r="F61" s="584" cm="1">
        <f t="array" ref="F61">_xll.BDP(Inputs!$E$23,"IS_OPER_INC")/_xll.BDP(Inputs!$E$23,"IS_INT_EXPENSE")</f>
        <v>2.9293139293139294</v>
      </c>
      <c r="G61" s="584" t="e" cm="1">
        <f t="array" ref="G61">_xll.BDP(Inputs!$E$24,"IS_OPER_INC")/_xll.BDP(Inputs!$E$24,"IS_INT_EXPENSE")</f>
        <v>#VALUE!</v>
      </c>
      <c r="H61" s="584" cm="1">
        <f t="array" ref="H61">_xll.BDP(Inputs!$E$25,"IS_OPER_INC")/_xll.BDP(Inputs!$E$25,"IS_INT_EXPENSE")</f>
        <v>13.20162187554083</v>
      </c>
      <c r="I61" s="584" cm="1">
        <f t="array" ref="I61">_xll.BDP(Inputs!$K$21,"IS_OPER_INC")/_xll.BDP(Inputs!$K$21,"IS_INT_EXPENSE")</f>
        <v>6.0218658892128287</v>
      </c>
      <c r="J61" s="584" cm="1">
        <f t="array" ref="J61">_xll.BDP(Inputs!$K$22,"IS_OPER_INC")/_xll.BDP(Inputs!$K$22,"IS_INT_EXPENSE")</f>
        <v>3.1920467836257309</v>
      </c>
      <c r="K61" s="584" cm="1">
        <f t="array" ref="K61">_xll.BDP(Inputs!$K$23,"IS_OPER_INC")/_xll.BDP(Inputs!$K$23,"IS_INT_EXPENSE")</f>
        <v>9.3443089809213582</v>
      </c>
      <c r="L61" s="584" cm="1">
        <f t="array" ref="L61">_xll.BDP(Inputs!$K$24,"IS_OPER_INC")/_xll.BDP(Inputs!$K$24,"IS_INT_EXPENSE")</f>
        <v>8.6611764705882361</v>
      </c>
      <c r="M61" s="584" cm="1">
        <f t="array" ref="M61">_xll.BDP(Inputs!$K$25,"IS_OPER_INC")/_xll.BDP(Inputs!$K$25,"IS_INT_EXPENSE")</f>
        <v>7.7814569536423841</v>
      </c>
      <c r="N61" s="584" cm="1">
        <f t="array" ref="N61">_xll.BDP(Inputs!$Q$21,"IS_OPER_INC")/_xll.BDP(Inputs!$Q$21,"IS_INT_EXPENSE")</f>
        <v>14.022850924918389</v>
      </c>
      <c r="O61" s="584" cm="1">
        <f t="array" ref="O61">_xll.BDP(Inputs!$Q$22,"IS_OPER_INC")/_xll.BDP(Inputs!$Q$22,"IS_INT_EXPENSE")</f>
        <v>22.547960308710032</v>
      </c>
      <c r="P61" s="584" cm="1">
        <f t="array" ref="P61">_xll.BDP(Inputs!$Q$23,"IS_OPER_INC")/_xll.BDP(Inputs!$Q$23,"IS_INT_EXPENSE")</f>
        <v>6.0338164251207731</v>
      </c>
      <c r="Q61" s="584" cm="1">
        <f t="array" ref="Q61">_xll.BDP(Inputs!$Q$24,"IS_OPER_INC")/_xll.BDP(Inputs!$Q$24,"IS_INT_EXPENSE")</f>
        <v>11.888888888888889</v>
      </c>
      <c r="R61" s="584" cm="1">
        <f t="array" ref="R61">_xll.BDP(Inputs!$Q$25,"IS_OPER_INC")/_xll.BDP(Inputs!$Q$25,"IS_INT_EXPENSE")</f>
        <v>14.616438356164384</v>
      </c>
    </row>
    <row r="62" spans="1:18" ht="15" customHeight="1">
      <c r="B62" s="378" t="s">
        <v>262</v>
      </c>
      <c r="C62" s="583">
        <v>0</v>
      </c>
      <c r="D62" s="583" cm="1">
        <f t="array" ref="D62">_xll.BDP(Inputs!$E$21,"TOT_DEBT_TO_TOT_CAP")/100</f>
        <v>6.4962571003985947E-2</v>
      </c>
      <c r="E62" s="583" cm="1">
        <f t="array" ref="E62">_xll.BDP(Inputs!$E$22,"TOT_DEBT_TO_TOT_CAP")/100</f>
        <v>0.63258230683090699</v>
      </c>
      <c r="F62" s="583" cm="1">
        <f t="array" ref="F62">_xll.BDP(Inputs!$E$23,"TOT_DEBT_TO_TOT_CAP")/100</f>
        <v>0.36147611657182277</v>
      </c>
      <c r="G62" s="583" cm="1">
        <f t="array" ref="G62">_xll.BDP(Inputs!$E$24,"TOT_DEBT_TO_TOT_CAP")/100</f>
        <v>0.7099918222934295</v>
      </c>
      <c r="H62" s="583" cm="1">
        <f t="array" ref="H62">_xll.BDP(Inputs!$E$25,"TOT_DEBT_TO_TOT_CAP")/100</f>
        <v>0.27342755222096782</v>
      </c>
      <c r="I62" s="583" cm="1">
        <f t="array" ref="I62">_xll.BDP(Inputs!$K$21,"TOT_DEBT_TO_TOT_CAP")/100</f>
        <v>0.62415384427062293</v>
      </c>
      <c r="J62" s="583" cm="1">
        <f t="array" ref="J62">_xll.BDP(Inputs!$K$22,"TOT_DEBT_TO_TOT_CAP")/100</f>
        <v>0.48196110953239801</v>
      </c>
      <c r="K62" s="583" cm="1">
        <f t="array" ref="K62">_xll.BDP(Inputs!$K$23,"TOT_DEBT_TO_TOT_CAP")/100</f>
        <v>0.45699030844113153</v>
      </c>
      <c r="L62" s="583" cm="1">
        <f t="array" ref="L62">_xll.BDP(Inputs!$K$24,"TOT_DEBT_TO_TOT_CAP")/100</f>
        <v>0.63098135446627912</v>
      </c>
      <c r="M62" s="583" cm="1">
        <f t="array" ref="M62">_xll.BDP(Inputs!$K$25,"TOT_DEBT_TO_TOT_CAP")/100</f>
        <v>0.58581239900102833</v>
      </c>
      <c r="N62" s="583" cm="1">
        <f t="array" ref="N62">_xll.BDP(Inputs!$Q$21,"TOT_DEBT_TO_TOT_CAP")/100</f>
        <v>0.72435605715845996</v>
      </c>
      <c r="O62" s="583" cm="1">
        <f t="array" ref="O62">_xll.BDP(Inputs!$Q$22,"TOT_DEBT_TO_TOT_CAP")/100</f>
        <v>0.40415275387753707</v>
      </c>
      <c r="P62" s="583" cm="1">
        <f t="array" ref="P62">_xll.BDP(Inputs!$Q$23,"TOT_DEBT_TO_TOT_CAP")/100</f>
        <v>0.63426574396383151</v>
      </c>
      <c r="Q62" s="583" cm="1">
        <f t="array" ref="Q62">_xll.BDP(Inputs!$Q$24,"TOT_DEBT_TO_TOT_CAP")/100</f>
        <v>0.88617703295467332</v>
      </c>
      <c r="R62" s="583" cm="1">
        <f t="array" ref="R62">_xll.BDP(Inputs!$Q$25,"TOT_DEBT_TO_TOT_CAP")/100</f>
        <v>0.93992932862190814</v>
      </c>
    </row>
    <row r="63" spans="1:18" ht="15" customHeight="1">
      <c r="B63" s="378" t="s">
        <v>263</v>
      </c>
      <c r="C63" s="583" t="e">
        <v>#DIV/0!</v>
      </c>
      <c r="D63" s="583" cm="1">
        <f t="array" ref="D63">_xll.BDP(Inputs!$E$21,"BS_ST_BORROW")/_xll.BDP(Inputs!$E$21,"SHORT_AND_LONG_TERM_DEBT")</f>
        <v>0.41587386424371992</v>
      </c>
      <c r="E63" s="583" cm="1">
        <f t="array" ref="E63">_xll.BDP(Inputs!$E$22,"BS_ST_BORROW")/_xll.BDP(Inputs!$E$22,"SHORT_AND_LONG_TERM_DEBT")</f>
        <v>5.9763213051605962E-3</v>
      </c>
      <c r="F63" s="583" cm="1">
        <f t="array" ref="F63">_xll.BDP(Inputs!$E$23,"BS_ST_BORROW")/_xll.BDP(Inputs!$E$23,"SHORT_AND_LONG_TERM_DEBT")</f>
        <v>2.3566453582673411E-2</v>
      </c>
      <c r="G63" s="583" cm="1">
        <f t="array" ref="G63">_xll.BDP(Inputs!$E$24,"BS_ST_BORROW")/_xll.BDP(Inputs!$E$24,"SHORT_AND_LONG_TERM_DEBT")</f>
        <v>0.11106671054487331</v>
      </c>
      <c r="H63" s="583" cm="1">
        <f t="array" ref="H63">_xll.BDP(Inputs!$E$25,"BS_ST_BORROW")/_xll.BDP(Inputs!$E$25,"SHORT_AND_LONG_TERM_DEBT")</f>
        <v>1.324021591501774E-2</v>
      </c>
      <c r="I63" s="583" cm="1">
        <f t="array" ref="I63">_xll.BDP(Inputs!$K$21,"BS_ST_BORROW")/_xll.BDP(Inputs!$K$21,"SHORT_AND_LONG_TERM_DEBT")</f>
        <v>0.15171246085757056</v>
      </c>
      <c r="J63" s="583" cm="1">
        <f t="array" ref="J63">_xll.BDP(Inputs!$K$22,"BS_ST_BORROW")/_xll.BDP(Inputs!$K$22,"SHORT_AND_LONG_TERM_DEBT")</f>
        <v>0.22539888816691936</v>
      </c>
      <c r="K63" s="583" cm="1">
        <f t="array" ref="K63">_xll.BDP(Inputs!$K$23,"BS_ST_BORROW")/_xll.BDP(Inputs!$K$23,"SHORT_AND_LONG_TERM_DEBT")</f>
        <v>4.9600151525056112E-2</v>
      </c>
      <c r="L63" s="583" cm="1">
        <f t="array" ref="L63">_xll.BDP(Inputs!$K$24,"BS_ST_BORROW")/_xll.BDP(Inputs!$K$24,"SHORT_AND_LONG_TERM_DEBT")</f>
        <v>0.18907891171642147</v>
      </c>
      <c r="M63" s="583" cm="1">
        <f t="array" ref="M63">_xll.BDP(Inputs!$K$25,"BS_ST_BORROW")/_xll.BDP(Inputs!$K$25,"SHORT_AND_LONG_TERM_DEBT")</f>
        <v>0.21425660637597568</v>
      </c>
      <c r="N63" s="583" cm="1">
        <f t="array" ref="N63">_xll.BDP(Inputs!$Q$21,"BS_ST_BORROW")/_xll.BDP(Inputs!$Q$21,"SHORT_AND_LONG_TERM_DEBT")</f>
        <v>0.16175577474817282</v>
      </c>
      <c r="O63" s="583" cm="1">
        <f t="array" ref="O63">_xll.BDP(Inputs!$Q$22,"BS_ST_BORROW")/_xll.BDP(Inputs!$Q$22,"SHORT_AND_LONG_TERM_DEBT")</f>
        <v>0.27543424317617865</v>
      </c>
      <c r="P63" s="583" cm="1">
        <f t="array" ref="P63">_xll.BDP(Inputs!$Q$23,"BS_ST_BORROW")/_xll.BDP(Inputs!$Q$23,"SHORT_AND_LONG_TERM_DEBT")</f>
        <v>5.3285230130097297E-2</v>
      </c>
      <c r="Q63" s="583" cm="1">
        <f t="array" ref="Q63">_xll.BDP(Inputs!$Q$24,"BS_ST_BORROW")/_xll.BDP(Inputs!$Q$24,"SHORT_AND_LONG_TERM_DEBT")</f>
        <v>8.8716842238862795E-2</v>
      </c>
      <c r="R63" s="583" cm="1">
        <f t="array" ref="R63">_xll.BDP(Inputs!$Q$25,"BS_ST_BORROW")/_xll.BDP(Inputs!$Q$25,"SHORT_AND_LONG_TERM_DEBT")</f>
        <v>9.0108082706766915E-2</v>
      </c>
    </row>
    <row r="64" spans="1:18" ht="15" customHeight="1">
      <c r="B64" s="378"/>
    </row>
    <row r="65" spans="1:18" ht="15" customHeight="1">
      <c r="A65" s="383" t="s">
        <v>33</v>
      </c>
      <c r="B65" s="598" t="s">
        <v>264</v>
      </c>
      <c r="C65" s="599" t="s">
        <v>230</v>
      </c>
      <c r="D65" s="599" t="str">
        <f t="shared" ref="D65:R65" si="5">D57</f>
        <v>VITAL FARMS INC</v>
      </c>
      <c r="E65" s="599" t="str">
        <f t="shared" si="5"/>
        <v>POST HOLDINGS IN</v>
      </c>
      <c r="F65" s="599" t="str">
        <f t="shared" si="5"/>
        <v>TYSON FOODS-A</v>
      </c>
      <c r="G65" s="599" t="str">
        <f t="shared" si="5"/>
        <v>LAMB WESTON</v>
      </c>
      <c r="H65" s="599" t="str">
        <f t="shared" si="5"/>
        <v>HORMEL FOODS CRP</v>
      </c>
      <c r="I65" s="599" t="str">
        <f t="shared" si="5"/>
        <v>GENERAL MILLS IN</v>
      </c>
      <c r="J65" s="599" t="str">
        <f t="shared" si="5"/>
        <v>CONAGRA BRANDS I</v>
      </c>
      <c r="K65" s="599" t="str">
        <f t="shared" si="5"/>
        <v>PILGRIM'S PRIDE</v>
      </c>
      <c r="L65" s="599" t="str">
        <f t="shared" si="5"/>
        <v>NESTLE SA-REG</v>
      </c>
      <c r="M65" s="599" t="str">
        <f t="shared" si="5"/>
        <v>UNILEVER PLC</v>
      </c>
      <c r="N65" s="599" t="str">
        <f t="shared" si="5"/>
        <v>PEPSICO INC</v>
      </c>
      <c r="O65" s="599" t="str">
        <f t="shared" si="5"/>
        <v>PROCTER &amp; GAMBLE</v>
      </c>
      <c r="P65" s="599" t="str">
        <f t="shared" si="5"/>
        <v>COCA-COLA CO/THE</v>
      </c>
      <c r="Q65" s="599" t="str">
        <f t="shared" si="5"/>
        <v>KIMBERLY-CLARK</v>
      </c>
      <c r="R65" s="599" t="str">
        <f t="shared" si="5"/>
        <v>COLGATE-PALMOLIV</v>
      </c>
    </row>
    <row r="66" spans="1:18" ht="3.95" customHeight="1">
      <c r="A66" s="383"/>
      <c r="B66" s="597"/>
      <c r="C66" s="36"/>
      <c r="D66" s="36"/>
      <c r="E66" s="36"/>
      <c r="F66" s="36"/>
      <c r="G66" s="36"/>
      <c r="H66" s="36"/>
      <c r="I66" s="36"/>
      <c r="J66" s="36"/>
      <c r="K66" s="36"/>
      <c r="L66" s="36"/>
      <c r="M66" s="36"/>
      <c r="N66" s="36"/>
      <c r="O66" s="36"/>
      <c r="P66" s="36"/>
      <c r="Q66" s="36"/>
      <c r="R66" s="36"/>
    </row>
    <row r="67" spans="1:18" ht="15" customHeight="1">
      <c r="B67" s="378" t="s">
        <v>265</v>
      </c>
      <c r="C67" s="584">
        <v>6.3822797863612335</v>
      </c>
      <c r="D67" s="584" cm="1">
        <f t="array" ref="D67">_xll.BDP(Inputs!$E$21,"CUR_RATIO")</f>
        <v>3.1331227954004253</v>
      </c>
      <c r="E67" s="584" cm="1">
        <f t="array" ref="E67">_xll.BDP(Inputs!$E$22,"CUR_RATIO")</f>
        <v>2.3617314001481637</v>
      </c>
      <c r="F67" s="584" cm="1">
        <f t="array" ref="F67">_xll.BDP(Inputs!$E$23,"CUR_RATIO")</f>
        <v>2.0369751410068937</v>
      </c>
      <c r="G67" s="584" cm="1">
        <f t="array" ref="G67">_xll.BDP(Inputs!$E$24,"CUR_RATIO")</f>
        <v>1.3771680216802169</v>
      </c>
      <c r="H67" s="584" cm="1">
        <f t="array" ref="H67">_xll.BDP(Inputs!$E$25,"CUR_RATIO")</f>
        <v>2.3200731223276798</v>
      </c>
      <c r="I67" s="584" cm="1">
        <f t="array" ref="I67">_xll.BDP(Inputs!$K$21,"CUR_RATIO")</f>
        <v>0.67143929848675754</v>
      </c>
      <c r="J67" s="584" cm="1">
        <f t="array" ref="J67">_xll.BDP(Inputs!$K$22,"CUR_RATIO")</f>
        <v>0.71137363910122775</v>
      </c>
      <c r="K67" s="584" cm="1">
        <f t="array" ref="K67">_xll.BDP(Inputs!$K$23,"CUR_RATIO")</f>
        <v>2.0062289073492643</v>
      </c>
      <c r="L67" s="584" cm="1">
        <f t="array" ref="L67">_xll.BDP(Inputs!$K$24,"CUR_RATIO")</f>
        <v>0.82094113804446722</v>
      </c>
      <c r="M67" s="584" cm="1">
        <f t="array" ref="M67">_xll.BDP(Inputs!$K$25,"CUR_RATIO")</f>
        <v>0.76064040580169612</v>
      </c>
      <c r="N67" s="584" cm="1">
        <f t="array" ref="N67">_xll.BDP(Inputs!$Q$21,"CUR_RATIO")</f>
        <v>0.81893708777270424</v>
      </c>
      <c r="O67" s="584" cm="1">
        <f t="array" ref="O67">_xll.BDP(Inputs!$Q$22,"CUR_RATIO")</f>
        <v>0.70419879083698489</v>
      </c>
      <c r="P67" s="584" cm="1">
        <f t="array" ref="P67">_xll.BDP(Inputs!$Q$23,"CUR_RATIO")</f>
        <v>1.0296249356410154</v>
      </c>
      <c r="Q67" s="584" cm="1">
        <f t="array" ref="Q67">_xll.BDP(Inputs!$Q$24,"CUR_RATIO")</f>
        <v>0.79668760708166764</v>
      </c>
      <c r="R67" s="584" cm="1">
        <f t="array" ref="R67">_xll.BDP(Inputs!$Q$25,"CUR_RATIO")</f>
        <v>0.92325056433408581</v>
      </c>
    </row>
    <row r="68" spans="1:18" ht="15" customHeight="1">
      <c r="B68" s="378" t="s">
        <v>266</v>
      </c>
      <c r="C68" s="584">
        <v>5.3058783089200992</v>
      </c>
      <c r="D68" s="584" cm="1">
        <f t="array" ref="D68">_xll.BDP(Inputs!$E$21,"QUICK_RATIO")</f>
        <v>2.7331941066357652</v>
      </c>
      <c r="E68" s="584" cm="1">
        <f t="array" ref="E68">_xll.BDP(Inputs!$E$22,"QUICK_RATIO")</f>
        <v>1.450206371044555</v>
      </c>
      <c r="F68" s="584" cm="1">
        <f t="array" ref="F68">_xll.BDP(Inputs!$E$23,"QUICK_RATIO")</f>
        <v>0.86129099644871532</v>
      </c>
      <c r="G68" s="584" cm="1">
        <f t="array" ref="G68">_xll.BDP(Inputs!$E$24,"QUICK_RATIO")</f>
        <v>0.57743902439024397</v>
      </c>
      <c r="H68" s="584" cm="1">
        <f t="array" ref="H68">_xll.BDP(Inputs!$E$25,"QUICK_RATIO")</f>
        <v>1.1323748534087426</v>
      </c>
      <c r="I68" s="584" cm="1">
        <f t="array" ref="I68">_xll.BDP(Inputs!$K$21,"QUICK_RATIO")</f>
        <v>0.27487813880086037</v>
      </c>
      <c r="J68" s="584" cm="1">
        <f t="array" ref="J68">_xll.BDP(Inputs!$K$22,"QUICK_RATIO")</f>
        <v>0.19411628445679871</v>
      </c>
      <c r="K68" s="584" cm="1">
        <f t="array" ref="K68">_xll.BDP(Inputs!$K$23,"QUICK_RATIO")</f>
        <v>1.1847438985350685</v>
      </c>
      <c r="L68" s="584" cm="1">
        <f t="array" ref="L68">_xll.BDP(Inputs!$K$24,"QUICK_RATIO")</f>
        <v>0.40326155425425192</v>
      </c>
      <c r="M68" s="584" cm="1">
        <f t="array" ref="M68">_xll.BDP(Inputs!$K$25,"QUICK_RATIO")</f>
        <v>0.45747800586510262</v>
      </c>
      <c r="N68" s="584" cm="1">
        <f t="array" ref="N68">_xll.BDP(Inputs!$Q$21,"QUICK_RATIO")</f>
        <v>0.56294393708777268</v>
      </c>
      <c r="O68" s="584" cm="1">
        <f t="array" ref="O68">_xll.BDP(Inputs!$Q$22,"QUICK_RATIO")</f>
        <v>0.43654667480170833</v>
      </c>
      <c r="P68" s="584" cm="1">
        <f t="array" ref="P68">_xll.BDP(Inputs!$Q$23,"QUICK_RATIO")</f>
        <v>0.71844429482355732</v>
      </c>
      <c r="Q68" s="584" cm="1">
        <f t="array" ref="Q68">_xll.BDP(Inputs!$Q$24,"QUICK_RATIO")</f>
        <v>0.43260993717875501</v>
      </c>
      <c r="R68" s="584" cm="1">
        <f t="array" ref="R68">_xll.BDP(Inputs!$Q$25,"QUICK_RATIO")</f>
        <v>0.48220177114082308</v>
      </c>
    </row>
    <row r="69" spans="1:18" ht="15" customHeight="1">
      <c r="B69" s="378" t="s">
        <v>267</v>
      </c>
      <c r="C69" s="584">
        <v>4.5143674340323834</v>
      </c>
      <c r="D69" s="584" cm="1">
        <f t="array" ref="D69">_xll.BDP(Inputs!$E$21,"CASH_RATIO")</f>
        <v>2.0411949725579088</v>
      </c>
      <c r="E69" s="584" cm="1">
        <f t="array" ref="E69">_xll.BDP(Inputs!$E$22,"CASH_RATIO")</f>
        <v>0.83331569478251666</v>
      </c>
      <c r="F69" s="584" cm="1">
        <f t="array" ref="F69">_xll.BDP(Inputs!$E$23,"CASH_RATIO")</f>
        <v>0.35867975767704197</v>
      </c>
      <c r="G69" s="584" cm="1">
        <f t="array" ref="G69">_xll.BDP(Inputs!$E$24,"CASH_RATIO")</f>
        <v>4.7899728997289975E-2</v>
      </c>
      <c r="H69" s="584" cm="1">
        <f t="array" ref="H69">_xll.BDP(Inputs!$E$25,"CASH_RATIO")</f>
        <v>0.54786217956276673</v>
      </c>
      <c r="I69" s="584" cm="1">
        <f t="array" ref="I69">_xll.BDP(Inputs!$K$21,"CASH_RATIO")</f>
        <v>4.6313619182161807E-2</v>
      </c>
      <c r="J69" s="584" cm="1">
        <f t="array" ref="J69">_xll.BDP(Inputs!$K$22,"CASH_RATIO")</f>
        <v>1.5751679406995598E-2</v>
      </c>
      <c r="K69" s="584" cm="1">
        <f t="array" ref="K69">_xll.BDP(Inputs!$K$23,"CASH_RATIO")</f>
        <v>0.79965816828511693</v>
      </c>
      <c r="L69" s="584" cm="1">
        <f t="array" ref="L69">_xll.BDP(Inputs!$K$24,"CASH_RATIO")</f>
        <v>0.18363157035205188</v>
      </c>
      <c r="M69" s="584" cm="1">
        <f t="array" ref="M69">_xll.BDP(Inputs!$K$25,"CASH_RATIO")</f>
        <v>0.28996591899817709</v>
      </c>
      <c r="N69" s="584" cm="1">
        <f t="array" ref="N69">_xll.BDP(Inputs!$Q$21,"CASH_RATIO")</f>
        <v>0.29382293252156266</v>
      </c>
      <c r="O69" s="584" cm="1">
        <f t="array" ref="O69">_xll.BDP(Inputs!$Q$22,"CASH_RATIO")</f>
        <v>0.26501747185090685</v>
      </c>
      <c r="P69" s="584" cm="1">
        <f t="array" ref="P69">_xll.BDP(Inputs!$Q$23,"CASH_RATIO")</f>
        <v>0.57709216206582437</v>
      </c>
      <c r="Q69" s="584" cm="1">
        <f t="array" ref="Q69">_xll.BDP(Inputs!$Q$24,"CASH_RATIO")</f>
        <v>0.14577384351798972</v>
      </c>
      <c r="R69" s="584" cm="1">
        <f t="array" ref="R69">_xll.BDP(Inputs!$Q$25,"CASH_RATIO")</f>
        <v>0.21809341899635354</v>
      </c>
    </row>
    <row r="71" spans="1:18" ht="15" customHeight="1">
      <c r="A71" s="383" t="s">
        <v>33</v>
      </c>
      <c r="B71" s="598" t="s">
        <v>268</v>
      </c>
      <c r="C71" s="599" t="s">
        <v>230</v>
      </c>
      <c r="D71" s="599" t="str">
        <f t="shared" ref="D71:R71" si="6">D65</f>
        <v>VITAL FARMS INC</v>
      </c>
      <c r="E71" s="599" t="str">
        <f t="shared" si="6"/>
        <v>POST HOLDINGS IN</v>
      </c>
      <c r="F71" s="599" t="str">
        <f t="shared" si="6"/>
        <v>TYSON FOODS-A</v>
      </c>
      <c r="G71" s="599" t="str">
        <f t="shared" si="6"/>
        <v>LAMB WESTON</v>
      </c>
      <c r="H71" s="599" t="str">
        <f t="shared" si="6"/>
        <v>HORMEL FOODS CRP</v>
      </c>
      <c r="I71" s="599" t="str">
        <f t="shared" si="6"/>
        <v>GENERAL MILLS IN</v>
      </c>
      <c r="J71" s="599" t="str">
        <f t="shared" si="6"/>
        <v>CONAGRA BRANDS I</v>
      </c>
      <c r="K71" s="599" t="str">
        <f t="shared" si="6"/>
        <v>PILGRIM'S PRIDE</v>
      </c>
      <c r="L71" s="599" t="str">
        <f t="shared" si="6"/>
        <v>NESTLE SA-REG</v>
      </c>
      <c r="M71" s="599" t="str">
        <f t="shared" si="6"/>
        <v>UNILEVER PLC</v>
      </c>
      <c r="N71" s="599" t="str">
        <f t="shared" si="6"/>
        <v>PEPSICO INC</v>
      </c>
      <c r="O71" s="599" t="str">
        <f t="shared" si="6"/>
        <v>PROCTER &amp; GAMBLE</v>
      </c>
      <c r="P71" s="599" t="str">
        <f t="shared" si="6"/>
        <v>COCA-COLA CO/THE</v>
      </c>
      <c r="Q71" s="599" t="str">
        <f t="shared" si="6"/>
        <v>KIMBERLY-CLARK</v>
      </c>
      <c r="R71" s="599" t="str">
        <f t="shared" si="6"/>
        <v>COLGATE-PALMOLIV</v>
      </c>
    </row>
    <row r="72" spans="1:18" ht="3.95" customHeight="1">
      <c r="A72" s="383"/>
      <c r="B72" s="597"/>
      <c r="C72" s="36"/>
      <c r="D72" s="36"/>
      <c r="E72" s="36"/>
      <c r="F72" s="36"/>
      <c r="G72" s="36"/>
      <c r="H72" s="36"/>
      <c r="I72" s="36"/>
      <c r="J72" s="36"/>
      <c r="K72" s="36"/>
      <c r="L72" s="36"/>
      <c r="M72" s="36"/>
      <c r="N72" s="36"/>
      <c r="O72" s="36"/>
      <c r="P72" s="36"/>
      <c r="Q72" s="36"/>
      <c r="R72" s="36"/>
    </row>
    <row r="73" spans="1:18" ht="15" customHeight="1">
      <c r="B73" s="378" t="s">
        <v>269</v>
      </c>
      <c r="C73" s="583">
        <v>3.7836544158277377E-2</v>
      </c>
      <c r="D73" s="583" cm="1">
        <f t="array" ref="D73">-_xll.BDP(Inputs!$E$21,"ACQUIS_OF_FIXED_INTANG")/_xll.BDP(Inputs!$E$21,"SALES_REV_TURN")</f>
        <v>4.7246691857425367E-2</v>
      </c>
      <c r="E73" s="583" cm="1">
        <f t="array" ref="E73">-_xll.BDP(Inputs!$E$22,"ACQUIS_OF_FIXED_INTANG")/_xll.BDP(Inputs!$E$22,"SALES_REV_TURN")</f>
        <v>5.4211316849053982E-2</v>
      </c>
      <c r="F73" s="583" cm="1">
        <f t="array" ref="F73">-_xll.BDP(Inputs!$E$23,"ACQUIS_OF_FIXED_INTANG")/_xll.BDP(Inputs!$E$23,"SALES_REV_TURN")</f>
        <v>2.1234688326548987E-2</v>
      </c>
      <c r="G73" s="583" cm="1">
        <f t="array" ref="G73">-_xll.BDP(Inputs!$E$24,"ACQUIS_OF_FIXED_INTANG")/_xll.BDP(Inputs!$E$24,"SALES_REV_TURN")</f>
        <v>9.8925797901198209E-2</v>
      </c>
      <c r="H73" s="583" cm="1">
        <f t="array" ref="H73">-_xll.BDP(Inputs!$E$25,"ACQUIS_OF_FIXED_INTANG")/_xll.BDP(Inputs!$E$25,"SALES_REV_TURN")</f>
        <v>2.1512068362543206E-2</v>
      </c>
      <c r="I73" s="583" cm="1">
        <f t="array" ref="I73">-_xll.BDP(Inputs!$K$21,"ACQUIS_OF_FIXED_INTANG")/_xll.BDP(Inputs!$K$21,"SALES_REV_TURN")</f>
        <v>3.208871737501668E-2</v>
      </c>
      <c r="J73" s="583" cm="1">
        <f t="array" ref="J73">-_xll.BDP(Inputs!$K$22,"ACQUIS_OF_FIXED_INTANG")/_xll.BDP(Inputs!$K$22,"SALES_REV_TURN")</f>
        <v>3.352335354092037E-2</v>
      </c>
      <c r="K73" s="583" cm="1">
        <f t="array" ref="K73">-_xll.BDP(Inputs!$K$23,"ACQUIS_OF_FIXED_INTANG")/_xll.BDP(Inputs!$K$23,"SALES_REV_TURN")</f>
        <v>2.6633026613114195E-2</v>
      </c>
      <c r="L73" s="583" cm="1">
        <f t="array" ref="L73">-_xll.BDP(Inputs!$K$24,"ACQUIS_OF_FIXED_INTANG")/_xll.BDP(Inputs!$K$24,"SALES_REV_TURN")</f>
        <v>6.5013083296990848E-2</v>
      </c>
      <c r="M73" s="583" cm="1">
        <f t="array" ref="M73">-_xll.BDP(Inputs!$K$25,"ACQUIS_OF_FIXED_INTANG")/_xll.BDP(Inputs!$K$25,"SALES_REV_TURN")</f>
        <v>2.8603874195618901E-2</v>
      </c>
      <c r="N73" s="583" cm="1">
        <f t="array" ref="N73">-_xll.BDP(Inputs!$Q$21,"ACQUIS_OF_FIXED_INTANG")/_xll.BDP(Inputs!$Q$21,"SALES_REV_TURN")</f>
        <v>5.7896226620506454E-2</v>
      </c>
      <c r="O73" s="583" cm="1">
        <f t="array" ref="O73">-_xll.BDP(Inputs!$Q$22,"ACQUIS_OF_FIXED_INTANG")/_xll.BDP(Inputs!$Q$22,"SALES_REV_TURN")</f>
        <v>4.4765317260690045E-2</v>
      </c>
      <c r="P73" s="583" cm="1">
        <f t="array" ref="P73">-_xll.BDP(Inputs!$Q$23,"ACQUIS_OF_FIXED_INTANG")/_xll.BDP(Inputs!$Q$23,"SALES_REV_TURN")</f>
        <v>4.3857971568814942E-2</v>
      </c>
      <c r="Q73" s="583" cm="1">
        <f t="array" ref="Q73">-_xll.BDP(Inputs!$Q$24,"ACQUIS_OF_FIXED_INTANG")/_xll.BDP(Inputs!$Q$24,"SALES_REV_TURN")</f>
        <v>3.5945757303818923E-2</v>
      </c>
      <c r="R73" s="583" cm="1">
        <f t="array" ref="R73">-_xll.BDP(Inputs!$Q$25,"ACQUIS_OF_FIXED_INTANG")/_xll.BDP(Inputs!$Q$25,"SALES_REV_TURN")</f>
        <v>2.7909059250783543E-2</v>
      </c>
    </row>
    <row r="74" spans="1:18" ht="15" customHeight="1">
      <c r="B74" s="378" t="s">
        <v>270</v>
      </c>
      <c r="C74" s="583">
        <v>1.7150955637570329</v>
      </c>
      <c r="D74" s="583" cm="1">
        <f t="array" ref="D74">-_xll.BDP(Inputs!$E$21,"ACQUIS_OF_FIXED_INTANG")/_xll.BDP(Inputs!$E$21,"CF_DEPR_AMORT")</f>
        <v>2.1878866569922861</v>
      </c>
      <c r="E74" s="583" cm="1">
        <f t="array" ref="E74">-_xll.BDP(Inputs!$E$22,"ACQUIS_OF_FIXED_INTANG")/_xll.BDP(Inputs!$E$22,"CF_DEPR_AMORT")</f>
        <v>0.90060809394002939</v>
      </c>
      <c r="F74" s="583" cm="1">
        <f t="array" ref="F74">-_xll.BDP(Inputs!$E$23,"ACQUIS_OF_FIXED_INTANG")/_xll.BDP(Inputs!$E$23,"CF_DEPR_AMORT")</f>
        <v>0.80857142857142861</v>
      </c>
      <c r="G74" s="583" cm="1">
        <f t="array" ref="G74">-_xll.BDP(Inputs!$E$24,"ACQUIS_OF_FIXED_INTANG")/_xll.BDP(Inputs!$E$24,"CF_DEPR_AMORT")</f>
        <v>1.5661349693251534</v>
      </c>
      <c r="H74" s="583" cm="1">
        <f t="array" ref="H74">-_xll.BDP(Inputs!$E$25,"ACQUIS_OF_FIXED_INTANG")/_xll.BDP(Inputs!$E$25,"CF_DEPR_AMORT")</f>
        <v>0.99489827588882507</v>
      </c>
      <c r="I74" s="583" cm="1">
        <f t="array" ref="I74">-_xll.BDP(Inputs!$K$21,"ACQUIS_OF_FIXED_INTANG")/_xll.BDP(Inputs!$K$21,"CF_DEPR_AMORT")</f>
        <v>1.1601113172541744</v>
      </c>
      <c r="J74" s="583" cm="1">
        <f t="array" ref="J74">-_xll.BDP(Inputs!$K$22,"ACQUIS_OF_FIXED_INTANG")/_xll.BDP(Inputs!$K$22,"CF_DEPR_AMORT")</f>
        <v>0.9976934905176833</v>
      </c>
      <c r="K74" s="583" cm="1">
        <f t="array" ref="K74">-_xll.BDP(Inputs!$K$23,"ACQUIS_OF_FIXED_INTANG")/_xll.BDP(Inputs!$K$23,"CF_DEPR_AMORT")</f>
        <v>1.0980831230887731</v>
      </c>
      <c r="L74" s="583" cm="1">
        <f t="array" ref="L74">-_xll.BDP(Inputs!$K$24,"ACQUIS_OF_FIXED_INTANG")/_xll.BDP(Inputs!$K$24,"CF_DEPR_AMORT")</f>
        <v>1.6647124511446119</v>
      </c>
      <c r="M74" s="583" cm="1">
        <f t="array" ref="M74">-_xll.BDP(Inputs!$K$25,"ACQUIS_OF_FIXED_INTANG")/_xll.BDP(Inputs!$K$25,"CF_DEPR_AMORT")</f>
        <v>0.98918611269208878</v>
      </c>
      <c r="N74" s="583" cm="1">
        <f t="array" ref="N74">-_xll.BDP(Inputs!$Q$21,"ACQUIS_OF_FIXED_INTANG")/_xll.BDP(Inputs!$Q$21,"CF_DEPR_AMORT")</f>
        <v>1.6829113924050634</v>
      </c>
      <c r="O74" s="583" cm="1">
        <f t="array" ref="O74">-_xll.BDP(Inputs!$Q$22,"ACQUIS_OF_FIXED_INTANG")/_xll.BDP(Inputs!$Q$22,"CF_DEPR_AMORT")</f>
        <v>1.3252546540217773</v>
      </c>
      <c r="P74" s="583" cm="1">
        <f t="array" ref="P74">-_xll.BDP(Inputs!$Q$23,"ACQUIS_OF_FIXED_INTANG")/_xll.BDP(Inputs!$Q$23,"CF_DEPR_AMORT")</f>
        <v>1.92</v>
      </c>
      <c r="Q74" s="583" cm="1">
        <f t="array" ref="Q74">-_xll.BDP(Inputs!$Q$24,"ACQUIS_OF_FIXED_INTANG")/_xll.BDP(Inputs!$Q$24,"CF_DEPR_AMORT")</f>
        <v>0.92317541613316256</v>
      </c>
      <c r="R74" s="583" cm="1">
        <f t="array" ref="R74">-_xll.BDP(Inputs!$Q$25,"ACQUIS_OF_FIXED_INTANG")/_xll.BDP(Inputs!$Q$25,"CF_DEPR_AMORT")</f>
        <v>0.92727272727272725</v>
      </c>
    </row>
    <row r="75" spans="1:18" ht="15" customHeight="1">
      <c r="B75" s="378" t="s">
        <v>271</v>
      </c>
      <c r="C75" s="583" t="e">
        <v>#VALUE!</v>
      </c>
      <c r="D75" s="583" t="e" cm="1">
        <f t="array" ref="D75">_xll.BDP(Inputs!$E$21,"EXPND_INCUR_ON_R&amp;D_CAPITALZD")/_xll.BDP(Inputs!$E$21,"IS_RD_EXPEND")</f>
        <v>#VALUE!</v>
      </c>
      <c r="E75" s="583" t="e" cm="1">
        <f t="array" ref="E75">_xll.BDP(Inputs!$E$22,"EXPND_INCUR_ON_R&amp;D_CAPITALZD")/_xll.BDP(Inputs!$E$22,"IS_RD_EXPEND")</f>
        <v>#VALUE!</v>
      </c>
      <c r="F75" s="583" t="e" cm="1">
        <f t="array" ref="F75">_xll.BDP(Inputs!$E$23,"EXPND_INCUR_ON_R&amp;D_CAPITALZD")/_xll.BDP(Inputs!$E$23,"IS_RD_EXPEND")</f>
        <v>#VALUE!</v>
      </c>
      <c r="G75" s="583" t="e" cm="1">
        <f t="array" ref="G75">_xll.BDP(Inputs!$E$24,"EXPND_INCUR_ON_R&amp;D_CAPITALZD")/_xll.BDP(Inputs!$E$24,"IS_RD_EXPEND")</f>
        <v>#VALUE!</v>
      </c>
      <c r="H75" s="583" t="e" cm="1">
        <f t="array" ref="H75">_xll.BDP(Inputs!$E$25,"EXPND_INCUR_ON_R&amp;D_CAPITALZD")/_xll.BDP(Inputs!$E$25,"IS_RD_EXPEND")</f>
        <v>#VALUE!</v>
      </c>
      <c r="I75" s="583" t="e" cm="1">
        <f t="array" ref="I75">_xll.BDP(Inputs!$K$21,"EXPND_INCUR_ON_R&amp;D_CAPITALZD")/_xll.BDP(Inputs!$K$21,"IS_RD_EXPEND")</f>
        <v>#VALUE!</v>
      </c>
      <c r="J75" s="583" t="e" cm="1">
        <f t="array" ref="J75">_xll.BDP(Inputs!$K$22,"EXPND_INCUR_ON_R&amp;D_CAPITALZD")/_xll.BDP(Inputs!$K$22,"IS_RD_EXPEND")</f>
        <v>#VALUE!</v>
      </c>
      <c r="K75" s="583" t="e" cm="1">
        <f t="array" ref="K75">_xll.BDP(Inputs!$K$23,"EXPND_INCUR_ON_R&amp;D_CAPITALZD")/_xll.BDP(Inputs!$K$23,"IS_RD_EXPEND")</f>
        <v>#VALUE!</v>
      </c>
      <c r="L75" s="583" t="e" cm="1">
        <f t="array" ref="L75">_xll.BDP(Inputs!$K$24,"EXPND_INCUR_ON_R&amp;D_CAPITALZD")/_xll.BDP(Inputs!$K$24,"IS_RD_EXPEND")</f>
        <v>#VALUE!</v>
      </c>
      <c r="M75" s="583" t="e" cm="1">
        <f t="array" ref="M75">_xll.BDP(Inputs!$K$25,"EXPND_INCUR_ON_R&amp;D_CAPITALZD")/_xll.BDP(Inputs!$K$25,"IS_RD_EXPEND")</f>
        <v>#VALUE!</v>
      </c>
      <c r="N75" s="583" t="e" cm="1">
        <f t="array" ref="N75">_xll.BDP(Inputs!$Q$21,"EXPND_INCUR_ON_R&amp;D_CAPITALZD")/_xll.BDP(Inputs!$Q$21,"IS_RD_EXPEND")</f>
        <v>#VALUE!</v>
      </c>
      <c r="O75" s="583" t="e" cm="1">
        <f t="array" ref="O75">_xll.BDP(Inputs!$Q$22,"EXPND_INCUR_ON_R&amp;D_CAPITALZD")/_xll.BDP(Inputs!$Q$22,"IS_RD_EXPEND")</f>
        <v>#VALUE!</v>
      </c>
      <c r="P75" s="583" t="e" cm="1">
        <f t="array" ref="P75">_xll.BDP(Inputs!$Q$23,"EXPND_INCUR_ON_R&amp;D_CAPITALZD")/_xll.BDP(Inputs!$Q$23,"IS_RD_EXPEND")</f>
        <v>#VALUE!</v>
      </c>
      <c r="Q75" s="583" t="e" cm="1">
        <f t="array" ref="Q75">_xll.BDP(Inputs!$Q$24,"EXPND_INCUR_ON_R&amp;D_CAPITALZD")/_xll.BDP(Inputs!$Q$24,"IS_RD_EXPEND")</f>
        <v>#VALUE!</v>
      </c>
      <c r="R75" s="583" t="e" cm="1">
        <f t="array" ref="R75">_xll.BDP(Inputs!$Q$25,"EXPND_INCUR_ON_R&amp;D_CAPITALZD")/_xll.BDP(Inputs!$Q$25,"IS_RD_EXPEND")</f>
        <v>#VALUE!</v>
      </c>
    </row>
    <row r="76" spans="1:18" ht="15" customHeight="1">
      <c r="B76" s="378" t="s">
        <v>272</v>
      </c>
      <c r="C76" s="584" t="e">
        <v>#VALUE!</v>
      </c>
      <c r="D76" s="584" t="e" cm="1">
        <f t="array" ref="D76">_xll.BDP(Inputs!$E$21,"EXPND_INCUR_ON_R&amp;D_CAPITALZD")/IFERROR(VALUE(_xll.BDP(Inputs!$E$21,"AMORTIZATION_OF_R&amp;D")),_xll.BDP(Inputs!$E$21,"BEST_AMORTIZATION"))</f>
        <v>#VALUE!</v>
      </c>
      <c r="E76" s="584" t="e" cm="1">
        <f t="array" ref="E76">_xll.BDP(Inputs!$E$22,"EXPND_INCUR_ON_R&amp;D_CAPITALZD")/IFERROR(VALUE(_xll.BDP(Inputs!$E$22,"AMORTIZATION_OF_R&amp;D")),_xll.BDP(Inputs!$E$22,"BEST_AMORTIZATION"))</f>
        <v>#VALUE!</v>
      </c>
      <c r="F76" s="584" t="e" cm="1">
        <f t="array" ref="F76">_xll.BDP(Inputs!$E$23,"EXPND_INCUR_ON_R&amp;D_CAPITALZD")/IFERROR(VALUE(_xll.BDP(Inputs!$E$23,"AMORTIZATION_OF_R&amp;D")),_xll.BDP(Inputs!$E$23,"BEST_AMORTIZATION"))</f>
        <v>#VALUE!</v>
      </c>
      <c r="G76" s="584" t="e" cm="1">
        <f t="array" ref="G76">_xll.BDP(Inputs!$E$24,"EXPND_INCUR_ON_R&amp;D_CAPITALZD")/IFERROR(VALUE(_xll.BDP(Inputs!$E$24,"AMORTIZATION_OF_R&amp;D")),_xll.BDP(Inputs!$E$24,"BEST_AMORTIZATION"))</f>
        <v>#VALUE!</v>
      </c>
      <c r="H76" s="584" t="e" cm="1">
        <f t="array" ref="H76">_xll.BDP(Inputs!$E$25,"EXPND_INCUR_ON_R&amp;D_CAPITALZD")/IFERROR(VALUE(_xll.BDP(Inputs!$E$25,"AMORTIZATION_OF_R&amp;D")),_xll.BDP(Inputs!$E$25,"BEST_AMORTIZATION"))</f>
        <v>#VALUE!</v>
      </c>
      <c r="I76" s="584" t="e" cm="1">
        <f t="array" ref="I76">_xll.BDP(Inputs!$K$21,"EXPND_INCUR_ON_R&amp;D_CAPITALZD")/IFERROR(VALUE(_xll.BDP(Inputs!$K$21,"AMORTIZATION_OF_R&amp;D")),_xll.BDP(Inputs!$K$21,"BEST_AMORTIZATION"))</f>
        <v>#VALUE!</v>
      </c>
      <c r="J76" s="584" t="e" cm="1">
        <f t="array" ref="J76">_xll.BDP(Inputs!$K$22,"EXPND_INCUR_ON_R&amp;D_CAPITALZD")/IFERROR(VALUE(_xll.BDP(Inputs!$K$22,"AMORTIZATION_OF_R&amp;D")),_xll.BDP(Inputs!$K$22,"BEST_AMORTIZATION"))</f>
        <v>#VALUE!</v>
      </c>
      <c r="K76" s="584" t="e" cm="1">
        <f t="array" ref="K76">_xll.BDP(Inputs!$K$23,"EXPND_INCUR_ON_R&amp;D_CAPITALZD")/IFERROR(VALUE(_xll.BDP(Inputs!$K$23,"AMORTIZATION_OF_R&amp;D")),_xll.BDP(Inputs!$K$23,"BEST_AMORTIZATION"))</f>
        <v>#VALUE!</v>
      </c>
      <c r="L76" s="584" t="e" cm="1">
        <f t="array" ref="L76">_xll.BDP(Inputs!$K$24,"EXPND_INCUR_ON_R&amp;D_CAPITALZD")/IFERROR(VALUE(_xll.BDP(Inputs!$K$24,"AMORTIZATION_OF_R&amp;D")),_xll.BDP(Inputs!$K$24,"BEST_AMORTIZATION"))</f>
        <v>#VALUE!</v>
      </c>
      <c r="M76" s="584" t="e" cm="1">
        <f t="array" ref="M76">_xll.BDP(Inputs!$K$25,"EXPND_INCUR_ON_R&amp;D_CAPITALZD")/IFERROR(VALUE(_xll.BDP(Inputs!$K$25,"AMORTIZATION_OF_R&amp;D")),_xll.BDP(Inputs!$K$25,"BEST_AMORTIZATION"))</f>
        <v>#VALUE!</v>
      </c>
      <c r="N76" s="584" t="e" cm="1">
        <f t="array" ref="N76">_xll.BDP(Inputs!$Q$21,"EXPND_INCUR_ON_R&amp;D_CAPITALZD")/IFERROR(VALUE(_xll.BDP(Inputs!$Q$21,"AMORTIZATION_OF_R&amp;D")),_xll.BDP(Inputs!$Q$21,"BEST_AMORTIZATION"))</f>
        <v>#VALUE!</v>
      </c>
      <c r="O76" s="584" t="e" cm="1">
        <f t="array" ref="O76">_xll.BDP(Inputs!$Q$22,"EXPND_INCUR_ON_R&amp;D_CAPITALZD")/IFERROR(VALUE(_xll.BDP(Inputs!$Q$22,"AMORTIZATION_OF_R&amp;D")),_xll.BDP(Inputs!$Q$22,"BEST_AMORTIZATION"))</f>
        <v>#VALUE!</v>
      </c>
      <c r="P76" s="584" t="e" cm="1">
        <f t="array" ref="P76">_xll.BDP(Inputs!$Q$23,"EXPND_INCUR_ON_R&amp;D_CAPITALZD")/IFERROR(VALUE(_xll.BDP(Inputs!$Q$23,"AMORTIZATION_OF_R&amp;D")),_xll.BDP(Inputs!$Q$23,"BEST_AMORTIZATION"))</f>
        <v>#VALUE!</v>
      </c>
      <c r="Q76" s="584" t="e" cm="1">
        <f t="array" ref="Q76">_xll.BDP(Inputs!$Q$24,"EXPND_INCUR_ON_R&amp;D_CAPITALZD")/IFERROR(VALUE(_xll.BDP(Inputs!$Q$24,"AMORTIZATION_OF_R&amp;D")),_xll.BDP(Inputs!$Q$24,"BEST_AMORTIZATION"))</f>
        <v>#VALUE!</v>
      </c>
      <c r="R76" s="584" t="e" cm="1">
        <f t="array" ref="R76">_xll.BDP(Inputs!$Q$25,"EXPND_INCUR_ON_R&amp;D_CAPITALZD")/IFERROR(VALUE(_xll.BDP(Inputs!$Q$25,"AMORTIZATION_OF_R&amp;D")),_xll.BDP(Inputs!$Q$25,"BEST_AMORTIZATION"))</f>
        <v>#VALUE!</v>
      </c>
    </row>
    <row r="77" spans="1:18" ht="15" customHeight="1">
      <c r="B77" s="378" t="s">
        <v>273</v>
      </c>
      <c r="C77" s="583">
        <v>0.27049960821213592</v>
      </c>
      <c r="D77" s="583" cm="1">
        <f t="array" ref="D77">_xll.BDP(Inputs!$E$21,"DVD_PAYOUT_RATIO")/100</f>
        <v>0</v>
      </c>
      <c r="E77" s="583" cm="1">
        <f t="array" ref="E77">_xll.BDP(Inputs!$E$22,"DVD_PAYOUT_RATIO")/100</f>
        <v>0</v>
      </c>
      <c r="F77" s="583" cm="1">
        <f t="array" ref="F77">_xll.BDP(Inputs!$E$23,"DVD_PAYOUT_RATIO")/100</f>
        <v>0.85350717875000004</v>
      </c>
      <c r="G77" s="583" cm="1">
        <f t="array" ref="G77">_xll.BDP(Inputs!$E$24,"DVD_PAYOUT_RATIO")/100</f>
        <v>0.57922732362821949</v>
      </c>
      <c r="H77" s="583" cm="1">
        <f t="array" ref="H77">_xll.BDP(Inputs!$E$25,"DVD_PAYOUT_RATIO")/100</f>
        <v>0.76936740874343823</v>
      </c>
      <c r="I77" s="583" cm="1">
        <f t="array" ref="I77">_xll.BDP(Inputs!$K$21,"DVD_PAYOUT_RATIO")/100</f>
        <v>0.57981875217845935</v>
      </c>
      <c r="J77" s="583" cm="1">
        <f t="array" ref="J77">_xll.BDP(Inputs!$K$22,"DVD_PAYOUT_RATIO")/100</f>
        <v>0.58106560222145087</v>
      </c>
      <c r="K77" s="583" cm="1">
        <f t="array" ref="K77">_xll.BDP(Inputs!$K$23,"DVD_PAYOUT_RATIO")/100</f>
        <v>0</v>
      </c>
      <c r="L77" s="583" cm="1">
        <f t="array" ref="L77">_xll.BDP(Inputs!$K$24,"DVD_PAYOUT_RATIO")/100</f>
        <v>0.71811833884601262</v>
      </c>
      <c r="M77" s="583" cm="1">
        <f t="array" ref="M77">_xll.BDP(Inputs!$K$25,"DVD_PAYOUT_RATIO")/100</f>
        <v>0.63820830083565461</v>
      </c>
      <c r="N77" s="583" cm="1">
        <f t="array" ref="N77">_xll.BDP(Inputs!$Q$21,"DVD_PAYOUT_RATIO")/100</f>
        <v>0.76405199415326797</v>
      </c>
      <c r="O77" s="583" cm="1">
        <f t="array" ref="O77">_xll.BDP(Inputs!$Q$22,"DVD_PAYOUT_RATIO")/100</f>
        <v>0.61083419180003828</v>
      </c>
      <c r="P77" s="583" cm="1">
        <f t="array" ref="P77">_xll.BDP(Inputs!$Q$23,"DVD_PAYOUT_RATIO")/100</f>
        <v>0.78632866146176272</v>
      </c>
      <c r="Q77" s="583" cm="1">
        <f t="array" ref="Q77">_xll.BDP(Inputs!$Q$24,"DVD_PAYOUT_RATIO")/100</f>
        <v>0.64350805500982322</v>
      </c>
      <c r="R77" s="583" cm="1">
        <f t="array" ref="R77">_xll.BDP(Inputs!$Q$25,"DVD_PAYOUT_RATIO")/100</f>
        <v>0.56137694704049845</v>
      </c>
    </row>
    <row r="78" spans="1:18" ht="15" customHeight="1">
      <c r="B78" s="378" t="s">
        <v>274</v>
      </c>
      <c r="C78" s="583">
        <v>0.31032348170485741</v>
      </c>
      <c r="D78" s="583" cm="1">
        <f t="array" ref="D78">_xll.BDP(Inputs!$E$21,"TOTAL_PAYOUT")/_xll.BDP(Inputs!$E$21,"CF_FREE_CASH_FLOW")</f>
        <v>-0.38971197965614468</v>
      </c>
      <c r="E78" s="583" cm="1">
        <f t="array" ref="E78">_xll.BDP(Inputs!$E$22,"TOTAL_PAYOUT")/_xll.BDP(Inputs!$E$22,"CF_FREE_CASH_FLOW")</f>
        <v>0.6035444046196734</v>
      </c>
      <c r="F78" s="583" cm="1">
        <f t="array" ref="F78">_xll.BDP(Inputs!$E$23,"TOTAL_PAYOUT")/_xll.BDP(Inputs!$E$23,"CF_FREE_CASH_FLOW")</f>
        <v>0.48960766906721542</v>
      </c>
      <c r="G78" s="583" cm="1">
        <f t="array" ref="G78">_xll.BDP(Inputs!$E$24,"TOTAL_PAYOUT")/_xll.BDP(Inputs!$E$24,"CF_FREE_CASH_FLOW")</f>
        <v>2.1247283789656679</v>
      </c>
      <c r="H78" s="583" cm="1">
        <f t="array" ref="H78">_xll.BDP(Inputs!$E$25,"TOTAL_PAYOUT")/_xll.BDP(Inputs!$E$25,"CF_FREE_CASH_FLOW")</f>
        <v>0.57275929751350352</v>
      </c>
      <c r="I78" s="583" cm="1">
        <f t="array" ref="I78">_xll.BDP(Inputs!$K$21,"TOTAL_PAYOUT")/_xll.BDP(Inputs!$K$21,"CF_FREE_CASH_FLOW")</f>
        <v>1.0908786414876752</v>
      </c>
      <c r="J78" s="583" cm="1">
        <f t="array" ref="J78">_xll.BDP(Inputs!$K$22,"TOTAL_PAYOUT")/_xll.BDP(Inputs!$K$22,"CF_FREE_CASH_FLOW")</f>
        <v>0.51406417933364035</v>
      </c>
      <c r="K78" s="583" cm="1">
        <f t="array" ref="K78">_xll.BDP(Inputs!$K$23,"TOTAL_PAYOUT")/_xll.BDP(Inputs!$K$23,"CF_FREE_CASH_FLOW")</f>
        <v>0</v>
      </c>
      <c r="L78" s="583" cm="1">
        <f t="array" ref="L78">_xll.BDP(Inputs!$K$24,"TOTAL_PAYOUT")/_xll.BDP(Inputs!$K$24,"CF_FREE_CASH_FLOW")</f>
        <v>1.0289933858838451</v>
      </c>
      <c r="M78" s="583" cm="1">
        <f t="array" ref="M78">_xll.BDP(Inputs!$K$25,"TOTAL_PAYOUT")/_xll.BDP(Inputs!$K$25,"CF_FREE_CASH_FLOW")</f>
        <v>0.70021227229665717</v>
      </c>
      <c r="N78" s="583" cm="1">
        <f t="array" ref="N78">_xll.BDP(Inputs!$Q$21,"TOTAL_PAYOUT")/_xll.BDP(Inputs!$Q$21,"CF_FREE_CASH_FLOW")</f>
        <v>1.1345728195646125</v>
      </c>
      <c r="O78" s="583" cm="1">
        <f t="array" ref="O78">_xll.BDP(Inputs!$Q$22,"TOTAL_PAYOUT")/_xll.BDP(Inputs!$Q$22,"CF_FREE_CASH_FLOW")</f>
        <v>0.9165987346909712</v>
      </c>
      <c r="P78" s="583" cm="1">
        <f t="array" ref="P78">_xll.BDP(Inputs!$Q$23,"TOTAL_PAYOUT")/_xll.BDP(Inputs!$Q$23,"CF_FREE_CASH_FLOW")</f>
        <v>1.9955988015213035</v>
      </c>
      <c r="Q78" s="583" cm="1">
        <f t="array" ref="Q78">_xll.BDP(Inputs!$Q$24,"TOTAL_PAYOUT")/_xll.BDP(Inputs!$Q$24,"CF_FREE_CASH_FLOW")</f>
        <v>0.9955145244727418</v>
      </c>
      <c r="R78" s="583" cm="1">
        <f t="array" ref="R78">_xll.BDP(Inputs!$Q$25,"TOTAL_PAYOUT")/_xll.BDP(Inputs!$Q$25,"CF_FREE_CASH_FLOW")</f>
        <v>0.76737516107228421</v>
      </c>
    </row>
    <row r="79" spans="1:18" ht="15" customHeight="1">
      <c r="B79" s="378" t="s">
        <v>275</v>
      </c>
      <c r="C79" s="583">
        <v>4.4052831063724866E-2</v>
      </c>
      <c r="D79" s="583" cm="1">
        <f t="array" ref="D79">-_xll.BDP(Inputs!$E$21,"CF_DECR_CAP_STOCK")/_xll.BDP(Inputs!$E$21,"CF_CASH_FROM_OPER")</f>
        <v>0</v>
      </c>
      <c r="E79" s="583" cm="1">
        <f t="array" ref="E79">-_xll.BDP(Inputs!$E$22,"CF_DECR_CAP_STOCK")/_xll.BDP(Inputs!$E$22,"CF_CASH_FROM_OPER")</f>
        <v>0.32274337233014916</v>
      </c>
      <c r="F79" s="583" cm="1">
        <f t="array" ref="F79">-_xll.BDP(Inputs!$E$23,"CF_DECR_CAP_STOCK")/_xll.BDP(Inputs!$E$23,"CF_CASH_FROM_OPER")</f>
        <v>1.891891891891892E-2</v>
      </c>
      <c r="G79" s="583" cm="1">
        <f t="array" ref="G79">-_xll.BDP(Inputs!$E$24,"CF_DECR_CAP_STOCK")/_xll.BDP(Inputs!$E$24,"CF_CASH_FROM_OPER")</f>
        <v>0.33905332258436022</v>
      </c>
      <c r="H79" s="583" cm="1">
        <f t="array" ref="H79">-_xll.BDP(Inputs!$E$25,"CF_DECR_CAP_STOCK")/_xll.BDP(Inputs!$E$25,"CF_CASH_FROM_OPER")</f>
        <v>0</v>
      </c>
      <c r="I79" s="583" cm="1">
        <f t="array" ref="I79">-_xll.BDP(Inputs!$K$21,"CF_DECR_CAP_STOCK")/_xll.BDP(Inputs!$K$21,"CF_CASH_FROM_OPER")</f>
        <v>0.41220615447878833</v>
      </c>
      <c r="J79" s="583" cm="1">
        <f t="array" ref="J79">-_xll.BDP(Inputs!$K$22,"CF_DECR_CAP_STOCK")/_xll.BDP(Inputs!$K$22,"CF_CASH_FROM_OPER")</f>
        <v>5.0002955257402913E-2</v>
      </c>
      <c r="K79" s="583" cm="1">
        <f t="array" ref="K79">-_xll.BDP(Inputs!$K$23,"CF_DECR_CAP_STOCK")/_xll.BDP(Inputs!$K$23,"CF_CASH_FROM_OPER")</f>
        <v>0</v>
      </c>
      <c r="L79" s="583" cm="1">
        <f t="array" ref="L79">-_xll.BDP(Inputs!$K$24,"CF_DECR_CAP_STOCK")/_xll.BDP(Inputs!$K$24,"CF_CASH_FROM_OPER")</f>
        <v>0.28053973013493255</v>
      </c>
      <c r="M79" s="583" cm="1">
        <f t="array" ref="M79">-_xll.BDP(Inputs!$K$25,"CF_DECR_CAP_STOCK")/_xll.BDP(Inputs!$K$25,"CF_CASH_FROM_OPER")</f>
        <v>0.16522406047989482</v>
      </c>
      <c r="N79" s="583" cm="1">
        <f t="array" ref="N79">-_xll.BDP(Inputs!$Q$21,"CF_DECR_CAP_STOCK")/_xll.BDP(Inputs!$Q$21,"CF_CASH_FROM_OPER")</f>
        <v>7.995522507395858E-2</v>
      </c>
      <c r="O79" s="583" cm="1">
        <f t="array" ref="O79">-_xll.BDP(Inputs!$Q$22,"CF_DECR_CAP_STOCK")/_xll.BDP(Inputs!$Q$22,"CF_CASH_FROM_OPER")</f>
        <v>0.36482011561991357</v>
      </c>
      <c r="P79" s="583" cm="1">
        <f t="array" ref="P79">-_xll.BDP(Inputs!$Q$23,"CF_DECR_CAP_STOCK")/_xll.BDP(Inputs!$Q$23,"CF_CASH_FROM_OPER")</f>
        <v>0.26377663482733282</v>
      </c>
      <c r="Q79" s="583" cm="1">
        <f t="array" ref="Q79">-_xll.BDP(Inputs!$Q$24,"CF_DECR_CAP_STOCK")/_xll.BDP(Inputs!$Q$24,"CF_CASH_FROM_OPER")</f>
        <v>0.30921459492888065</v>
      </c>
      <c r="R79" s="583" cm="1">
        <f t="array" ref="R79">-_xll.BDP(Inputs!$Q$25,"CF_DECR_CAP_STOCK")/_xll.BDP(Inputs!$Q$25,"CF_CASH_FROM_OPER")</f>
        <v>0.42342342342342343</v>
      </c>
    </row>
    <row r="80" spans="1:18" ht="15" customHeight="1">
      <c r="B80" s="378"/>
    </row>
    <row r="81" spans="1:18" ht="15" customHeight="1">
      <c r="A81" s="383" t="s">
        <v>33</v>
      </c>
      <c r="B81" s="598" t="s">
        <v>276</v>
      </c>
      <c r="C81" s="599" t="s">
        <v>230</v>
      </c>
      <c r="D81" s="599" t="str">
        <f t="shared" ref="D81:R81" si="7">D71</f>
        <v>VITAL FARMS INC</v>
      </c>
      <c r="E81" s="599" t="str">
        <f t="shared" si="7"/>
        <v>POST HOLDINGS IN</v>
      </c>
      <c r="F81" s="599" t="str">
        <f t="shared" si="7"/>
        <v>TYSON FOODS-A</v>
      </c>
      <c r="G81" s="599" t="str">
        <f t="shared" si="7"/>
        <v>LAMB WESTON</v>
      </c>
      <c r="H81" s="599" t="str">
        <f t="shared" si="7"/>
        <v>HORMEL FOODS CRP</v>
      </c>
      <c r="I81" s="599" t="str">
        <f t="shared" si="7"/>
        <v>GENERAL MILLS IN</v>
      </c>
      <c r="J81" s="599" t="str">
        <f t="shared" si="7"/>
        <v>CONAGRA BRANDS I</v>
      </c>
      <c r="K81" s="599" t="str">
        <f t="shared" si="7"/>
        <v>PILGRIM'S PRIDE</v>
      </c>
      <c r="L81" s="599" t="str">
        <f t="shared" si="7"/>
        <v>NESTLE SA-REG</v>
      </c>
      <c r="M81" s="599" t="str">
        <f t="shared" si="7"/>
        <v>UNILEVER PLC</v>
      </c>
      <c r="N81" s="599" t="str">
        <f t="shared" si="7"/>
        <v>PEPSICO INC</v>
      </c>
      <c r="O81" s="599" t="str">
        <f t="shared" si="7"/>
        <v>PROCTER &amp; GAMBLE</v>
      </c>
      <c r="P81" s="599" t="str">
        <f t="shared" si="7"/>
        <v>COCA-COLA CO/THE</v>
      </c>
      <c r="Q81" s="599" t="str">
        <f t="shared" si="7"/>
        <v>KIMBERLY-CLARK</v>
      </c>
      <c r="R81" s="599" t="str">
        <f t="shared" si="7"/>
        <v>COLGATE-PALMOLIV</v>
      </c>
    </row>
    <row r="82" spans="1:18" ht="3.95" customHeight="1">
      <c r="A82" s="383"/>
      <c r="B82" s="597"/>
      <c r="C82" s="36"/>
      <c r="D82" s="36"/>
      <c r="E82" s="36"/>
      <c r="F82" s="36"/>
      <c r="G82" s="36"/>
      <c r="H82" s="36"/>
      <c r="I82" s="36"/>
      <c r="J82" s="36"/>
      <c r="K82" s="36"/>
      <c r="L82" s="36"/>
      <c r="M82" s="36"/>
      <c r="N82" s="36"/>
      <c r="O82" s="36"/>
      <c r="P82" s="36"/>
      <c r="Q82" s="36"/>
      <c r="R82" s="36"/>
    </row>
    <row r="83" spans="1:18" ht="15" customHeight="1">
      <c r="B83" s="378" t="s">
        <v>277</v>
      </c>
      <c r="C83" s="584">
        <v>5.4032302893672215</v>
      </c>
      <c r="D83" s="584" cm="1">
        <f t="array" ref="D83">_xll.BDP(Inputs!$E$21,"cf_cash_from_oper")/_xll.BDP(Inputs!$E$21,"BEST_NET_INCOME")</f>
        <v>4.8593703148425789</v>
      </c>
      <c r="E83" s="584" cm="1">
        <f t="array" ref="E83">_xll.BDP(Inputs!$E$22,"cf_cash_from_oper")/_xll.BDP(Inputs!$E$22,"BEST_NET_INCOME")</f>
        <v>8.1997799779977996</v>
      </c>
      <c r="F83" s="584" cm="1">
        <f t="array" ref="F83">_xll.BDP(Inputs!$E$23,"cf_cash_from_oper")/_xll.BDP(Inputs!$E$23,"BEST_NET_INCOME")</f>
        <v>8.340176141944001</v>
      </c>
      <c r="G83" s="584" cm="1">
        <f t="array" ref="G83">_xll.BDP(Inputs!$E$24,"cf_cash_from_oper")/_xll.BDP(Inputs!$E$24,"BEST_NET_INCOME")</f>
        <v>9.7234042553191493</v>
      </c>
      <c r="H83" s="584" cm="1">
        <f t="array" ref="H83">_xll.BDP(Inputs!$E$25,"cf_cash_from_oper")/_xll.BDP(Inputs!$E$25,"BEST_NET_INCOME")</f>
        <v>5.9704760872331706</v>
      </c>
      <c r="I83" s="584" cm="1">
        <f t="array" ref="I83">_xll.BDP(Inputs!$K$21,"cf_cash_from_oper")/_xll.BDP(Inputs!$K$21,"BEST_NET_INCOME")</f>
        <v>5.2731057512305473</v>
      </c>
      <c r="J83" s="584" cm="1">
        <f t="array" ref="J83">_xll.BDP(Inputs!$K$22,"cf_cash_from_oper")/_xll.BDP(Inputs!$K$22,"BEST_NET_INCOME")</f>
        <v>7.9405456397163388</v>
      </c>
      <c r="K83" s="584" cm="1">
        <f t="array" ref="K83">_xll.BDP(Inputs!$K$23,"cf_cash_from_oper")/_xll.BDP(Inputs!$K$23,"BEST_NET_INCOME")</f>
        <v>5.7451703233256346</v>
      </c>
      <c r="L83" s="584" t="e" cm="1">
        <f t="array" ref="L83">_xll.BDP(Inputs!$K$24,"cf_cash_from_oper")/_xll.BDP(Inputs!$K$24,"BEST_NET_INCOME")</f>
        <v>#VALUE!</v>
      </c>
      <c r="M83" s="584" t="e" cm="1">
        <f t="array" ref="M83">_xll.BDP(Inputs!$K$25,"cf_cash_from_oper")/_xll.BDP(Inputs!$K$25,"BEST_NET_INCOME")</f>
        <v>#VALUE!</v>
      </c>
      <c r="N83" s="584" cm="1">
        <f t="array" ref="N83">_xll.BDP(Inputs!$Q$21,"cf_cash_from_oper")/_xll.BDP(Inputs!$Q$21,"BEST_NET_INCOME")</f>
        <v>4.0248590639620163</v>
      </c>
      <c r="O83" s="584" cm="1">
        <f t="array" ref="O83">_xll.BDP(Inputs!$Q$22,"cf_cash_from_oper")/_xll.BDP(Inputs!$Q$22,"BEST_NET_INCOME")</f>
        <v>3.8578713176783914</v>
      </c>
      <c r="P83" s="584" cm="1">
        <f t="array" ref="P83">_xll.BDP(Inputs!$Q$23,"cf_cash_from_oper")/_xll.BDP(Inputs!$Q$23,"BEST_NET_INCOME")</f>
        <v>2.027393799422379</v>
      </c>
      <c r="Q83" s="584" cm="1">
        <f t="array" ref="Q83">_xll.BDP(Inputs!$Q$24,"cf_cash_from_oper")/_xll.BDP(Inputs!$Q$24,"BEST_NET_INCOME")</f>
        <v>5.6123325541319371</v>
      </c>
      <c r="R83" s="584" cm="1">
        <f t="array" ref="R83">_xll.BDP(Inputs!$Q$25,"cf_cash_from_oper")/_xll.BDP(Inputs!$Q$25,"BEST_NET_INCOME")</f>
        <v>5.6010910330719401</v>
      </c>
    </row>
    <row r="84" spans="1:18" ht="15" customHeight="1">
      <c r="B84" s="378" t="s">
        <v>278</v>
      </c>
      <c r="C84" s="584">
        <v>4.691812217923208</v>
      </c>
      <c r="D84" s="584" cm="1">
        <f t="array" ref="D84">_xll.BDP(Inputs!$E$21,"cf_free_cash_flow")/_xll.BDP(Inputs!$E$21,"BEST_NET_INCOME")</f>
        <v>2.7119940029985004</v>
      </c>
      <c r="E84" s="584" cm="1">
        <f t="array" ref="E84">_xll.BDP(Inputs!$E$22,"cf_free_cash_flow")/_xll.BDP(Inputs!$E$22,"BEST_NET_INCOME")</f>
        <v>4.4198019801980202</v>
      </c>
      <c r="F84" s="584" cm="1">
        <f t="array" ref="F84">_xll.BDP(Inputs!$E$23,"cf_free_cash_flow")/_xll.BDP(Inputs!$E$23,"BEST_NET_INCOME")</f>
        <v>4.6949717432256195</v>
      </c>
      <c r="G84" s="584" cm="1">
        <f t="array" ref="G84">_xll.BDP(Inputs!$E$24,"cf_free_cash_flow")/_xll.BDP(Inputs!$E$24,"BEST_NET_INCOME")</f>
        <v>2.5767077267637171</v>
      </c>
      <c r="H84" s="584" cm="1">
        <f t="array" ref="H84">_xll.BDP(Inputs!$E$25,"cf_free_cash_flow")/_xll.BDP(Inputs!$E$25,"BEST_NET_INCOME")</f>
        <v>4.7618008455603373</v>
      </c>
      <c r="I84" s="584" cm="1">
        <f t="array" ref="I84">_xll.BDP(Inputs!$K$21,"cf_free_cash_flow")/_xll.BDP(Inputs!$K$21,"BEST_NET_INCOME")</f>
        <v>4.1432061465960253</v>
      </c>
      <c r="J84" s="584" cm="1">
        <f t="array" ref="J84">_xll.BDP(Inputs!$K$22,"cf_free_cash_flow")/_xll.BDP(Inputs!$K$22,"BEST_NET_INCOME")</f>
        <v>6.1134551393666907</v>
      </c>
      <c r="K84" s="584" cm="1">
        <f t="array" ref="K84">_xll.BDP(Inputs!$K$23,"cf_free_cash_flow")/_xll.BDP(Inputs!$K$23,"BEST_NET_INCOME")</f>
        <v>4.3705946882217086</v>
      </c>
      <c r="L84" s="584" t="e" cm="1">
        <f t="array" ref="L84">_xll.BDP(Inputs!$K$24,"cf_free_cash_flow")/_xll.BDP(Inputs!$K$24,"BEST_NET_INCOME")</f>
        <v>#VALUE!</v>
      </c>
      <c r="M84" s="584" t="e" cm="1">
        <f t="array" ref="M84">_xll.BDP(Inputs!$K$25,"cf_free_cash_flow")/_xll.BDP(Inputs!$K$25,"BEST_NET_INCOME")</f>
        <v>#VALUE!</v>
      </c>
      <c r="N84" s="584" cm="1">
        <f t="array" ref="N84">_xll.BDP(Inputs!$Q$21,"cf_free_cash_flow")/_xll.BDP(Inputs!$Q$21,"BEST_NET_INCOME")</f>
        <v>2.3134813952844753</v>
      </c>
      <c r="O84" s="584" cm="1">
        <f t="array" ref="O84">_xll.BDP(Inputs!$Q$22,"cf_free_cash_flow")/_xll.BDP(Inputs!$Q$22,"BEST_NET_INCOME")</f>
        <v>3.0409128801411756</v>
      </c>
      <c r="P84" s="584" cm="1">
        <f t="array" ref="P84">_xll.BDP(Inputs!$Q$23,"cf_free_cash_flow")/_xll.BDP(Inputs!$Q$23,"BEST_NET_INCOME")</f>
        <v>1.4124723002294632</v>
      </c>
      <c r="Q84" s="584" cm="1">
        <f t="array" ref="Q84">_xll.BDP(Inputs!$Q$24,"cf_free_cash_flow")/_xll.BDP(Inputs!$Q$24,"BEST_NET_INCOME")</f>
        <v>4.361098240115509</v>
      </c>
      <c r="R84" s="584" cm="1">
        <f t="array" ref="R84">_xll.BDP(Inputs!$Q$25,"cf_free_cash_flow")/_xll.BDP(Inputs!$Q$25,"BEST_NET_INCOME")</f>
        <v>4.8360040913740194</v>
      </c>
    </row>
    <row r="86" spans="1:18" ht="15" customHeight="1">
      <c r="A86" s="383" t="s">
        <v>33</v>
      </c>
      <c r="B86" s="598" t="s">
        <v>279</v>
      </c>
      <c r="C86" s="599" t="s">
        <v>230</v>
      </c>
      <c r="D86" s="599" t="str">
        <f t="shared" ref="D86:R86" si="8">D81</f>
        <v>VITAL FARMS INC</v>
      </c>
      <c r="E86" s="599" t="str">
        <f t="shared" si="8"/>
        <v>POST HOLDINGS IN</v>
      </c>
      <c r="F86" s="599" t="str">
        <f t="shared" si="8"/>
        <v>TYSON FOODS-A</v>
      </c>
      <c r="G86" s="599" t="str">
        <f t="shared" si="8"/>
        <v>LAMB WESTON</v>
      </c>
      <c r="H86" s="599" t="str">
        <f t="shared" si="8"/>
        <v>HORMEL FOODS CRP</v>
      </c>
      <c r="I86" s="599" t="str">
        <f t="shared" si="8"/>
        <v>GENERAL MILLS IN</v>
      </c>
      <c r="J86" s="599" t="str">
        <f t="shared" si="8"/>
        <v>CONAGRA BRANDS I</v>
      </c>
      <c r="K86" s="599" t="str">
        <f t="shared" si="8"/>
        <v>PILGRIM'S PRIDE</v>
      </c>
      <c r="L86" s="599" t="str">
        <f t="shared" si="8"/>
        <v>NESTLE SA-REG</v>
      </c>
      <c r="M86" s="599" t="str">
        <f t="shared" si="8"/>
        <v>UNILEVER PLC</v>
      </c>
      <c r="N86" s="599" t="str">
        <f t="shared" si="8"/>
        <v>PEPSICO INC</v>
      </c>
      <c r="O86" s="599" t="str">
        <f t="shared" si="8"/>
        <v>PROCTER &amp; GAMBLE</v>
      </c>
      <c r="P86" s="599" t="str">
        <f t="shared" si="8"/>
        <v>COCA-COLA CO/THE</v>
      </c>
      <c r="Q86" s="599" t="str">
        <f t="shared" si="8"/>
        <v>KIMBERLY-CLARK</v>
      </c>
      <c r="R86" s="599" t="str">
        <f t="shared" si="8"/>
        <v>COLGATE-PALMOLIV</v>
      </c>
    </row>
    <row r="87" spans="1:18" ht="3.95" customHeight="1">
      <c r="A87" s="383"/>
      <c r="B87" s="597"/>
      <c r="C87" s="36"/>
      <c r="D87" s="36"/>
      <c r="E87" s="36"/>
      <c r="F87" s="36"/>
      <c r="G87" s="36"/>
      <c r="H87" s="36"/>
      <c r="I87" s="36"/>
      <c r="J87" s="36"/>
      <c r="K87" s="36"/>
      <c r="L87" s="36"/>
      <c r="M87" s="36"/>
      <c r="N87" s="36"/>
      <c r="O87" s="36"/>
      <c r="P87" s="36"/>
      <c r="Q87" s="36"/>
      <c r="R87" s="36"/>
    </row>
    <row r="88" spans="1:18" ht="15" customHeight="1">
      <c r="B88" s="378" t="s">
        <v>280</v>
      </c>
      <c r="C88" s="583">
        <v>3.530450132391838E-3</v>
      </c>
      <c r="D88" s="583" cm="1">
        <f t="array" ref="D88">_xll.BDP(Inputs!$E$21,"PERIODIC_SHARE_DILUTION_FACTOR")-1</f>
        <v>5.3150200024924432E-2</v>
      </c>
      <c r="E88" s="583" cm="1">
        <f t="array" ref="E88">_xll.BDP(Inputs!$E$22,"PERIODIC_SHARE_DILUTION_FACTOR")-1</f>
        <v>0.11686143572621055</v>
      </c>
      <c r="F88" s="583" cm="1">
        <f t="array" ref="F88">_xll.BDP(Inputs!$E$23,"PERIODIC_SHARE_DILUTION_FACTOR")-1</f>
        <v>0</v>
      </c>
      <c r="G88" s="583" cm="1">
        <f t="array" ref="G88">_xll.BDP(Inputs!$E$24,"PERIODIC_SHARE_DILUTION_FACTOR")-1</f>
        <v>3.5161744022502717E-3</v>
      </c>
      <c r="H88" s="583" cm="1">
        <f t="array" ref="H88">_xll.BDP(Inputs!$E$25,"PERIODIC_SHARE_DILUTION_FACTOR")-1</f>
        <v>1.2825448024096353E-3</v>
      </c>
      <c r="I88" s="583" cm="1">
        <f t="array" ref="I88">_xll.BDP(Inputs!$K$21,"PERIODIC_SHARE_DILUTION_FACTOR")-1</f>
        <v>5.4102795311090635E-3</v>
      </c>
      <c r="J88" s="583" cm="1">
        <f t="array" ref="J88">_xll.BDP(Inputs!$K$22,"PERIODIC_SHARE_DILUTION_FACTOR")-1</f>
        <v>2.927033242734689E-3</v>
      </c>
      <c r="K88" s="583" cm="1">
        <f t="array" ref="K88">_xll.BDP(Inputs!$K$23,"PERIODIC_SHARE_DILUTION_FACTOR")-1</f>
        <v>3.3416593532706873E-3</v>
      </c>
      <c r="L88" s="583" cm="1">
        <f t="array" ref="L88">_xll.BDP(Inputs!$K$24,"PERIODIC_SHARE_DILUTION_FACTOR")-1</f>
        <v>1.1556240369798854E-3</v>
      </c>
      <c r="M88" s="583" cm="1">
        <f t="array" ref="M88">_xll.BDP(Inputs!$K$25,"PERIODIC_SHARE_DILUTION_FACTOR")-1</f>
        <v>5.8172189681457986E-3</v>
      </c>
      <c r="N88" s="583" cm="1">
        <f t="array" ref="N88">_xll.BDP(Inputs!$Q$21,"PERIODIC_SHARE_DILUTION_FACTOR")-1</f>
        <v>3.6416605972322547E-3</v>
      </c>
      <c r="O88" s="583" cm="1">
        <f t="array" ref="O88">_xll.BDP(Inputs!$Q$22,"PERIODIC_SHARE_DILUTION_FACTOR")-1</f>
        <v>4.4381090166375925E-2</v>
      </c>
      <c r="P88" s="583" cm="1">
        <f t="array" ref="P88">_xll.BDP(Inputs!$Q$23,"PERIODIC_SHARE_DILUTION_FACTOR")-1</f>
        <v>2.5527964724993968E-3</v>
      </c>
      <c r="Q88" s="583" cm="1">
        <f t="array" ref="Q88">_xll.BDP(Inputs!$Q$24,"PERIODIC_SHARE_DILUTION_FACTOR")-1</f>
        <v>4.1716328963050664E-3</v>
      </c>
      <c r="R88" s="583" cm="1">
        <f t="array" ref="R88">_xll.BDP(Inputs!$Q$25,"PERIODIC_SHARE_DILUTION_FACTOR")-1</f>
        <v>5.0054938346966171E-3</v>
      </c>
    </row>
    <row r="89" spans="1:18" ht="15" customHeight="1">
      <c r="B89" s="378" t="s">
        <v>281</v>
      </c>
      <c r="C89" s="583">
        <v>1.0622060426313709E-3</v>
      </c>
      <c r="D89" s="583" cm="1">
        <f t="array" ref="D89">_xll.BDP(Inputs!$E$21,"CF_STOCK_BASED_COMPENSATION")/_xll.BDP(Inputs!$E$21,"sales_rev_turn")</f>
        <v>1.6935314947708009E-2</v>
      </c>
      <c r="E89" s="583" cm="1">
        <f t="array" ref="E89">_xll.BDP(Inputs!$E$22,"CF_STOCK_BASED_COMPENSATION")/_xll.BDP(Inputs!$E$22,"sales_rev_turn")</f>
        <v>1.0652933974528886E-2</v>
      </c>
      <c r="F89" s="583" cm="1">
        <f t="array" ref="F89">_xll.BDP(Inputs!$E$23,"CF_STOCK_BASED_COMPENSATION")/_xll.BDP(Inputs!$E$23,"sales_rev_turn")</f>
        <v>1.894614417828134E-3</v>
      </c>
      <c r="G89" s="583" cm="1">
        <f t="array" ref="G89">_xll.BDP(Inputs!$E$24,"CF_STOCK_BASED_COMPENSATION")/_xll.BDP(Inputs!$E$24,"sales_rev_turn")</f>
        <v>6.1227969556523487E-3</v>
      </c>
      <c r="H89" s="583" cm="1">
        <f t="array" ref="H89">_xll.BDP(Inputs!$E$25,"CF_STOCK_BASED_COMPENSATION")/_xll.BDP(Inputs!$E$25,"sales_rev_turn")</f>
        <v>1.9489468699114664E-3</v>
      </c>
      <c r="I89" s="583" cm="1">
        <f t="array" ref="I89">_xll.BDP(Inputs!$K$21,"CF_STOCK_BASED_COMPENSATION")/_xll.BDP(Inputs!$K$21,"sales_rev_turn")</f>
        <v>4.7057978303039014E-3</v>
      </c>
      <c r="J89" s="583" cm="1">
        <f t="array" ref="J89">_xll.BDP(Inputs!$K$22,"CF_STOCK_BASED_COMPENSATION")/_xll.BDP(Inputs!$K$22,"sales_rev_turn")</f>
        <v>3.5736428768255719E-3</v>
      </c>
      <c r="K89" s="583" cm="1">
        <f t="array" ref="K89">_xll.BDP(Inputs!$K$23,"CF_STOCK_BASED_COMPENSATION")/_xll.BDP(Inputs!$K$23,"sales_rev_turn")</f>
        <v>8.3190278086423355E-4</v>
      </c>
      <c r="L89" s="583" cm="1">
        <f t="array" ref="L89">_xll.BDP(Inputs!$K$24,"CF_STOCK_BASED_COMPENSATION")/_xll.BDP(Inputs!$K$24,"sales_rev_turn")</f>
        <v>1.2647187091146968E-3</v>
      </c>
      <c r="M89" s="583" cm="1">
        <f t="array" ref="M89">_xll.BDP(Inputs!$K$25,"CF_STOCK_BASED_COMPENSATION")/_xll.BDP(Inputs!$K$25,"sales_rev_turn")</f>
        <v>5.332367801714916E-3</v>
      </c>
      <c r="N89" s="583" cm="1">
        <f t="array" ref="N89">_xll.BDP(Inputs!$Q$21,"CF_STOCK_BASED_COMPENSATION")/_xll.BDP(Inputs!$Q$21,"sales_rev_turn")</f>
        <v>3.9410368628475627E-3</v>
      </c>
      <c r="O89" s="583" cm="1">
        <f t="array" ref="O89">_xll.BDP(Inputs!$Q$22,"CF_STOCK_BASED_COMPENSATION")/_xll.BDP(Inputs!$Q$22,"sales_rev_turn")</f>
        <v>5.647572492999858E-3</v>
      </c>
      <c r="P89" s="583" cm="1">
        <f t="array" ref="P89">_xll.BDP(Inputs!$Q$23,"CF_STOCK_BASED_COMPENSATION")/_xll.BDP(Inputs!$Q$23,"sales_rev_turn")</f>
        <v>6.0772189286245511E-3</v>
      </c>
      <c r="Q89" s="583" cm="1">
        <f t="array" ref="Q89">_xll.BDP(Inputs!$Q$24,"CF_STOCK_BASED_COMPENSATION")/_xll.BDP(Inputs!$Q$24,"sales_rev_turn")</f>
        <v>6.5310599262139793E-3</v>
      </c>
      <c r="R89" s="583" cm="1">
        <f t="array" ref="R89">_xll.BDP(Inputs!$Q$25,"CF_STOCK_BASED_COMPENSATION")/_xll.BDP(Inputs!$Q$25,"sales_rev_turn")</f>
        <v>6.7160837769265208E-3</v>
      </c>
    </row>
    <row r="90" spans="1:18" ht="15" customHeight="1">
      <c r="B90" s="378" t="s">
        <v>282</v>
      </c>
      <c r="C90" s="583">
        <v>3.6963128320108697E-3</v>
      </c>
      <c r="D90" s="583" cm="1">
        <f t="array" ref="D90">_xll.BDP(Inputs!$E$21,"CF_STOCK_BASED_COMPENSATION")/_xll.BDP(Inputs!$E$21,"cf_cash_from_oper")</f>
        <v>0.15839812415154883</v>
      </c>
      <c r="E90" s="583" cm="1">
        <f t="array" ref="E90">_xll.BDP(Inputs!$E$22,"CF_STOCK_BASED_COMPENSATION")/_xll.BDP(Inputs!$E$22,"cf_cash_from_oper")</f>
        <v>9.0587098851561659E-2</v>
      </c>
      <c r="F90" s="583" cm="1">
        <f t="array" ref="F90">_xll.BDP(Inputs!$E$23,"CF_STOCK_BASED_COMPENSATION")/_xll.BDP(Inputs!$E$23,"cf_cash_from_oper")</f>
        <v>3.8996138996138997E-2</v>
      </c>
      <c r="G90" s="583" cm="1">
        <f t="array" ref="G90">_xll.BDP(Inputs!$E$24,"CF_STOCK_BASED_COMPENSATION")/_xll.BDP(Inputs!$E$24,"cf_cash_from_oper")</f>
        <v>4.5491189680985838E-2</v>
      </c>
      <c r="H90" s="583" cm="1">
        <f t="array" ref="H90">_xll.BDP(Inputs!$E$25,"CF_STOCK_BASED_COMPENSATION")/_xll.BDP(Inputs!$E$25,"cf_cash_from_oper")</f>
        <v>1.834080922811189E-2</v>
      </c>
      <c r="I90" s="583" cm="1">
        <f t="array" ref="I90">_xll.BDP(Inputs!$K$21,"CF_STOCK_BASED_COMPENSATION")/_xll.BDP(Inputs!$K$21,"cf_cash_from_oper")</f>
        <v>3.1423480227537527E-2</v>
      </c>
      <c r="J90" s="583" cm="1">
        <f t="array" ref="J90">_xll.BDP(Inputs!$K$22,"CF_STOCK_BASED_COMPENSATION")/_xll.BDP(Inputs!$K$22,"cf_cash_from_oper")</f>
        <v>2.4528636444234291E-2</v>
      </c>
      <c r="K90" s="583" cm="1">
        <f t="array" ref="K90">_xll.BDP(Inputs!$K$23,"CF_STOCK_BASED_COMPENSATION")/_xll.BDP(Inputs!$K$23,"cf_cash_from_oper")</f>
        <v>7.4733924015904507E-3</v>
      </c>
      <c r="L90" s="583" cm="1">
        <f t="array" ref="L90">_xll.BDP(Inputs!$K$24,"CF_STOCK_BASED_COMPENSATION")/_xll.BDP(Inputs!$K$24,"cf_cash_from_oper")</f>
        <v>6.956521739130435E-3</v>
      </c>
      <c r="M90" s="583" cm="1">
        <f t="array" ref="M90">_xll.BDP(Inputs!$K$25,"CF_STOCK_BASED_COMPENSATION")/_xll.BDP(Inputs!$K$25,"cf_cash_from_oper")</f>
        <v>3.5499068697271832E-2</v>
      </c>
      <c r="N90" s="583" cm="1">
        <f t="array" ref="N90">_xll.BDP(Inputs!$Q$21,"CF_STOCK_BASED_COMPENSATION")/_xll.BDP(Inputs!$Q$21,"cf_cash_from_oper")</f>
        <v>2.8943791476773006E-2</v>
      </c>
      <c r="O90" s="583" cm="1">
        <f t="array" ref="O90">_xll.BDP(Inputs!$Q$22,"CF_STOCK_BASED_COMPENSATION")/_xll.BDP(Inputs!$Q$22,"cf_cash_from_oper")</f>
        <v>2.6716057697704441E-2</v>
      </c>
      <c r="P90" s="583" cm="1">
        <f t="array" ref="P90">_xll.BDP(Inputs!$Q$23,"CF_STOCK_BASED_COMPENSATION")/_xll.BDP(Inputs!$Q$23,"cf_cash_from_oper")</f>
        <v>4.2027920646583394E-2</v>
      </c>
      <c r="Q90" s="583" cm="1">
        <f t="array" ref="Q90">_xll.BDP(Inputs!$Q$24,"CF_STOCK_BASED_COMPENSATION")/_xll.BDP(Inputs!$Q$24,"cf_cash_from_oper")</f>
        <v>4.0507111935683363E-2</v>
      </c>
      <c r="R90" s="583" cm="1">
        <f t="array" ref="R90">_xll.BDP(Inputs!$Q$25,"CF_STOCK_BASED_COMPENSATION")/_xll.BDP(Inputs!$Q$25,"cf_cash_from_oper")</f>
        <v>3.2870708546384221E-2</v>
      </c>
    </row>
    <row r="91" spans="1:18" ht="15" customHeight="1">
      <c r="B91" s="378" t="s">
        <v>283</v>
      </c>
      <c r="C91" s="594">
        <v>25.040880000000001</v>
      </c>
      <c r="D91" s="594">
        <f>_xll.BQL(
Inputs!$E$21,
"is_eps(fpt=ltm,fa_adjusted=y,fs=mr)",
"currency=USD"
)</f>
        <v>1.1726919999999998</v>
      </c>
      <c r="E91" s="594">
        <f>_xll.BQL(
Inputs!$E$22,
"is_eps(fpt=ltm,fa_adjusted=y,fs=mr)",
"currency=USD"
)</f>
        <v>7.4472950000000004</v>
      </c>
      <c r="F91" s="594">
        <f>_xll.BQL(
Inputs!$E$23,
"is_eps(fpt=ltm,fa_adjusted=y,fs=mr)",
"currency=USD"
)</f>
        <v>3.932315</v>
      </c>
      <c r="G91" s="594">
        <f>_xll.BQL(
Inputs!$E$24,
"is_eps(fpt=ltm,fa_adjusted=y,fs=mr)",
"currency=USD"
)</f>
        <v>2.7756620000000001</v>
      </c>
      <c r="H91" s="594">
        <f>_xll.BQL(
Inputs!$E$25,
"is_eps(fpt=ltm,fa_adjusted=y,fs=mr)",
"currency=USD"
)</f>
        <v>1.4722679999999999</v>
      </c>
      <c r="I91" s="594">
        <f>_xll.BQL(
Inputs!$K$21,
"is_eps(fpt=ltm,fa_adjusted=y,fs=mr)",
"currency=USD"
)</f>
        <v>4.0089829999999997</v>
      </c>
      <c r="J91" s="594">
        <f>_xll.BQL(
Inputs!$K$22,
"is_eps(fpt=ltm,fa_adjusted=y,fs=mr)",
"currency=USD"
)</f>
        <v>2.3381190000000003</v>
      </c>
      <c r="K91" s="594">
        <f>_xll.BQL(
Inputs!$K$23,
"is_eps(fpt=ltm,fa_adjusted=y,fs=mr)",
"currency=USD"
)</f>
        <v>6.0416850000000002</v>
      </c>
      <c r="L91" s="594">
        <f>_xll.BQL(
Inputs!$K$24,
"is_eps(fpt=ltm,fa_adjusted=y,fs=mr)",
"currency=USD"
)</f>
        <v>5.0136865533241384</v>
      </c>
      <c r="M91" s="594">
        <f>_xll.BQL(
Inputs!$K$25,
"is_eps(fpt=ltm,fa_adjusted=y,fs=mr)",
"currency=USD"
)</f>
        <v>3.2320775040482728</v>
      </c>
      <c r="N91" s="594">
        <f>_xll.BQL(
Inputs!$Q$21,
"is_eps(fpt=ltm,fa_adjusted=y,fs=mr)",
"currency=USD"
)</f>
        <v>7.8991470000000001</v>
      </c>
      <c r="O91" s="594">
        <f>_xll.BQL(
Inputs!$Q$22,
"is_eps(fpt=ltm,fa_adjusted=y,fs=mr)",
"currency=USD"
)</f>
        <v>7.2679669999999996</v>
      </c>
      <c r="P91" s="594">
        <f>_xll.BQL(
Inputs!$Q$23,
"is_eps(fpt=ltm,fa_adjusted=y,fs=mr)",
"currency=USD"
)</f>
        <v>2.9214530000000001</v>
      </c>
      <c r="Q91" s="594">
        <f>_xll.BQL(
Inputs!$Q$24,
"is_eps(fpt=ltm,fa_adjusted=y,fs=mr)",
"currency=USD"
)</f>
        <v>10.627931</v>
      </c>
      <c r="R91" s="594">
        <f>_xll.BQL(
Inputs!$Q$25,
"is_eps(fpt=ltm,fa_adjusted=y,fs=mr)",
"currency=USD"
)</f>
        <v>3.6635959999999996</v>
      </c>
    </row>
  </sheetData>
  <conditionalFormatting sqref="C14:R14">
    <cfRule type="colorScale" priority="67">
      <colorScale>
        <cfvo type="min"/>
        <cfvo type="num" val="0"/>
        <cfvo type="max"/>
        <color theme="4" tint="0.79998168889431442"/>
        <color theme="0"/>
        <color rgb="FF8DEB91"/>
      </colorScale>
    </cfRule>
  </conditionalFormatting>
  <conditionalFormatting sqref="C15:R15">
    <cfRule type="colorScale" priority="49">
      <colorScale>
        <cfvo type="min"/>
        <cfvo type="num" val="0"/>
        <cfvo type="max"/>
        <color theme="4" tint="0.79998168889431442"/>
        <color theme="0"/>
        <color rgb="FF8DEB91"/>
      </colorScale>
    </cfRule>
  </conditionalFormatting>
  <conditionalFormatting sqref="C16:R16">
    <cfRule type="colorScale" priority="48">
      <colorScale>
        <cfvo type="min"/>
        <cfvo type="num" val="0"/>
        <cfvo type="max"/>
        <color theme="4" tint="0.79998168889431442"/>
        <color theme="0"/>
        <color rgb="FF8DEB91"/>
      </colorScale>
    </cfRule>
  </conditionalFormatting>
  <conditionalFormatting sqref="C17:R17">
    <cfRule type="colorScale" priority="47">
      <colorScale>
        <cfvo type="min"/>
        <cfvo type="num" val="0"/>
        <cfvo type="max"/>
        <color theme="4" tint="0.79998168889431442"/>
        <color theme="0"/>
        <color rgb="FF8DEB91"/>
      </colorScale>
    </cfRule>
  </conditionalFormatting>
  <conditionalFormatting sqref="C18:R18">
    <cfRule type="colorScale" priority="46">
      <colorScale>
        <cfvo type="min"/>
        <cfvo type="num" val="0"/>
        <cfvo type="max"/>
        <color theme="4" tint="0.79998168889431442"/>
        <color theme="0"/>
        <color rgb="FF8DEB91"/>
      </colorScale>
    </cfRule>
  </conditionalFormatting>
  <conditionalFormatting sqref="C19:R19">
    <cfRule type="colorScale" priority="45">
      <colorScale>
        <cfvo type="min"/>
        <cfvo type="num" val="0"/>
        <cfvo type="max"/>
        <color theme="4" tint="0.79998168889431442"/>
        <color theme="0"/>
        <color rgb="FF8DEB91"/>
      </colorScale>
    </cfRule>
  </conditionalFormatting>
  <conditionalFormatting sqref="C23:R23">
    <cfRule type="colorScale" priority="61">
      <colorScale>
        <cfvo type="min"/>
        <cfvo type="percentile" val="50"/>
        <cfvo type="max"/>
        <color theme="4" tint="0.79998168889431442"/>
        <color theme="0"/>
        <color rgb="FF8DEB91"/>
      </colorScale>
    </cfRule>
  </conditionalFormatting>
  <conditionalFormatting sqref="C24:R24">
    <cfRule type="colorScale" priority="44">
      <colorScale>
        <cfvo type="min"/>
        <cfvo type="percentile" val="50"/>
        <cfvo type="max"/>
        <color theme="4" tint="0.79998168889431442"/>
        <color theme="0"/>
        <color rgb="FF8DEB91"/>
      </colorScale>
    </cfRule>
  </conditionalFormatting>
  <conditionalFormatting sqref="C25:R25">
    <cfRule type="colorScale" priority="43">
      <colorScale>
        <cfvo type="min"/>
        <cfvo type="percentile" val="50"/>
        <cfvo type="max"/>
        <color theme="4" tint="0.79998168889431442"/>
        <color theme="0"/>
        <color rgb="FF8DEB91"/>
      </colorScale>
    </cfRule>
  </conditionalFormatting>
  <conditionalFormatting sqref="C26:R26">
    <cfRule type="colorScale" priority="42">
      <colorScale>
        <cfvo type="min"/>
        <cfvo type="percentile" val="50"/>
        <cfvo type="max"/>
        <color theme="4" tint="0.79998168889431442"/>
        <color theme="0"/>
        <color rgb="FF8DEB91"/>
      </colorScale>
    </cfRule>
  </conditionalFormatting>
  <conditionalFormatting sqref="C27:R27">
    <cfRule type="colorScale" priority="41">
      <colorScale>
        <cfvo type="min"/>
        <cfvo type="percentile" val="50"/>
        <cfvo type="max"/>
        <color theme="4" tint="0.79998168889431442"/>
        <color theme="0"/>
        <color rgb="FF8DEB91"/>
      </colorScale>
    </cfRule>
  </conditionalFormatting>
  <conditionalFormatting sqref="C28:R28">
    <cfRule type="colorScale" priority="40">
      <colorScale>
        <cfvo type="min"/>
        <cfvo type="percentile" val="50"/>
        <cfvo type="max"/>
        <color theme="4" tint="0.79998168889431442"/>
        <color theme="0"/>
        <color rgb="FF8DEB91"/>
      </colorScale>
    </cfRule>
  </conditionalFormatting>
  <conditionalFormatting sqref="C32:R32">
    <cfRule type="colorScale" priority="39">
      <colorScale>
        <cfvo type="min"/>
        <cfvo type="percentile" val="50"/>
        <cfvo type="max"/>
        <color theme="4" tint="0.79998168889431442"/>
        <color theme="0"/>
        <color rgb="FF8DEB91"/>
      </colorScale>
    </cfRule>
  </conditionalFormatting>
  <conditionalFormatting sqref="C33:R33">
    <cfRule type="colorScale" priority="38">
      <colorScale>
        <cfvo type="min"/>
        <cfvo type="percentile" val="50"/>
        <cfvo type="max"/>
        <color theme="4" tint="0.79998168889431442"/>
        <color theme="0"/>
        <color rgb="FF8DEB91"/>
      </colorScale>
    </cfRule>
  </conditionalFormatting>
  <conditionalFormatting sqref="C34:R34">
    <cfRule type="colorScale" priority="37">
      <colorScale>
        <cfvo type="min"/>
        <cfvo type="percentile" val="50"/>
        <cfvo type="max"/>
        <color theme="4" tint="0.79998168889431442"/>
        <color theme="0"/>
        <color rgb="FF8DEB91"/>
      </colorScale>
    </cfRule>
  </conditionalFormatting>
  <conditionalFormatting sqref="C35:R35">
    <cfRule type="colorScale" priority="36">
      <colorScale>
        <cfvo type="min"/>
        <cfvo type="percentile" val="50"/>
        <cfvo type="max"/>
        <color theme="4" tint="0.79998168889431442"/>
        <color theme="0"/>
        <color rgb="FF8DEB91"/>
      </colorScale>
    </cfRule>
  </conditionalFormatting>
  <conditionalFormatting sqref="C36:R36">
    <cfRule type="colorScale" priority="35">
      <colorScale>
        <cfvo type="min"/>
        <cfvo type="percentile" val="50"/>
        <cfvo type="max"/>
        <color theme="4" tint="0.79998168889431442"/>
        <color theme="0"/>
        <color rgb="FF8DEB91"/>
      </colorScale>
    </cfRule>
  </conditionalFormatting>
  <conditionalFormatting sqref="C37:R37">
    <cfRule type="colorScale" priority="34">
      <colorScale>
        <cfvo type="min"/>
        <cfvo type="percentile" val="50"/>
        <cfvo type="max"/>
        <color theme="4" tint="0.79998168889431442"/>
        <color theme="0"/>
        <color rgb="FF8DEB91"/>
      </colorScale>
    </cfRule>
  </conditionalFormatting>
  <conditionalFormatting sqref="C41:R41">
    <cfRule type="colorScale" priority="33">
      <colorScale>
        <cfvo type="min"/>
        <cfvo type="percentile" val="50"/>
        <cfvo type="max"/>
        <color theme="4" tint="0.79998168889431442"/>
        <color theme="0" tint="-4.9989318521683403E-2"/>
        <color rgb="FF8DEB91"/>
      </colorScale>
    </cfRule>
  </conditionalFormatting>
  <conditionalFormatting sqref="C42:R42">
    <cfRule type="colorScale" priority="32">
      <colorScale>
        <cfvo type="min"/>
        <cfvo type="percentile" val="50"/>
        <cfvo type="max"/>
        <color theme="4" tint="0.79998168889431442"/>
        <color theme="0" tint="-4.9989318521683403E-2"/>
        <color rgb="FF8DEB91"/>
      </colorScale>
    </cfRule>
  </conditionalFormatting>
  <conditionalFormatting sqref="C43:R43">
    <cfRule type="colorScale" priority="31">
      <colorScale>
        <cfvo type="min"/>
        <cfvo type="percentile" val="50"/>
        <cfvo type="max"/>
        <color theme="4" tint="0.79998168889431442"/>
        <color theme="0" tint="-4.9989318521683403E-2"/>
        <color rgb="FF8DEB91"/>
      </colorScale>
    </cfRule>
  </conditionalFormatting>
  <conditionalFormatting sqref="C44:R44">
    <cfRule type="colorScale" priority="30">
      <colorScale>
        <cfvo type="min"/>
        <cfvo type="percentile" val="50"/>
        <cfvo type="max"/>
        <color theme="4" tint="0.79998168889431442"/>
        <color theme="0"/>
        <color rgb="FF8DEB91"/>
      </colorScale>
    </cfRule>
  </conditionalFormatting>
  <conditionalFormatting sqref="C45:R45">
    <cfRule type="colorScale" priority="29">
      <colorScale>
        <cfvo type="min"/>
        <cfvo type="percentile" val="50"/>
        <cfvo type="max"/>
        <color theme="4" tint="0.79998168889431442"/>
        <color theme="0"/>
        <color rgb="FF8DEB91"/>
      </colorScale>
    </cfRule>
  </conditionalFormatting>
  <conditionalFormatting sqref="C49:R49">
    <cfRule type="colorScale" priority="28">
      <colorScale>
        <cfvo type="min"/>
        <cfvo type="percentile" val="50"/>
        <cfvo type="max"/>
        <color theme="4" tint="0.79998168889431442"/>
        <color theme="0"/>
        <color rgb="FF8DEB91"/>
      </colorScale>
    </cfRule>
  </conditionalFormatting>
  <conditionalFormatting sqref="C50:R50">
    <cfRule type="colorScale" priority="27">
      <colorScale>
        <cfvo type="min"/>
        <cfvo type="percentile" val="50"/>
        <cfvo type="max"/>
        <color theme="4" tint="0.79998168889431442"/>
        <color theme="0"/>
        <color rgb="FF8DEB91"/>
      </colorScale>
    </cfRule>
  </conditionalFormatting>
  <conditionalFormatting sqref="C51:R51">
    <cfRule type="colorScale" priority="26">
      <colorScale>
        <cfvo type="min"/>
        <cfvo type="percentile" val="50"/>
        <cfvo type="max"/>
        <color theme="4" tint="0.79998168889431442"/>
        <color theme="0"/>
        <color rgb="FF8DEB91"/>
      </colorScale>
    </cfRule>
  </conditionalFormatting>
  <conditionalFormatting sqref="C52:R52">
    <cfRule type="colorScale" priority="25">
      <colorScale>
        <cfvo type="min"/>
        <cfvo type="percentile" val="50"/>
        <cfvo type="max"/>
        <color theme="4" tint="0.79998168889431442"/>
        <color theme="0"/>
        <color rgb="FF8DEB91"/>
      </colorScale>
    </cfRule>
  </conditionalFormatting>
  <conditionalFormatting sqref="C53:R53">
    <cfRule type="colorScale" priority="24">
      <colorScale>
        <cfvo type="min"/>
        <cfvo type="percentile" val="50"/>
        <cfvo type="max"/>
        <color theme="4" tint="0.79998168889431442"/>
        <color theme="0"/>
        <color rgb="FF8DEB91"/>
      </colorScale>
    </cfRule>
  </conditionalFormatting>
  <conditionalFormatting sqref="C54:R54">
    <cfRule type="colorScale" priority="23">
      <colorScale>
        <cfvo type="min"/>
        <cfvo type="percentile" val="50"/>
        <cfvo type="max"/>
        <color theme="4" tint="0.79998168889431442"/>
        <color theme="0" tint="-4.9989318521683403E-2"/>
        <color rgb="FF8DEB91"/>
      </colorScale>
    </cfRule>
  </conditionalFormatting>
  <conditionalFormatting sqref="C55:R55">
    <cfRule type="colorScale" priority="22">
      <colorScale>
        <cfvo type="min"/>
        <cfvo type="percentile" val="50"/>
        <cfvo type="max"/>
        <color theme="4" tint="0.79998168889431442"/>
        <color theme="0"/>
        <color rgb="FF8DEB91"/>
      </colorScale>
    </cfRule>
  </conditionalFormatting>
  <conditionalFormatting sqref="C59:R59">
    <cfRule type="colorScale" priority="21">
      <colorScale>
        <cfvo type="min"/>
        <cfvo type="percentile" val="50"/>
        <cfvo type="max"/>
        <color theme="4" tint="0.79998168889431442"/>
        <color theme="0" tint="-4.9989318521683403E-2"/>
        <color rgb="FF8DEB91"/>
      </colorScale>
    </cfRule>
  </conditionalFormatting>
  <conditionalFormatting sqref="C60:R60">
    <cfRule type="colorScale" priority="20">
      <colorScale>
        <cfvo type="min"/>
        <cfvo type="percentile" val="50"/>
        <cfvo type="max"/>
        <color theme="4" tint="0.79998168889431442"/>
        <color theme="0" tint="-4.9989318521683403E-2"/>
        <color rgb="FF8DEB91"/>
      </colorScale>
    </cfRule>
  </conditionalFormatting>
  <conditionalFormatting sqref="C61:R61">
    <cfRule type="colorScale" priority="19">
      <colorScale>
        <cfvo type="min"/>
        <cfvo type="percentile" val="50"/>
        <cfvo type="max"/>
        <color theme="4" tint="0.79998168889431442"/>
        <color theme="0" tint="-4.9989318521683403E-2"/>
        <color rgb="FF8DEB91"/>
      </colorScale>
    </cfRule>
  </conditionalFormatting>
  <conditionalFormatting sqref="C62:R62">
    <cfRule type="colorScale" priority="18">
      <colorScale>
        <cfvo type="min"/>
        <cfvo type="percentile" val="50"/>
        <cfvo type="max"/>
        <color theme="4" tint="0.79998168889431442"/>
        <color theme="0"/>
        <color rgb="FF8DEB91"/>
      </colorScale>
    </cfRule>
  </conditionalFormatting>
  <conditionalFormatting sqref="C63:R63">
    <cfRule type="colorScale" priority="17">
      <colorScale>
        <cfvo type="min"/>
        <cfvo type="percentile" val="50"/>
        <cfvo type="max"/>
        <color theme="4" tint="0.79998168889431442"/>
        <color theme="0"/>
        <color rgb="FF8DEB91"/>
      </colorScale>
    </cfRule>
  </conditionalFormatting>
  <conditionalFormatting sqref="C67:R67">
    <cfRule type="colorScale" priority="16">
      <colorScale>
        <cfvo type="min"/>
        <cfvo type="percentile" val="50"/>
        <cfvo type="max"/>
        <color theme="4" tint="0.79998168889431442"/>
        <color theme="0" tint="-4.9989318521683403E-2"/>
        <color rgb="FF8DEB91"/>
      </colorScale>
    </cfRule>
  </conditionalFormatting>
  <conditionalFormatting sqref="C68:R68">
    <cfRule type="colorScale" priority="15">
      <colorScale>
        <cfvo type="min"/>
        <cfvo type="percentile" val="50"/>
        <cfvo type="max"/>
        <color theme="4" tint="0.79998168889431442"/>
        <color theme="0" tint="-4.9989318521683403E-2"/>
        <color rgb="FF8DEB91"/>
      </colorScale>
    </cfRule>
  </conditionalFormatting>
  <conditionalFormatting sqref="C69:R69">
    <cfRule type="colorScale" priority="14">
      <colorScale>
        <cfvo type="min"/>
        <cfvo type="percentile" val="50"/>
        <cfvo type="max"/>
        <color theme="4" tint="0.79998168889431442"/>
        <color theme="0" tint="-4.9989318521683403E-2"/>
        <color rgb="FF8DEB91"/>
      </colorScale>
    </cfRule>
  </conditionalFormatting>
  <conditionalFormatting sqref="C73:R73">
    <cfRule type="colorScale" priority="13">
      <colorScale>
        <cfvo type="min"/>
        <cfvo type="percentile" val="50"/>
        <cfvo type="max"/>
        <color theme="4" tint="0.79998168889431442"/>
        <color theme="0"/>
        <color rgb="FF8DEB91"/>
      </colorScale>
    </cfRule>
  </conditionalFormatting>
  <conditionalFormatting sqref="C74:R74">
    <cfRule type="colorScale" priority="12">
      <colorScale>
        <cfvo type="min"/>
        <cfvo type="percentile" val="50"/>
        <cfvo type="max"/>
        <color theme="4" tint="0.79998168889431442"/>
        <color theme="0"/>
        <color rgb="FF8DEB91"/>
      </colorScale>
    </cfRule>
  </conditionalFormatting>
  <conditionalFormatting sqref="C75:R75">
    <cfRule type="colorScale" priority="11">
      <colorScale>
        <cfvo type="min"/>
        <cfvo type="percentile" val="50"/>
        <cfvo type="max"/>
        <color theme="4" tint="0.79998168889431442"/>
        <color theme="0"/>
        <color rgb="FF8DEB91"/>
      </colorScale>
    </cfRule>
  </conditionalFormatting>
  <conditionalFormatting sqref="C76:R76">
    <cfRule type="colorScale" priority="10">
      <colorScale>
        <cfvo type="min"/>
        <cfvo type="percentile" val="50"/>
        <cfvo type="max"/>
        <color theme="4" tint="0.79998168889431442"/>
        <color theme="0" tint="-4.9989318521683403E-2"/>
        <color rgb="FF8DEB91"/>
      </colorScale>
    </cfRule>
  </conditionalFormatting>
  <conditionalFormatting sqref="C77:R77">
    <cfRule type="colorScale" priority="9">
      <colorScale>
        <cfvo type="min"/>
        <cfvo type="percentile" val="50"/>
        <cfvo type="max"/>
        <color theme="4" tint="0.79998168889431442"/>
        <color theme="0"/>
        <color rgb="FF8DEB91"/>
      </colorScale>
    </cfRule>
  </conditionalFormatting>
  <conditionalFormatting sqref="C78:R78">
    <cfRule type="colorScale" priority="7">
      <colorScale>
        <cfvo type="min"/>
        <cfvo type="percentile" val="50"/>
        <cfvo type="max"/>
        <color theme="4" tint="0.79998168889431442"/>
        <color theme="0"/>
        <color rgb="FF8DEB91"/>
      </colorScale>
    </cfRule>
  </conditionalFormatting>
  <conditionalFormatting sqref="C79:R79">
    <cfRule type="colorScale" priority="8">
      <colorScale>
        <cfvo type="min"/>
        <cfvo type="percentile" val="50"/>
        <cfvo type="max"/>
        <color theme="4" tint="0.79998168889431442"/>
        <color theme="0"/>
        <color rgb="FF8DEB91"/>
      </colorScale>
    </cfRule>
  </conditionalFormatting>
  <conditionalFormatting sqref="C83:R83">
    <cfRule type="colorScale" priority="6">
      <colorScale>
        <cfvo type="min"/>
        <cfvo type="percentile" val="50"/>
        <cfvo type="max"/>
        <color theme="4" tint="0.79998168889431442"/>
        <color theme="0" tint="-4.9989318521683403E-2"/>
        <color rgb="FF8DEB91"/>
      </colorScale>
    </cfRule>
  </conditionalFormatting>
  <conditionalFormatting sqref="C84:R84">
    <cfRule type="colorScale" priority="5">
      <colorScale>
        <cfvo type="min"/>
        <cfvo type="percentile" val="50"/>
        <cfvo type="max"/>
        <color theme="4" tint="0.79998168889431442"/>
        <color theme="0" tint="-4.9989318521683403E-2"/>
        <color rgb="FF8DEB91"/>
      </colorScale>
    </cfRule>
  </conditionalFormatting>
  <conditionalFormatting sqref="C88:R88">
    <cfRule type="colorScale" priority="4">
      <colorScale>
        <cfvo type="min"/>
        <cfvo type="percentile" val="50"/>
        <cfvo type="max"/>
        <color theme="4" tint="0.79998168889431442"/>
        <color theme="0"/>
        <color rgb="FF8DEB91"/>
      </colorScale>
    </cfRule>
  </conditionalFormatting>
  <conditionalFormatting sqref="C89:R89">
    <cfRule type="colorScale" priority="3">
      <colorScale>
        <cfvo type="min"/>
        <cfvo type="percentile" val="50"/>
        <cfvo type="max"/>
        <color theme="4" tint="0.79998168889431442"/>
        <color theme="0"/>
        <color rgb="FF8DEB91"/>
      </colorScale>
    </cfRule>
  </conditionalFormatting>
  <conditionalFormatting sqref="C90:R90">
    <cfRule type="colorScale" priority="2">
      <colorScale>
        <cfvo type="min"/>
        <cfvo type="percentile" val="50"/>
        <cfvo type="max"/>
        <color theme="4" tint="0.79998168889431442"/>
        <color theme="0"/>
        <color rgb="FF8DEB91"/>
      </colorScale>
    </cfRule>
  </conditionalFormatting>
  <conditionalFormatting sqref="C91:R91">
    <cfRule type="colorScale" priority="1">
      <colorScale>
        <cfvo type="min"/>
        <cfvo type="percentile" val="50"/>
        <cfvo type="max"/>
        <color theme="4" tint="0.79998168889431442"/>
        <color theme="0"/>
        <color rgb="FF8DEB91"/>
      </colorScale>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1:Z55"/>
  <sheetViews>
    <sheetView showGridLines="0" topLeftCell="A19" zoomScaleNormal="100" workbookViewId="0">
      <selection activeCell="G15" sqref="G15"/>
    </sheetView>
  </sheetViews>
  <sheetFormatPr defaultColWidth="9" defaultRowHeight="15" customHeight="1"/>
  <cols>
    <col min="1" max="1" width="2.125" style="570" customWidth="1"/>
    <col min="2" max="2" width="28.125" style="570" customWidth="1"/>
    <col min="3" max="4" width="10.625" style="570" customWidth="1"/>
    <col min="5" max="5" width="8.625" style="570" customWidth="1"/>
    <col min="6" max="6" width="14.5" style="570" customWidth="1"/>
    <col min="7" max="7" width="11.625" style="570" customWidth="1"/>
    <col min="8" max="8" width="1.625" style="570" customWidth="1"/>
    <col min="9" max="17" width="9.625" style="570" customWidth="1"/>
    <col min="18" max="18" width="1.625" style="570" customWidth="1"/>
    <col min="19" max="20" width="8.625" style="570" customWidth="1"/>
    <col min="21" max="21" width="1.625" style="570" customWidth="1"/>
    <col min="22" max="24" width="9.625" style="570" customWidth="1"/>
    <col min="25" max="25" width="1.625" style="570" customWidth="1"/>
    <col min="26" max="26" width="8.625" style="570" customWidth="1"/>
    <col min="27" max="16384" width="9" style="570"/>
  </cols>
  <sheetData>
    <row r="1" spans="2:26" s="582" customFormat="1" ht="15" customHeight="1"/>
    <row r="2" spans="2:26" s="582" customFormat="1" ht="15" customHeight="1"/>
    <row r="3" spans="2:26" s="582" customFormat="1" ht="15" customHeight="1"/>
    <row r="4" spans="2:26" s="582" customFormat="1" ht="15" customHeight="1"/>
    <row r="5" spans="2:26" s="568" customFormat="1" ht="3.95" customHeight="1">
      <c r="B5" s="36"/>
      <c r="C5" s="36"/>
      <c r="D5" s="36"/>
      <c r="E5" s="36"/>
      <c r="F5" s="36"/>
      <c r="G5" s="36"/>
      <c r="H5" s="36"/>
      <c r="I5" s="36"/>
      <c r="J5" s="36"/>
      <c r="K5" s="36"/>
      <c r="L5" s="36"/>
      <c r="M5" s="36"/>
      <c r="N5" s="36"/>
      <c r="O5" s="36"/>
      <c r="P5" s="36"/>
      <c r="Q5" s="36"/>
      <c r="R5" s="36"/>
      <c r="S5" s="36"/>
      <c r="T5" s="36"/>
      <c r="U5" s="36"/>
      <c r="V5" s="36"/>
      <c r="W5" s="36"/>
      <c r="X5" s="36"/>
      <c r="Y5" s="36"/>
      <c r="Z5" s="36"/>
    </row>
    <row r="7" spans="2:26" s="569" customFormat="1" ht="15" customHeight="1">
      <c r="B7" s="624" t="str">
        <f>"in "&amp;IF(Inputs!$R$18="k","thousands",IF(Inputs!$R$18="MLN","millions","billions")&amp;" of "&amp;Inputs!$R$17)</f>
        <v>in thousands</v>
      </c>
      <c r="C7" s="375"/>
      <c r="D7" s="625" t="s">
        <v>284</v>
      </c>
      <c r="E7" s="625" t="s">
        <v>285</v>
      </c>
      <c r="F7" s="625"/>
      <c r="G7" s="625"/>
      <c r="H7" s="625"/>
      <c r="I7" s="744" t="s">
        <v>286</v>
      </c>
      <c r="J7" s="744"/>
      <c r="K7" s="744"/>
      <c r="L7" s="744"/>
      <c r="M7" s="744"/>
      <c r="N7" s="744"/>
      <c r="O7" s="744"/>
      <c r="P7" s="744"/>
      <c r="Q7" s="744"/>
      <c r="R7" s="625"/>
      <c r="S7" s="625" t="s">
        <v>287</v>
      </c>
      <c r="T7" s="625" t="s">
        <v>288</v>
      </c>
      <c r="U7" s="625"/>
      <c r="V7" s="744" t="s">
        <v>289</v>
      </c>
      <c r="W7" s="744"/>
      <c r="X7" s="744"/>
      <c r="Y7" s="625"/>
      <c r="Z7" s="625" t="s">
        <v>290</v>
      </c>
    </row>
    <row r="8" spans="2:26" s="569" customFormat="1" ht="15" customHeight="1">
      <c r="B8" s="375"/>
      <c r="C8" s="375"/>
      <c r="D8" s="625" t="s">
        <v>291</v>
      </c>
      <c r="E8" s="625" t="s">
        <v>292</v>
      </c>
      <c r="F8" s="625" t="s">
        <v>293</v>
      </c>
      <c r="G8" s="625" t="s">
        <v>294</v>
      </c>
      <c r="H8" s="625"/>
      <c r="I8" s="625" t="s">
        <v>287</v>
      </c>
      <c r="J8" s="533">
        <v>2025</v>
      </c>
      <c r="K8" s="533">
        <v>2026</v>
      </c>
      <c r="L8" s="625" t="s">
        <v>287</v>
      </c>
      <c r="M8" s="625" t="s">
        <v>295</v>
      </c>
      <c r="N8" s="625" t="s">
        <v>296</v>
      </c>
      <c r="O8" s="625" t="s">
        <v>287</v>
      </c>
      <c r="P8" s="625" t="s">
        <v>295</v>
      </c>
      <c r="Q8" s="625" t="s">
        <v>296</v>
      </c>
      <c r="R8" s="625"/>
      <c r="S8" s="625" t="s">
        <v>297</v>
      </c>
      <c r="T8" s="625" t="s">
        <v>298</v>
      </c>
      <c r="U8" s="625"/>
      <c r="V8" s="625" t="s">
        <v>287</v>
      </c>
      <c r="W8" s="625" t="s">
        <v>295</v>
      </c>
      <c r="X8" s="625" t="s">
        <v>296</v>
      </c>
      <c r="Y8" s="625"/>
      <c r="Z8" s="625" t="s">
        <v>299</v>
      </c>
    </row>
    <row r="9" spans="2:26" s="569" customFormat="1" ht="15" customHeight="1">
      <c r="B9" s="375" t="s">
        <v>300</v>
      </c>
      <c r="C9" s="375" t="s">
        <v>14</v>
      </c>
      <c r="D9" s="625" t="s">
        <v>301</v>
      </c>
      <c r="E9" s="625" t="s">
        <v>302</v>
      </c>
      <c r="F9" s="625" t="s">
        <v>303</v>
      </c>
      <c r="G9" s="625" t="s">
        <v>303</v>
      </c>
      <c r="H9" s="625"/>
      <c r="I9" s="625" t="s">
        <v>304</v>
      </c>
      <c r="J9" s="625" t="s">
        <v>304</v>
      </c>
      <c r="K9" s="625" t="s">
        <v>304</v>
      </c>
      <c r="L9" s="625" t="s">
        <v>297</v>
      </c>
      <c r="M9" s="625" t="s">
        <v>297</v>
      </c>
      <c r="N9" s="625" t="s">
        <v>297</v>
      </c>
      <c r="O9" s="625" t="s">
        <v>305</v>
      </c>
      <c r="P9" s="625" t="s">
        <v>305</v>
      </c>
      <c r="Q9" s="625" t="s">
        <v>305</v>
      </c>
      <c r="R9" s="625"/>
      <c r="S9" s="625" t="s">
        <v>306</v>
      </c>
      <c r="T9" s="625" t="s">
        <v>297</v>
      </c>
      <c r="U9" s="625"/>
      <c r="V9" s="625" t="s">
        <v>299</v>
      </c>
      <c r="W9" s="625" t="s">
        <v>299</v>
      </c>
      <c r="X9" s="625" t="s">
        <v>299</v>
      </c>
      <c r="Y9" s="625"/>
      <c r="Z9" s="625" t="s">
        <v>222</v>
      </c>
    </row>
    <row r="10" spans="2:26" ht="3.95" customHeight="1">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2:26" ht="3.95" customHeight="1">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2:26" s="571" customFormat="1" ht="15" customHeight="1">
      <c r="B12" s="375" t="s">
        <v>307</v>
      </c>
      <c r="C12" s="32"/>
      <c r="D12" s="32"/>
      <c r="E12" s="32"/>
      <c r="F12" s="32"/>
      <c r="G12" s="32"/>
      <c r="H12" s="32"/>
      <c r="I12" s="32"/>
      <c r="J12" s="32"/>
      <c r="K12" s="32"/>
      <c r="L12" s="32"/>
      <c r="M12" s="32"/>
      <c r="N12" s="32"/>
      <c r="O12" s="32"/>
      <c r="P12" s="32"/>
      <c r="Q12" s="32"/>
      <c r="R12" s="32"/>
      <c r="S12" s="32"/>
      <c r="T12" s="32"/>
      <c r="U12" s="32"/>
      <c r="V12" s="32"/>
      <c r="W12" s="32"/>
      <c r="X12" s="32"/>
      <c r="Y12" s="32"/>
      <c r="Z12" s="32"/>
    </row>
    <row r="13" spans="2:26" ht="3.95" customHeight="1">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2:26" ht="3.95" customHeight="1">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2:26" ht="15" customHeight="1">
      <c r="B15" s="23" t="str">
        <f>+Inputs!B21</f>
        <v>VITAL FARMS INC</v>
      </c>
      <c r="C15" s="23" t="str">
        <f>+_xll.BDP(Inputs!E21,"TICKER_AND_EXCH_CODE")</f>
        <v>VITL US</v>
      </c>
      <c r="D15" s="626" t="str">
        <f>CONCATENATE(_xll.BDP(Inputs!E21,"CRNCY")," ",_xll.BDP(Inputs!E21,"PX_YEST_CLOSE"))</f>
        <v>USD 40,66</v>
      </c>
      <c r="E15" s="480">
        <f>_xll.BDP(Inputs!E21,"PX_YEST_CLOSE")/_xll.BDP(Inputs!E21,"HIGH_52WEEK")</f>
        <v>0.76536470588235284</v>
      </c>
      <c r="F15" s="627">
        <f>_xll.BDP(Inputs!$E21, "CUR_MKT_CAP", "SCALING_FORMAT=" &amp; Inputs!$R$18)</f>
        <v>1839051.5069000002</v>
      </c>
      <c r="G15" s="627">
        <f>_xll.BDP(Inputs!$E21, "ENTERPRISE_VALUE", "SCALING_FORMAT=" &amp; Inputs!$R$18)</f>
        <v>1596801.2386399999</v>
      </c>
      <c r="H15" s="23"/>
      <c r="I15" s="628">
        <f>G15/_xll.BQL(Inputs!$E21, "sales_rev_turn(fpt = ltm, fa_adjusted = y, fs = mr)/1"&amp;IF(Inputs!$R$18="BLN","b",IF(Inputs!$R$18="MLN","m","k")))</f>
        <v>2.4269450862151509</v>
      </c>
      <c r="J15" s="628">
        <f>G15/_xll.BQL(Inputs!$E21, "sales_rev_turn(fpr = 2025, fpt = a, ae = e, fa_adjusted = y, fs = mr)/1"&amp;IF(Inputs!$R$18="BLN","b",IF(Inputs!$R$18="MLN","m","k")))</f>
        <v>2.0666918019814093</v>
      </c>
      <c r="K15" s="629">
        <f>G15/_xll.BQL(Inputs!$E21, "sales_rev_turn(fpr = 2026, fpt = a, ae = e, fa_adjusted = y, fs = mr)/1"&amp;IF(Inputs!$R$18="BLN","b",IF(Inputs!$R$18="MLN","m","k")))</f>
        <v>1.7220405514745096</v>
      </c>
      <c r="L15" s="628">
        <f>G15/_xll.BQL(Inputs!$E21, "ebitda(fpt = ltm, fa_adjusted = y, fs = mr)/1"&amp;IF(Inputs!$R$18="BLN","b",IF(Inputs!$R$18="MLN","m","k")))</f>
        <v>18.017910008011462</v>
      </c>
      <c r="M15" s="628">
        <f>G15/_xll.BQL(Inputs!$E21, "ebitda(fpr = 2025, fpt = a, ae = e, fa_adjusted = y, fs = mr)/1"&amp;IF(Inputs!$R$18="BLN","b",IF(Inputs!$R$18="MLN","m","k")))</f>
        <v>14.397388217245888</v>
      </c>
      <c r="N15" s="629">
        <f>G15/_xll.BQL(Inputs!$E21, "ebitda(fpr = 2026, fpt = a, ae = e, fa_adjusted = y, fs = mr)/1"&amp;IF(Inputs!$R$18="BLN","b",IF(Inputs!$R$18="MLN","m","k")))</f>
        <v>12.257371685303584</v>
      </c>
      <c r="O15" s="628">
        <f>G15/_xll.BQL(Inputs!$E21, "is_oper_inc(fpt = ltm, fa_adjusted = y, fs = mr)/1"&amp;IF(Inputs!$R$18="BLN","b",IF(Inputs!$R$18="MLN","m","k")))</f>
        <v>23.382993434374495</v>
      </c>
      <c r="P15" s="628">
        <f>G15/_xll.BQL(Inputs!$E21, "is_oper_inc(fpr = 2025, fpt = a, ae = e, fa_adjusted = y, fs = mr)/1"&amp;IF(Inputs!$R$18="BLN","b",IF(Inputs!$R$18="MLN","m","k")))</f>
        <v>18.850411703198109</v>
      </c>
      <c r="Q15" s="629">
        <f>G15/_xll.BQL(Inputs!$E21, "is_oper_inc(fpr = 2026, fpt = a, ae = e, fa_adjusted = y, fs = mr)/1"&amp;IF(Inputs!$R$18="BLN","b",IF(Inputs!$R$18="MLN","m","k")))</f>
        <v>16.43106980826941</v>
      </c>
      <c r="R15" s="23"/>
      <c r="S15" s="488">
        <f>_xll.BQL(Inputs!$E21, "ebitda(fpt = ltm, fa_adjusted = y, fs = mr)/1"&amp;IF(Inputs!$R$18="BLN","b",IF(Inputs!$R$18="MLN","m","k")))/_xll.BQL(Inputs!$E21, "sales_rev_turn(fpt = ltm, fa_adjusted = y, fs = mr)/1"&amp;IF(Inputs!$R$18="BLN","b",IF(Inputs!$R$18="MLN","m","k")))</f>
        <v>0.1346962597291271</v>
      </c>
      <c r="T15" s="628">
        <f>_xll.BDP(Inputs!$E21,"TOT_DEBT_TO_EBITDA")</f>
        <v>0.19953938486323361</v>
      </c>
      <c r="U15" s="630"/>
      <c r="V15" s="628">
        <f>F15/_xll.BQL(Inputs!$E21, "earn_for_common(fpt = ltm, fa_adjusted = y, fs = mr)/1"&amp;IF(Inputs!$R$18="BLN","b",IF(Inputs!$R$18="MLN","m","k")))</f>
        <v>35.40300362490423</v>
      </c>
      <c r="W15" s="628">
        <f>F15/_xll.BQL(Inputs!$E21, "EARN_FOR_COMMON(fpr = 2025, fpt = a, ae = e, fa_adjusted = y, fs = mr)/1"&amp;IF(Inputs!$R$18="BLN","b",IF(Inputs!$R$18="MLN","m","k")))</f>
        <v>28.72171649070749</v>
      </c>
      <c r="X15" s="628">
        <f>F15/_xll.BQL(Inputs!$E21, "EARN_FOR_COMMON(fpr = 2026, fpt = a, ae = e, fa_adjusted = y, fs = mr)/1"&amp;IF(Inputs!$R$18="BLN","b",IF(Inputs!$R$18="MLN","m","k")))</f>
        <v>24.538532964459002</v>
      </c>
      <c r="Y15" s="630"/>
      <c r="Z15" s="488">
        <f>(_xll.BQL(Inputs!$E21, "EARN_FOR_COMMON(fpr = 2028, fpt = a, ae = e, fa_adjusted = y, fs = mr)")/_xll.BQL(Inputs!$E21, "EARN_FOR_COMMON(fpr = 2025, fpt = a, ae = e, fa_adjusted = y, fs = mr)"))^(1/3)-1</f>
        <v>0.19402750760416443</v>
      </c>
    </row>
    <row r="16" spans="2:26" ht="15" customHeight="1">
      <c r="B16" s="23" t="str">
        <f>+Inputs!B22</f>
        <v>POST HOLDINGS IN</v>
      </c>
      <c r="C16" s="23" t="str">
        <f>+_xll.BDP(Inputs!E22,"TICKER_AND_EXCH_CODE")</f>
        <v>POST US</v>
      </c>
      <c r="D16" s="626" t="str">
        <f>CONCATENATE(_xll.BDP(Inputs!E22,"CRNCY")," ",_xll.BDP(Inputs!E22,"PX_YEST_CLOSE"))</f>
        <v>USD 108,06</v>
      </c>
      <c r="E16" s="480">
        <f>_xll.BDP(Inputs!E22,"PX_YEST_CLOSE")/_xll.BDP(Inputs!E22,"HIGH_52WEEK")</f>
        <v>0.85870947234583594</v>
      </c>
      <c r="F16" s="627">
        <f>_xll.BDP(Inputs!$E22, "CUR_MKT_CAP", "SCALING_FORMAT=" &amp; Inputs!$R$18)</f>
        <v>5808255.3068736</v>
      </c>
      <c r="G16" s="627">
        <f>_xll.BDP(Inputs!$E22, "ENTERPRISE_VALUE", "SCALING_FORMAT=" &amp; Inputs!$R$18)</f>
        <v>12224123.119719999</v>
      </c>
      <c r="H16" s="23"/>
      <c r="I16" s="628" cm="1">
        <f t="array" ref="I16">G16/_xll.BQL(Inputs!$E22, "sales_rev_turn(fpt = ltm, fa_adjusted = y, fs = mr)/1"&amp;IF(Inputs!$R$18="BLN","b",IF(Inputs!$R$18="MLN","m","k")))</f>
        <v>1.5432160682371356</v>
      </c>
      <c r="J16" s="628">
        <f>G16/_xll.BQL(Inputs!$E22, "sales_rev_turn(fpr = 2025, fpt = a, ae = e, fa_adjusted = y, fs = mr)/1"&amp;IF(Inputs!$R$18="BLN","b",IF(Inputs!$R$18="MLN","m","k")))</f>
        <v>1.4970147103384086</v>
      </c>
      <c r="K16" s="629">
        <f>G16/_xll.BQL(Inputs!$E22, "sales_rev_turn(fpr = 2026, fpt = a, ae = e, fa_adjusted = y, fs = mr)/1"&amp;IF(Inputs!$R$18="BLN","b",IF(Inputs!$R$18="MLN","m","k")))</f>
        <v>1.4017775352617092</v>
      </c>
      <c r="L16" s="628">
        <f>G16/_xll.BQL(Inputs!$E22, "ebitda(fpt = ltm, fa_adjusted = y, fs = mr)/1"&amp;IF(Inputs!$R$18="BLN","b",IF(Inputs!$R$18="MLN","m","k")))</f>
        <v>8.9012765744702538</v>
      </c>
      <c r="M16" s="628">
        <f>G16/_xll.BQL(Inputs!$E22, "ebitda(fpr = 2025, fpt = a, ae = e, fa_adjusted = y, fs = mr)/1"&amp;IF(Inputs!$R$18="BLN","b",IF(Inputs!$R$18="MLN","m","k")))</f>
        <v>8.0620762537312434</v>
      </c>
      <c r="N16" s="629">
        <f>G16/_xll.BQL(Inputs!$E22, "ebitda(fpr = 2026, fpt = a, ae = e, fa_adjusted = y, fs = mr)/1"&amp;IF(Inputs!$R$18="BLN","b",IF(Inputs!$R$18="MLN","m","k")))</f>
        <v>7.775541461219686</v>
      </c>
      <c r="O16" s="628">
        <f>G16/_xll.BQL(Inputs!$E22, "is_oper_inc(fpt = ltm, fa_adjusted = y, fs = mr)/1"&amp;IF(Inputs!$R$18="BLN","b",IF(Inputs!$R$18="MLN","m","k")))</f>
        <v>14.034584523214695</v>
      </c>
      <c r="P16" s="628">
        <f>G16/_xll.BQL(Inputs!$E22, "is_oper_inc(fpr = 2025, fpt = a, ae = e, fa_adjusted = y, fs = mr)/1"&amp;IF(Inputs!$R$18="BLN","b",IF(Inputs!$R$18="MLN","m","k")))</f>
        <v>13.362131302299142</v>
      </c>
      <c r="Q16" s="629">
        <f>G16/_xll.BQL(Inputs!$E22, "is_oper_inc(fpr = 2026, fpt = a, ae = e, fa_adjusted = y, fs = mr)/1"&amp;IF(Inputs!$R$18="BLN","b",IF(Inputs!$R$18="MLN","m","k")))</f>
        <v>12.776716090640187</v>
      </c>
      <c r="R16" s="23"/>
      <c r="S16" s="488">
        <f>_xll.BQL(Inputs!$E22, "ebitda(fpt = ltm, fa_adjusted = y, fs = mr)/1"&amp;IF(Inputs!$R$18="BLN","b",IF(Inputs!$R$18="MLN","m","k")))/_xll.BQL(Inputs!$E22, "sales_rev_turn(fpt = ltm, fa_adjusted = y, fs = mr)/1"&amp;IF(Inputs!$R$18="BLN","b",IF(Inputs!$R$18="MLN","m","k")))</f>
        <v>0.17337019643488361</v>
      </c>
      <c r="T16" s="628">
        <f>_xll.BDP(Inputs!$E22,"TOT_DEBT_TO_EBITDA")</f>
        <v>5.5488256174004986</v>
      </c>
      <c r="U16" s="630"/>
      <c r="V16" s="628">
        <f>F16/_xll.BQL(Inputs!$E22, "earn_for_common(fpt = ltm, fa_adjusted = y, fs = mr)/1"&amp;IF(Inputs!$R$18="BLN","b",IF(Inputs!$R$18="MLN","m","k")))</f>
        <v>13.643957772252184</v>
      </c>
      <c r="W16" s="628">
        <f>F16/_xll.BQL(Inputs!$E22, "EARN_FOR_COMMON(fpr = 2025, fpt = a, ae = e, fa_adjusted = y, fs = mr)/1"&amp;IF(Inputs!$R$18="BLN","b",IF(Inputs!$R$18="MLN","m","k")))</f>
        <v>13.170646954361905</v>
      </c>
      <c r="X16" s="628">
        <f>F16/_xll.BQL(Inputs!$E22, "EARN_FOR_COMMON(fpr = 2026, fpt = a, ae = e, fa_adjusted = y, fs = mr)/1"&amp;IF(Inputs!$R$18="BLN","b",IF(Inputs!$R$18="MLN","m","k")))</f>
        <v>12.843018920671311</v>
      </c>
      <c r="Y16" s="630"/>
      <c r="Z16" s="488">
        <f>(_xll.BQL(Inputs!$E22, "EARN_FOR_COMMON(fpr = 2028, fpt = a, ae = e, fa_adjusted = y, fs = mr)")/_xll.BQL(Inputs!$E22, "EARN_FOR_COMMON(fpr = 2025, fpt = a, ae = e, fa_adjusted = y, fs = mr)"))^(1/3)-1</f>
        <v>3.5509252751042331E-2</v>
      </c>
    </row>
    <row r="17" spans="2:26" ht="15" customHeight="1">
      <c r="B17" s="23" t="str">
        <f>+Inputs!B23</f>
        <v>TYSON FOODS-A</v>
      </c>
      <c r="C17" s="23" t="str">
        <f>+_xll.BDP(Inputs!E23,"TICKER_AND_EXCH_CODE")</f>
        <v>TSN US</v>
      </c>
      <c r="D17" s="626" t="str">
        <f>CONCATENATE(_xll.BDP(Inputs!E23,"CRNCY")," ",_xll.BDP(Inputs!E23,"PX_YEST_CLOSE"))</f>
        <v>USD 54,47</v>
      </c>
      <c r="E17" s="480">
        <f>_xll.BDP(Inputs!E23,"PX_YEST_CLOSE")/_xll.BDP(Inputs!E23,"HIGH_52WEEK")</f>
        <v>0.82592873388930999</v>
      </c>
      <c r="F17" s="627">
        <f>_xll.BDP(Inputs!$E23, "CUR_MKT_CAP", "SCALING_FORMAT=" &amp; Inputs!$R$18)</f>
        <v>19435681.611809999</v>
      </c>
      <c r="G17" s="627">
        <f>_xll.BDP(Inputs!$E23, "ENTERPRISE_VALUE", "SCALING_FORMAT=" &amp; Inputs!$R$18)</f>
        <v>28245440.000000004</v>
      </c>
      <c r="H17" s="23"/>
      <c r="I17" s="628">
        <f>G17/_xll.BQL(Inputs!$E23, "sales_rev_turn(fpt = ltm, fa_adjusted = y, fs = mr)/1"&amp;IF(Inputs!$R$18="BLN","b",IF(Inputs!$R$18="MLN","m","k")))</f>
        <v>0.52165330772356233</v>
      </c>
      <c r="J17" s="628">
        <f>G17/_xll.BQL(Inputs!$E23, "sales_rev_turn(fpr = 2025, fpt = a, ae = e, fa_adjusted = y, fs = mr)/1"&amp;IF(Inputs!$R$18="BLN","b",IF(Inputs!$R$18="MLN","m","k")))</f>
        <v>0.51578394961146667</v>
      </c>
      <c r="K17" s="629">
        <f>G17/_xll.BQL(Inputs!$E23, "sales_rev_turn(fpr = 2026, fpt = a, ae = e, fa_adjusted = y, fs = mr)/1"&amp;IF(Inputs!$R$18="BLN","b",IF(Inputs!$R$18="MLN","m","k")))</f>
        <v>0.50695243749223406</v>
      </c>
      <c r="L17" s="628">
        <f>G17/_xll.BQL(Inputs!$E23, "ebitda(fpt = ltm, fa_adjusted = y, fs = mr)/1"&amp;IF(Inputs!$R$18="BLN","b",IF(Inputs!$R$18="MLN","m","k")))</f>
        <v>8.0701257142857159</v>
      </c>
      <c r="M17" s="628">
        <f>G17/_xll.BQL(Inputs!$E23, "ebitda(fpr = 2025, fpt = a, ae = e, fa_adjusted = y, fs = mr)/1"&amp;IF(Inputs!$R$18="BLN","b",IF(Inputs!$R$18="MLN","m","k")))</f>
        <v>7.869564248300458</v>
      </c>
      <c r="N17" s="629">
        <f>G17/_xll.BQL(Inputs!$E23, "ebitda(fpr = 2026, fpt = a, ae = e, fa_adjusted = y, fs = mr)/1"&amp;IF(Inputs!$R$18="BLN","b",IF(Inputs!$R$18="MLN","m","k")))</f>
        <v>7.920577664571316</v>
      </c>
      <c r="O17" s="628">
        <f>G17/_xll.BQL(Inputs!$E23, "is_oper_inc(fpt = ltm, fa_adjusted = y, fs = mr)/1"&amp;IF(Inputs!$R$18="BLN","b",IF(Inputs!$R$18="MLN","m","k")))</f>
        <v>13.119108221086858</v>
      </c>
      <c r="P17" s="628">
        <f>G17/_xll.BQL(Inputs!$E23, "is_oper_inc(fpr = 2025, fpt = a, ae = e, fa_adjusted = y, fs = mr)/1"&amp;IF(Inputs!$R$18="BLN","b",IF(Inputs!$R$18="MLN","m","k")))</f>
        <v>12.862222222222224</v>
      </c>
      <c r="Q17" s="629">
        <f>G17/_xll.BQL(Inputs!$E23, "is_oper_inc(fpr = 2026, fpt = a, ae = e, fa_adjusted = y, fs = mr)/1"&amp;IF(Inputs!$R$18="BLN","b",IF(Inputs!$R$18="MLN","m","k")))</f>
        <v>12.679675403156189</v>
      </c>
      <c r="R17" s="23"/>
      <c r="S17" s="488">
        <f>_xll.BQL(Inputs!$E23, "ebitda(fpt = ltm, fa_adjusted = y, fs = mr)/1"&amp;IF(Inputs!$R$18="BLN","b",IF(Inputs!$R$18="MLN","m","k")))/_xll.BQL(Inputs!$E23, "sales_rev_turn(fpt = ltm, fa_adjusted = y, fs = mr)/1"&amp;IF(Inputs!$R$18="BLN","b",IF(Inputs!$R$18="MLN","m","k")))</f>
        <v>6.4640047279577437E-2</v>
      </c>
      <c r="T17" s="628">
        <f>_xll.BDP(Inputs!$E23,"TOT_DEBT_TO_EBITDA")</f>
        <v>3.5551209103840682</v>
      </c>
      <c r="U17" s="630"/>
      <c r="V17" s="628">
        <f>F17/_xll.BQL(Inputs!$E23, "earn_for_common(fpt = ltm, fa_adjusted = y, fs = mr)/1"&amp;IF(Inputs!$R$18="BLN","b",IF(Inputs!$R$18="MLN","m","k")))</f>
        <v>14.002652458076367</v>
      </c>
      <c r="W17" s="628">
        <f>F17/_xll.BQL(Inputs!$E23, "EARN_FOR_COMMON(fpr = 2025, fpt = a, ae = e, fa_adjusted = y, fs = mr)/1"&amp;IF(Inputs!$R$18="BLN","b",IF(Inputs!$R$18="MLN","m","k")))</f>
        <v>14.239753704517259</v>
      </c>
      <c r="X17" s="628">
        <f>F17/_xll.BQL(Inputs!$E23, "EARN_FOR_COMMON(fpr = 2026, fpt = a, ae = e, fa_adjusted = y, fs = mr)/1"&amp;IF(Inputs!$R$18="BLN","b",IF(Inputs!$R$18="MLN","m","k")))</f>
        <v>13.64306401530974</v>
      </c>
      <c r="Y17" s="630"/>
      <c r="Z17" s="488">
        <f>(_xll.BQL(Inputs!$E23, "EARN_FOR_COMMON(fpr = 2028, fpt = a, ae = e, fa_adjusted = y, fs = mr)")/_xll.BQL(Inputs!$E23, "EARN_FOR_COMMON(fpr = 2025, fpt = a, ae = e, fa_adjusted = y, fs = mr)"))^(1/3)-1</f>
        <v>0.19595368666582957</v>
      </c>
    </row>
    <row r="18" spans="2:26" ht="15" customHeight="1">
      <c r="B18" s="23" t="str">
        <f>+Inputs!B24</f>
        <v>LAMB WESTON</v>
      </c>
      <c r="C18" s="23" t="str">
        <f>+_xll.BDP(Inputs!E24,"TICKER_AND_EXCH_CODE")</f>
        <v>LW US</v>
      </c>
      <c r="D18" s="626" t="str">
        <f>CONCATENATE(_xll.BDP(Inputs!E24,"CRNCY")," ",_xll.BDP(Inputs!E24,"PX_YEST_CLOSE"))</f>
        <v>USD 62,01</v>
      </c>
      <c r="E18" s="480">
        <f>_xll.BDP(Inputs!E24,"PX_YEST_CLOSE")/_xll.BDP(Inputs!E24,"HIGH_52WEEK")</f>
        <v>0.73837778365209439</v>
      </c>
      <c r="F18" s="627">
        <f>_xll.BDP(Inputs!$E24, "CUR_MKT_CAP", "SCALING_FORMAT=" &amp; Inputs!$R$18)</f>
        <v>8680265.9792000018</v>
      </c>
      <c r="G18" s="627">
        <f>_xll.BDP(Inputs!$E24, "ENTERPRISE_VALUE", "SCALING_FORMAT=" &amp; Inputs!$R$18)</f>
        <v>11833725.07289</v>
      </c>
      <c r="H18" s="23"/>
      <c r="I18" s="628">
        <f>G18/_xll.BQL(Inputs!$E24, "sales_rev_turn(fpt = ltm, fa_adjusted = y, fs = mr)/1"&amp;IF(Inputs!$R$18="BLN","b",IF(Inputs!$R$18="MLN","m","k")))</f>
        <v>1.8328390107473089</v>
      </c>
      <c r="J18" s="628">
        <f>G18/_xll.BQL(Inputs!$E24, "sales_rev_turn(fpr = 2025, fpt = a, ae = e, fa_adjusted = y, fs = mr)/1"&amp;IF(Inputs!$R$18="BLN","b",IF(Inputs!$R$18="MLN","m","k")))</f>
        <v>1.8596739244981668</v>
      </c>
      <c r="K18" s="629">
        <f>G18/_xll.BQL(Inputs!$E24, "sales_rev_turn(fpr = 2026, fpt = a, ae = e, fa_adjusted = y, fs = mr)/1"&amp;IF(Inputs!$R$18="BLN","b",IF(Inputs!$R$18="MLN","m","k")))</f>
        <v>1.8159401127211348</v>
      </c>
      <c r="L18" s="628">
        <f>G18/_xll.BQL(Inputs!$E24, "ebitda(fpt = ltm, fa_adjusted = y, fs = mr)/1"&amp;IF(Inputs!$R$18="BLN","b",IF(Inputs!$R$18="MLN","m","k")))</f>
        <v>10.304532456365378</v>
      </c>
      <c r="M18" s="628">
        <f>G18/_xll.BQL(Inputs!$E24, "ebitda(fpr = 2025, fpt = a, ae = e, fa_adjusted = y, fs = mr)/1"&amp;IF(Inputs!$R$18="BLN","b",IF(Inputs!$R$18="MLN","m","k")))</f>
        <v>10.00965748894332</v>
      </c>
      <c r="N18" s="629">
        <f>G18/_xll.BQL(Inputs!$E24, "ebitda(fpr = 2026, fpt = a, ae = e, fa_adjusted = y, fs = mr)/1"&amp;IF(Inputs!$R$18="BLN","b",IF(Inputs!$R$18="MLN","m","k")))</f>
        <v>10.180278218845766</v>
      </c>
      <c r="O18" s="628">
        <f>G18/_xll.BQL(Inputs!$E24, "is_oper_inc(fpt = ltm, fa_adjusted = y, fs = mr)/1"&amp;IF(Inputs!$R$18="BLN","b",IF(Inputs!$R$18="MLN","m","k")))</f>
        <v>16.076246532930309</v>
      </c>
      <c r="P18" s="628">
        <f>G18/_xll.BQL(Inputs!$E24, "is_oper_inc(fpr = 2025, fpt = a, ae = e, fa_adjusted = y, fs = mr)/1"&amp;IF(Inputs!$R$18="BLN","b",IF(Inputs!$R$18="MLN","m","k")))</f>
        <v>15.169674373824728</v>
      </c>
      <c r="Q18" s="629">
        <f>G18/_xll.BQL(Inputs!$E24, "is_oper_inc(fpr = 2026, fpt = a, ae = e, fa_adjusted = y, fs = mr)/1"&amp;IF(Inputs!$R$18="BLN","b",IF(Inputs!$R$18="MLN","m","k")))</f>
        <v>15.567277008844552</v>
      </c>
      <c r="R18" s="23"/>
      <c r="S18" s="488">
        <f>_xll.BQL(Inputs!$E24, "ebitda(fpt = ltm, fa_adjusted = y, fs = mr)/1"&amp;IF(Inputs!$R$18="BLN","b",IF(Inputs!$R$18="MLN","m","k")))/_xll.BQL(Inputs!$E24, "sales_rev_turn(fpt = ltm, fa_adjusted = y, fs = mr)/1"&amp;IF(Inputs!$R$18="BLN","b",IF(Inputs!$R$18="MLN","m","k")))</f>
        <v>0.17786726554634863</v>
      </c>
      <c r="T18" s="628">
        <f>_xll.BDP(Inputs!$E24,"TOT_DEBT_TO_EBITDA")</f>
        <v>3.9064396163632802</v>
      </c>
      <c r="U18" s="630"/>
      <c r="V18" s="628">
        <f>F18/_xll.BQL(Inputs!$E24, "earn_for_common(fpt = ltm, fa_adjusted = y, fs = mr)/1"&amp;IF(Inputs!$R$18="BLN","b",IF(Inputs!$R$18="MLN","m","k")))</f>
        <v>22.107779711385163</v>
      </c>
      <c r="W18" s="628">
        <f>F18/_xll.BQL(Inputs!$E24, "EARN_FOR_COMMON(fpr = 2025, fpt = a, ae = e, fa_adjusted = y, fs = mr)/1"&amp;IF(Inputs!$R$18="BLN","b",IF(Inputs!$R$18="MLN","m","k")))</f>
        <v>19.475579939869871</v>
      </c>
      <c r="X18" s="628">
        <f>F18/_xll.BQL(Inputs!$E24, "EARN_FOR_COMMON(fpr = 2026, fpt = a, ae = e, fa_adjusted = y, fs = mr)/1"&amp;IF(Inputs!$R$18="BLN","b",IF(Inputs!$R$18="MLN","m","k")))</f>
        <v>22.157666826292282</v>
      </c>
      <c r="Y18" s="630"/>
      <c r="Z18" s="488">
        <f>(_xll.BQL(Inputs!$E24, "EARN_FOR_COMMON(fpr = 2028, fpt = a, ae = e, fa_adjusted = y, fs = mr)")/_xll.BQL(Inputs!$E24, "EARN_FOR_COMMON(fpr = 2025, fpt = a, ae = e, fa_adjusted = y, fs = mr)"))^(1/3)-1</f>
        <v>7.0869184266985075E-2</v>
      </c>
    </row>
    <row r="19" spans="2:26" ht="15" customHeight="1">
      <c r="B19" s="23" t="str">
        <f>+Inputs!B25</f>
        <v>HORMEL FOODS CRP</v>
      </c>
      <c r="C19" s="23" t="str">
        <f>+_xll.BDP(Inputs!E25,"TICKER_AND_EXCH_CODE")</f>
        <v>HRL US</v>
      </c>
      <c r="D19" s="626" t="str">
        <f>CONCATENATE(_xll.BDP(Inputs!E25,"CRNCY")," ",_xll.BDP(Inputs!E25,"PX_YEST_CLOSE"))</f>
        <v>USD 24,8</v>
      </c>
      <c r="E19" s="480">
        <f>_xll.BDP(Inputs!E25,"PX_YEST_CLOSE")/_xll.BDP(Inputs!E25,"HIGH_52WEEK")</f>
        <v>0.73372781065088766</v>
      </c>
      <c r="F19" s="627">
        <f>_xll.BDP(Inputs!$E25, "CUR_MKT_CAP", "SCALING_FORMAT=" &amp; Inputs!$R$18)</f>
        <v>13653711.099224998</v>
      </c>
      <c r="G19" s="627">
        <f>_xll.BDP(Inputs!$E25, "ENTERPRISE_VALUE", "SCALING_FORMAT=" &amp; Inputs!$R$18)</f>
        <v>18318013.15752</v>
      </c>
      <c r="H19" s="23"/>
      <c r="I19" s="628">
        <f>G19/_xll.BQL(Inputs!$E25, "sales_rev_turn(fpt = ltm, fa_adjusted = y, fs = mr)/1"&amp;IF(Inputs!$R$18="BLN","b",IF(Inputs!$R$18="MLN","m","k")))</f>
        <v>1.5190841680096927</v>
      </c>
      <c r="J19" s="628">
        <f>G19/_xll.BQL(Inputs!$E25, "sales_rev_turn(fpr = 2025, fpt = a, ae = e, fa_adjusted = y, fs = mr)/1"&amp;IF(Inputs!$R$18="BLN","b",IF(Inputs!$R$18="MLN","m","k")))</f>
        <v>1.508055345429332</v>
      </c>
      <c r="K19" s="629">
        <f>G19/_xll.BQL(Inputs!$E25, "sales_rev_turn(fpr = 2026, fpt = a, ae = e, fa_adjusted = y, fs = mr)/1"&amp;IF(Inputs!$R$18="BLN","b",IF(Inputs!$R$18="MLN","m","k")))</f>
        <v>1.4683647299305285</v>
      </c>
      <c r="L19" s="628">
        <f>G19/_xll.BQL(Inputs!$E25, "ebitda(fpt = ltm, fa_adjusted = y, fs = mr)/1"&amp;IF(Inputs!$R$18="BLN","b",IF(Inputs!$R$18="MLN","m","k")))</f>
        <v>13.649430273815511</v>
      </c>
      <c r="M19" s="628">
        <f>G19/_xll.BQL(Inputs!$E25, "ebitda(fpr = 2025, fpt = a, ae = e, fa_adjusted = y, fs = mr)/1"&amp;IF(Inputs!$R$18="BLN","b",IF(Inputs!$R$18="MLN","m","k")))</f>
        <v>13.893655690011848</v>
      </c>
      <c r="N19" s="629">
        <f>G19/_xll.BQL(Inputs!$E25, "ebitda(fpr = 2026, fpt = a, ae = e, fa_adjusted = y, fs = mr)/1"&amp;IF(Inputs!$R$18="BLN","b",IF(Inputs!$R$18="MLN","m","k")))</f>
        <v>13.032578531041855</v>
      </c>
      <c r="O19" s="628">
        <f>G19/_xll.BQL(Inputs!$E25, "is_oper_inc(fpt = ltm, fa_adjusted = y, fs = mr)/1"&amp;IF(Inputs!$R$18="BLN","b",IF(Inputs!$R$18="MLN","m","k")))</f>
        <v>16.943771616770235</v>
      </c>
      <c r="P19" s="628">
        <f>G19/_xll.BQL(Inputs!$E25, "is_oper_inc(fpr = 2025, fpt = a, ae = e, fa_adjusted = y, fs = mr)/1"&amp;IF(Inputs!$R$18="BLN","b",IF(Inputs!$R$18="MLN","m","k")))</f>
        <v>17.255563464222849</v>
      </c>
      <c r="Q19" s="629">
        <f>G19/_xll.BQL(Inputs!$E25, "is_oper_inc(fpr = 2026, fpt = a, ae = e, fa_adjusted = y, fs = mr)/1"&amp;IF(Inputs!$R$18="BLN","b",IF(Inputs!$R$18="MLN","m","k")))</f>
        <v>16.293540722721815</v>
      </c>
      <c r="R19" s="23"/>
      <c r="S19" s="488">
        <f>_xll.BQL(Inputs!$E25, "ebitda(fpt = ltm, fa_adjusted = y, fs = mr)/1"&amp;IF(Inputs!$R$18="BLN","b",IF(Inputs!$R$18="MLN","m","k")))/_xll.BQL(Inputs!$E25, "sales_rev_turn(fpt = ltm, fa_adjusted = y, fs = mr)/1"&amp;IF(Inputs!$R$18="BLN","b",IF(Inputs!$R$18="MLN","m","k")))</f>
        <v>0.11129286259836349</v>
      </c>
      <c r="T19" s="628">
        <f>_xll.BDP(Inputs!$E25,"TOT_DEBT_TO_EBITDA")</f>
        <v>2.2462770474273492</v>
      </c>
      <c r="U19" s="630"/>
      <c r="V19" s="628">
        <f>F19/_xll.BQL(Inputs!$E25, "earn_for_common(fpt = ltm, fa_adjusted = y, fs = mr)/1"&amp;IF(Inputs!$R$18="BLN","b",IF(Inputs!$R$18="MLN","m","k")))</f>
        <v>16.869825181254992</v>
      </c>
      <c r="W19" s="628">
        <f>F19/_xll.BQL(Inputs!$E25, "EARN_FOR_COMMON(fpr = 2025, fpt = a, ae = e, fa_adjusted = y, fs = mr)/1"&amp;IF(Inputs!$R$18="BLN","b",IF(Inputs!$R$18="MLN","m","k")))</f>
        <v>17.227104847616257</v>
      </c>
      <c r="X19" s="628">
        <f>F19/_xll.BQL(Inputs!$E25, "EARN_FOR_COMMON(fpr = 2026, fpt = a, ae = e, fa_adjusted = y, fs = mr)/1"&amp;IF(Inputs!$R$18="BLN","b",IF(Inputs!$R$18="MLN","m","k")))</f>
        <v>16.18377451508297</v>
      </c>
      <c r="Y19" s="630"/>
      <c r="Z19" s="488">
        <f>(_xll.BQL(Inputs!$E25, "EARN_FOR_COMMON(fpr = 2028, fpt = a, ae = e, fa_adjusted = y, fs = mr)")/_xll.BQL(Inputs!$E25, "EARN_FOR_COMMON(fpr = 2025, fpt = a, ae = e, fa_adjusted = y, fs = mr)"))^(1/3)-1</f>
        <v>8.6186153964605605E-2</v>
      </c>
    </row>
    <row r="20" spans="2:26" ht="15" customHeight="1">
      <c r="B20" s="23"/>
      <c r="C20" s="23"/>
      <c r="D20" s="23"/>
      <c r="E20" s="23"/>
      <c r="F20" s="23"/>
      <c r="G20" s="23"/>
      <c r="H20" s="23"/>
      <c r="I20" s="23"/>
      <c r="J20" s="23"/>
      <c r="K20" s="630"/>
      <c r="L20" s="23"/>
      <c r="M20" s="23"/>
      <c r="N20" s="630"/>
      <c r="O20" s="23"/>
      <c r="P20" s="23"/>
      <c r="Q20" s="630"/>
      <c r="R20" s="23"/>
      <c r="S20" s="23"/>
      <c r="T20" s="23"/>
      <c r="U20" s="630"/>
      <c r="V20" s="23"/>
      <c r="W20" s="23"/>
      <c r="X20" s="23"/>
      <c r="Y20" s="630"/>
      <c r="Z20" s="23"/>
    </row>
    <row r="21" spans="2:26" ht="15" customHeight="1">
      <c r="B21" s="631" t="s">
        <v>308</v>
      </c>
      <c r="C21" s="632"/>
      <c r="D21" s="632"/>
      <c r="E21" s="632"/>
      <c r="F21" s="632"/>
      <c r="G21" s="632"/>
      <c r="H21" s="632"/>
      <c r="I21" s="633">
        <f>AVERAGE(I15:I19)</f>
        <v>1.5687475281865702</v>
      </c>
      <c r="J21" s="633">
        <f t="shared" ref="J21:Q21" si="0">AVERAGE(J15:J19)</f>
        <v>1.4894439463717566</v>
      </c>
      <c r="K21" s="634">
        <f t="shared" si="0"/>
        <v>1.3830150733760234</v>
      </c>
      <c r="L21" s="633">
        <f>AVERAGE(L15:L19)</f>
        <v>11.788655005389664</v>
      </c>
      <c r="M21" s="633">
        <f t="shared" si="0"/>
        <v>10.84646837964655</v>
      </c>
      <c r="N21" s="634">
        <f t="shared" si="0"/>
        <v>10.233269512196442</v>
      </c>
      <c r="O21" s="633">
        <f t="shared" si="0"/>
        <v>16.711340865675318</v>
      </c>
      <c r="P21" s="633">
        <f t="shared" si="0"/>
        <v>15.500000613153409</v>
      </c>
      <c r="Q21" s="634">
        <f t="shared" si="0"/>
        <v>14.749655806726432</v>
      </c>
      <c r="R21" s="632"/>
      <c r="S21" s="635">
        <f>AVERAGE(S15:S19)</f>
        <v>0.13237332631766005</v>
      </c>
      <c r="T21" s="633">
        <f>AVERAGE(T15:T19)</f>
        <v>3.0912405152876858</v>
      </c>
      <c r="U21" s="636"/>
      <c r="V21" s="633">
        <f t="shared" ref="V21:X21" si="1">AVERAGE(V15:V19)</f>
        <v>20.405443749574587</v>
      </c>
      <c r="W21" s="633">
        <f t="shared" si="1"/>
        <v>18.566960387414557</v>
      </c>
      <c r="X21" s="633">
        <f t="shared" si="1"/>
        <v>17.873211448363062</v>
      </c>
      <c r="Y21" s="636"/>
      <c r="Z21" s="635">
        <f>AVERAGE(Z15:Z19)</f>
        <v>0.11650915705052541</v>
      </c>
    </row>
    <row r="22" spans="2:26" ht="15" customHeight="1">
      <c r="B22" s="637" t="s">
        <v>309</v>
      </c>
      <c r="C22" s="638"/>
      <c r="D22" s="638"/>
      <c r="E22" s="638"/>
      <c r="F22" s="638"/>
      <c r="G22" s="638"/>
      <c r="H22" s="638"/>
      <c r="I22" s="639">
        <f>MEDIAN(I15:I19)</f>
        <v>1.5432160682371356</v>
      </c>
      <c r="J22" s="639">
        <f t="shared" ref="J22:T22" si="2">MEDIAN(J15:J19)</f>
        <v>1.508055345429332</v>
      </c>
      <c r="K22" s="640">
        <f t="shared" si="2"/>
        <v>1.4683647299305285</v>
      </c>
      <c r="L22" s="639">
        <f>MEDIAN(L15:L19)</f>
        <v>10.304532456365378</v>
      </c>
      <c r="M22" s="639">
        <f t="shared" si="2"/>
        <v>10.00965748894332</v>
      </c>
      <c r="N22" s="640">
        <f t="shared" si="2"/>
        <v>10.180278218845766</v>
      </c>
      <c r="O22" s="639">
        <f t="shared" si="2"/>
        <v>16.076246532930309</v>
      </c>
      <c r="P22" s="639">
        <f t="shared" si="2"/>
        <v>15.169674373824728</v>
      </c>
      <c r="Q22" s="640">
        <f t="shared" si="2"/>
        <v>15.567277008844552</v>
      </c>
      <c r="R22" s="638"/>
      <c r="S22" s="641">
        <f t="shared" si="2"/>
        <v>0.1346962597291271</v>
      </c>
      <c r="T22" s="639">
        <f t="shared" si="2"/>
        <v>3.5551209103840682</v>
      </c>
      <c r="U22" s="642"/>
      <c r="V22" s="639">
        <f t="shared" ref="V22:X22" si="3">MEDIAN(V15:V19)</f>
        <v>16.869825181254992</v>
      </c>
      <c r="W22" s="639">
        <f t="shared" si="3"/>
        <v>17.227104847616257</v>
      </c>
      <c r="X22" s="639">
        <f t="shared" si="3"/>
        <v>16.18377451508297</v>
      </c>
      <c r="Y22" s="642"/>
      <c r="Z22" s="641">
        <f>MEDIAN(Z15:Z19)</f>
        <v>8.6186153964605605E-2</v>
      </c>
    </row>
    <row r="24" spans="2:26" s="571" customFormat="1" ht="15" customHeight="1">
      <c r="B24" s="375" t="s">
        <v>310</v>
      </c>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2:26" ht="3.95" customHeight="1">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2:26" ht="3.95" customHeight="1">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2:26" ht="15" customHeight="1">
      <c r="B27" s="23" t="str">
        <f>+Inputs!H21</f>
        <v>GENERAL MILLS IN</v>
      </c>
      <c r="C27" s="23" t="str">
        <f>+_xll.BDP(Inputs!K21,"TICKER_AND_EXCH_CODE")</f>
        <v>GIS US</v>
      </c>
      <c r="D27" s="626" t="str">
        <f>CONCATENATE(_xll.BDP(Inputs!K21,"CRNCY")," ",_xll.BDP(Inputs!K21,"PX_YEST_CLOSE"))</f>
        <v>USD 50,7</v>
      </c>
      <c r="E27" s="480">
        <f>_xll.BDP(Inputs!K21,"PX_YEST_CLOSE")/_xll.BDP(Inputs!K21,"HIGH_52WEEK")</f>
        <v>0.68117694478033053</v>
      </c>
      <c r="F27" s="627">
        <f>_xll.BDP(Inputs!$K21, "CUR_MKT_CAP", "SCALING_FORMAT=" &amp; Inputs!$R$18)</f>
        <v>26854849.765590001</v>
      </c>
      <c r="G27" s="627">
        <f>_xll.BDP(Inputs!$K21, "ENTERPRISE_VALUE", "SCALING_FORMAT=" &amp; Inputs!$R$18)</f>
        <v>40297646</v>
      </c>
      <c r="H27" s="23"/>
      <c r="I27" s="628">
        <f>G27/_xll.BQL(Inputs!$K21, "sales_rev_turn(fpt = ltm, fa_adjusted = y, fs = mr)/1"&amp;IF(Inputs!$R$18="BLN","b",IF(Inputs!$R$18="MLN","m","k")))</f>
        <v>2.1036566088953852</v>
      </c>
      <c r="J27" s="628">
        <f>G27/_xll.BQL(Inputs!$K21, "sales_rev_turn(fpr = 2025, fpt = a, ae = e, fa_adjusted = y, fs = mr)/1"&amp;IF(Inputs!$R$18="BLN","b",IF(Inputs!$R$18="MLN","m","k")))</f>
        <v>2.0657461341890704</v>
      </c>
      <c r="K27" s="629">
        <f>G27/_xll.BQL(Inputs!$K21, "sales_rev_turn(fpr = 2026, fpt = a, ae = e, fa_adjusted = y, fs = mr)/1"&amp;IF(Inputs!$R$18="BLN","b",IF(Inputs!$R$18="MLN","m","k")))</f>
        <v>2.167738857125292</v>
      </c>
      <c r="L27" s="628">
        <f>G27/_xll.BQL(Inputs!$K21, "ebitda(fpt = ltm, fa_adjusted = y, fs = mr)/1"&amp;IF(Inputs!$R$18="BLN","b",IF(Inputs!$R$18="MLN","m","k")))</f>
        <v>10.658843298786133</v>
      </c>
      <c r="M27" s="628">
        <f>G27/_xll.BQL(Inputs!$K21, "ebitda(fpr = 2025, fpt = a, ae = e, fa_adjusted = y, fs = mr)/1"&amp;IF(Inputs!$R$18="BLN","b",IF(Inputs!$R$18="MLN","m","k")))</f>
        <v>10.362582734574726</v>
      </c>
      <c r="N27" s="629">
        <f>G27/_xll.BQL(Inputs!$K21, "ebitda(fpr = 2026, fpt = a, ae = e, fa_adjusted = y, fs = mr)/1"&amp;IF(Inputs!$R$18="BLN","b",IF(Inputs!$R$18="MLN","m","k")))</f>
        <v>11.603958246346556</v>
      </c>
      <c r="O27" s="628">
        <f>G27/_xll.BQL(Inputs!$K21, "is_oper_inc(fpt = ltm, fa_adjusted = y, fs = mr)/1"&amp;IF(Inputs!$R$18="BLN","b",IF(Inputs!$R$18="MLN","m","k")))</f>
        <v>12.427659644071211</v>
      </c>
      <c r="P27" s="628">
        <f>G27/_xll.BQL(Inputs!$K21, "is_oper_inc(fpr = 2025, fpt = a, ae = e, fa_adjusted = y, fs = mr)/1"&amp;IF(Inputs!$R$18="BLN","b",IF(Inputs!$R$18="MLN","m","k")))</f>
        <v>12.095168596175284</v>
      </c>
      <c r="Q27" s="629">
        <f>G27/_xll.BQL(Inputs!$K21, "is_oper_inc(fpr = 2026, fpt = a, ae = e, fa_adjusted = y, fs = mr)/1"&amp;IF(Inputs!$R$18="BLN","b",IF(Inputs!$R$18="MLN","m","k")))</f>
        <v>13.809275390026151</v>
      </c>
      <c r="R27" s="23"/>
      <c r="S27" s="488">
        <f>_xll.BQL(Inputs!$K21, "ebitda(fpt = ltm, fa_adjusted = y, fs = mr)/1"&amp;IF(Inputs!$R$18="BLN","b",IF(Inputs!$R$18="MLN","m","k")))/_xll.BQL(Inputs!$K21, "sales_rev_turn(fpt = ltm, fa_adjusted = y, fs = mr)/1"&amp;IF(Inputs!$R$18="BLN","b",IF(Inputs!$R$18="MLN","m","k")))</f>
        <v>0.19736256082636633</v>
      </c>
      <c r="T27" s="628">
        <f>_xll.BDP(Inputs!$K21,"TOT_DEBT_TO_EBITDA")</f>
        <v>3.0412479945959632</v>
      </c>
      <c r="U27" s="630"/>
      <c r="V27" s="628">
        <f>F27/_xll.BQL(Inputs!$K21, "earn_for_common(fpt = ltm, fa_adjusted = y, fs = mr)/1"&amp;IF(Inputs!$R$18="BLN","b",IF(Inputs!$R$18="MLN","m","k")))</f>
        <v>12.160319582317515</v>
      </c>
      <c r="W27" s="628">
        <f>F27/_xll.BQL(Inputs!$K21, "EARN_FOR_COMMON(fpr = 2025, fpt = a, ae = e, fa_adjusted = y, fs = mr)/1"&amp;IF(Inputs!$R$18="BLN","b",IF(Inputs!$R$18="MLN","m","k")))</f>
        <v>11.469324463725469</v>
      </c>
      <c r="X27" s="628">
        <f>F27/_xll.BQL(Inputs!$K21, "EARN_FOR_COMMON(fpr = 2026, fpt = a, ae = e, fa_adjusted = y, fs = mr)/1"&amp;IF(Inputs!$R$18="BLN","b",IF(Inputs!$R$18="MLN","m","k")))</f>
        <v>13.655251981646686</v>
      </c>
      <c r="Y27" s="630"/>
      <c r="Z27" s="488">
        <f>(_xll.BQL(Inputs!$K21, "EARN_FOR_COMMON(fpr = 2028, fpt = a, ae = e, fa_adjusted = y, fs = mr)")/_xll.BQL(Inputs!$K21, "EARN_FOR_COMMON(fpr = 2025, fpt = a, ae = e, fa_adjusted = y, fs = mr)"))^(1/3)-1</f>
        <v>-3.7980419978609237E-2</v>
      </c>
    </row>
    <row r="28" spans="2:26" ht="15" customHeight="1">
      <c r="B28" s="23" t="str">
        <f>+Inputs!H22</f>
        <v>CONAGRA BRANDS I</v>
      </c>
      <c r="C28" s="23" t="str">
        <f>+_xll.BDP(Inputs!K22,"TICKER_AND_EXCH_CODE")</f>
        <v>CAG US</v>
      </c>
      <c r="D28" s="626" t="str">
        <f>CONCATENATE(_xll.BDP(Inputs!K22,"CRNCY")," ",_xll.BDP(Inputs!K22,"PX_YEST_CLOSE"))</f>
        <v>USD 19,3</v>
      </c>
      <c r="E28" s="480">
        <f>_xll.BDP(Inputs!K22,"PX_YEST_CLOSE")/_xll.BDP(Inputs!K22,"HIGH_52WEEK")</f>
        <v>0.63051290427964723</v>
      </c>
      <c r="F28" s="627">
        <f>_xll.BDP(Inputs!$K22, "CUR_MKT_CAP", "SCALING_FORMAT=" &amp; Inputs!$R$18)</f>
        <v>9186743.2654049993</v>
      </c>
      <c r="G28" s="627">
        <f>_xll.BDP(Inputs!$K22, "ENTERPRISE_VALUE", "SCALING_FORMAT=" &amp; Inputs!$R$18)</f>
        <v>16986093.262060001</v>
      </c>
      <c r="H28" s="23"/>
      <c r="I28" s="628">
        <f>G28/_xll.BQL(Inputs!$K22, "sales_rev_turn(fpt = ltm, fa_adjusted = y, fs = mr)/1"&amp;IF(Inputs!$R$18="BLN","b",IF(Inputs!$R$18="MLN","m","k")))</f>
        <v>1.4834368160394744</v>
      </c>
      <c r="J28" s="628">
        <f>G28/_xll.BQL(Inputs!$K22, "sales_rev_turn(fpt = ltm, fa_adjusted = y, fs = mr)/1"&amp;IF(Inputs!$R$18="BLN","b",IF(Inputs!$R$18="MLN","m","k")))</f>
        <v>1.4834368160394744</v>
      </c>
      <c r="K28" s="629">
        <f>G28/_xll.BQL(Inputs!$K22, "sales_rev_turn(fpr = 2026, fpt = a, ae = e, fa_adjusted = y, fs = mr)/1"&amp;IF(Inputs!$R$18="BLN","b",IF(Inputs!$R$18="MLN","m","k")))</f>
        <v>1.5097109386490357</v>
      </c>
      <c r="L28" s="628">
        <f>G28/_xll.BQL(Inputs!$K22, "ebitda(fpt = ltm, fa_adjusted = y, fs = mr)/1"&amp;IF(Inputs!$R$18="BLN","b",IF(Inputs!$R$18="MLN","m","k")))</f>
        <v>8.6974307489267737</v>
      </c>
      <c r="M28" s="628">
        <f>G28/_xll.BQL(Inputs!$K22, "ebitda(fpr = 2025, fpt = a, ae = e, fa_adjusted = y, fs = mr)/1"&amp;IF(Inputs!$R$18="BLN","b",IF(Inputs!$R$18="MLN","m","k")))</f>
        <v>7.9475778698929975</v>
      </c>
      <c r="N28" s="629">
        <f>G28/_xll.BQL(Inputs!$K22, "ebitda(fpr = 2026, fpt = a, ae = e, fa_adjusted = y, fs = mr)/1"&amp;IF(Inputs!$R$18="BLN","b",IF(Inputs!$R$18="MLN","m","k")))</f>
        <v>9.7303172887816416</v>
      </c>
      <c r="O28" s="628">
        <f>G28/_xll.BQL(Inputs!$K22, "is_oper_inc(fpt = ltm, fa_adjusted = y, fs = mr)/1"&amp;IF(Inputs!$R$18="BLN","b",IF(Inputs!$R$18="MLN","m","k")))</f>
        <v>10.842639816928042</v>
      </c>
      <c r="P28" s="628">
        <f>G28/_xll.BQL(Inputs!$K22, "is_oper_inc(fpr = 2025, fpt = a, ae = e, fa_adjusted = y, fs = mr)/1"&amp;IF(Inputs!$R$18="BLN","b",IF(Inputs!$R$18="MLN","m","k")))</f>
        <v>10.181220206524314</v>
      </c>
      <c r="Q28" s="629">
        <f>G28/_xll.BQL(Inputs!$K22, "is_oper_inc(fpr = 2026, fpt = a, ae = e, fa_adjusted = y, fs = mr)/1"&amp;IF(Inputs!$R$18="BLN","b",IF(Inputs!$R$18="MLN","m","k")))</f>
        <v>13.353190792166266</v>
      </c>
      <c r="R28" s="23"/>
      <c r="S28" s="488">
        <f>_xll.BQL(Inputs!$K22, "ebitda(fpt = ltm, fa_adjusted = y, fs = mr)/1"&amp;IF(Inputs!$R$18="BLN","b",IF(Inputs!$R$18="MLN","m","k")))/_xll.BQL(Inputs!$K22, "sales_rev_turn(fpt = ltm, fa_adjusted = y, fs = mr)/1"&amp;IF(Inputs!$R$18="BLN","b",IF(Inputs!$R$18="MLN","m","k")))</f>
        <v>0.17056034809159293</v>
      </c>
      <c r="T28" s="628">
        <f>_xll.BDP(Inputs!$K22,"TOT_DEBT_TO_EBITDA")</f>
        <v>4.8796558227251294</v>
      </c>
      <c r="U28" s="630"/>
      <c r="V28" s="628">
        <f>F28/_xll.BQL(Inputs!$K22, "earn_for_common(fpt = ltm, fa_adjusted = y, fs = mr)/1"&amp;IF(Inputs!$R$18="BLN","b",IF(Inputs!$R$18="MLN","m","k")))</f>
        <v>8.216064536772544</v>
      </c>
      <c r="W28" s="628">
        <f>F28/_xll.BQL(Inputs!$K22, "EARN_FOR_COMMON(fpr = 2025, fpt = a, ae = e, fa_adjusted = y, fs = mr)/1"&amp;IF(Inputs!$R$18="BLN","b",IF(Inputs!$R$18="MLN","m","k")))</f>
        <v>8.275906709336283</v>
      </c>
      <c r="X28" s="628">
        <f>F28/_xll.BQL(Inputs!$K22, "EARN_FOR_COMMON(fpr = 2026, fpt = a, ae = e, fa_adjusted = y, fs = mr)/1"&amp;IF(Inputs!$R$18="BLN","b",IF(Inputs!$R$18="MLN","m","k")))</f>
        <v>10.913671244715932</v>
      </c>
      <c r="Y28" s="630"/>
      <c r="Z28" s="488">
        <f>(_xll.BQL(Inputs!$K22, "EARN_FOR_COMMON(fpr = 2028, fpt = a, ae = e, fa_adjusted = y, fs = mr)")/_xll.BQL(Inputs!$K22, "EARN_FOR_COMMON(fpr = 2025, fpt = a, ae = e, fa_adjusted = y, fs = mr)"))^(1/3)-1</f>
        <v>-4.5911711903120267E-2</v>
      </c>
    </row>
    <row r="29" spans="2:26" ht="15" customHeight="1">
      <c r="B29" s="23" t="str">
        <f>+Inputs!H23</f>
        <v>PILGRIM'S PRIDE</v>
      </c>
      <c r="C29" s="23" t="str">
        <f>+_xll.BDP(Inputs!K23,"TICKER_AND_EXCH_CODE")</f>
        <v>PPC US</v>
      </c>
      <c r="D29" s="626" t="str">
        <f>CONCATENATE(_xll.BDP(Inputs!K23,"CRNCY")," ",_xll.BDP(Inputs!K23,"PX_YEST_CLOSE"))</f>
        <v>USD 41,24</v>
      </c>
      <c r="E29" s="480">
        <f>_xll.BDP(Inputs!K23,"PX_YEST_CLOSE")/_xll.BDP(Inputs!K23,"HIGH_52WEEK")</f>
        <v>0.78174315074335743</v>
      </c>
      <c r="F29" s="627">
        <f>_xll.BDP(Inputs!$K23, "CUR_MKT_CAP", "SCALING_FORMAT=" &amp; Inputs!$R$18)</f>
        <v>9673454.6462233998</v>
      </c>
      <c r="G29" s="627">
        <f>_xll.BDP(Inputs!$K23, "ENTERPRISE_VALUE", "SCALING_FORMAT=" &amp; Inputs!$R$18)</f>
        <v>14274843.760000004</v>
      </c>
      <c r="H29" s="23"/>
      <c r="I29" s="628">
        <f>G29/_xll.BQL(Inputs!$K23, "sales_rev_turn(fpt = ltm, fa_adjusted = y, fs = mr)/1"&amp;IF(Inputs!$R$18="BLN","b",IF(Inputs!$R$18="MLN","m","k")))</f>
        <v>0.78530650201841123</v>
      </c>
      <c r="J29" s="628">
        <f>G29/_xll.BQL(Inputs!$K23, "sales_rev_turn(fpr = 2025, fpt = a, ae = e, fa_adjusted = y, fs = mr)/1"&amp;IF(Inputs!$R$18="BLN","b",IF(Inputs!$R$18="MLN","m","k")))</f>
        <v>0.77730112975353449</v>
      </c>
      <c r="K29" s="629">
        <f>G29/_xll.BQL(Inputs!$K23, "sales_rev_turn(fpr = 2026, fpt = a, ae = e, fa_adjusted = y, fs = mr)/1"&amp;IF(Inputs!$R$18="BLN","b",IF(Inputs!$R$18="MLN","m","k")))</f>
        <v>0.77330085307800145</v>
      </c>
      <c r="L29" s="628">
        <f>G29/_xll.BQL(Inputs!$K23, "ebitda(fpt = ltm, fa_adjusted = y, fs = mr)/1"&amp;IF(Inputs!$R$18="BLN","b",IF(Inputs!$R$18="MLN","m","k")))</f>
        <v>5.8614561453574927</v>
      </c>
      <c r="M29" s="628">
        <f>G29/_xll.BQL(Inputs!$K23, "ebitda(fpr = 2025, fpt = a, ae = e, fa_adjusted = y, fs = mr)/1"&amp;IF(Inputs!$R$18="BLN","b",IF(Inputs!$R$18="MLN","m","k")))</f>
        <v>6.2465129679466154</v>
      </c>
      <c r="N29" s="629">
        <f>G29/_xll.BQL(Inputs!$K23, "ebitda(fpr = 2026, fpt = a, ae = e, fa_adjusted = y, fs = mr)/1"&amp;IF(Inputs!$R$18="BLN","b",IF(Inputs!$R$18="MLN","m","k")))</f>
        <v>7.2004256040353107</v>
      </c>
      <c r="O29" s="628">
        <f>G29/_xll.BQL(Inputs!$K23, "is_oper_inc(fpt = ltm, fa_adjusted = y, fs = mr)/1"&amp;IF(Inputs!$R$18="BLN","b",IF(Inputs!$R$18="MLN","m","k")))</f>
        <v>7.1552061448730839</v>
      </c>
      <c r="P29" s="628">
        <f>G29/_xll.BQL(Inputs!$K23, "is_oper_inc(fpr = 2025, fpt = a, ae = e, fa_adjusted = y, fs = mr)/1"&amp;IF(Inputs!$R$18="BLN","b",IF(Inputs!$R$18="MLN","m","k")))</f>
        <v>7.8773280504532934</v>
      </c>
      <c r="Q29" s="629">
        <f>G29/_xll.BQL(Inputs!$K23, "is_oper_inc(fpr = 2026, fpt = a, ae = e, fa_adjusted = y, fs = mr)/1"&amp;IF(Inputs!$R$18="BLN","b",IF(Inputs!$R$18="MLN","m","k")))</f>
        <v>9.4270059501403356</v>
      </c>
      <c r="R29" s="23"/>
      <c r="S29" s="488">
        <f>_xll.BQL(Inputs!$K23, "ebitda(fpt = ltm, fa_adjusted = y, fs = mr)/1"&amp;IF(Inputs!$R$18="BLN","b",IF(Inputs!$R$18="MLN","m","k")))/_xll.BQL(Inputs!$K23, "sales_rev_turn(fpt = ltm, fa_adjusted = y, fs = mr)/1"&amp;IF(Inputs!$R$18="BLN","b",IF(Inputs!$R$18="MLN","m","k")))</f>
        <v>0.13397805639822202</v>
      </c>
      <c r="T29" s="628">
        <f>_xll.BDP(Inputs!$K23,"TOT_DEBT_TO_EBITDA")</f>
        <v>1.5703889931368236</v>
      </c>
      <c r="U29" s="630"/>
      <c r="V29" s="628">
        <f>F29/_xll.BQL(Inputs!$K23, "earn_for_common(fpt = ltm, fa_adjusted = y, fs = mr)/1"&amp;IF(Inputs!$R$18="BLN","b",IF(Inputs!$R$18="MLN","m","k")))</f>
        <v>6.749494444869053</v>
      </c>
      <c r="W29" s="628">
        <f>F29/_xll.BQL(Inputs!$K23, "EARN_FOR_COMMON(fpr = 2025, fpt = a, ae = e, fa_adjusted = y, fs = mr)/1"&amp;IF(Inputs!$R$18="BLN","b",IF(Inputs!$R$18="MLN","m","k")))</f>
        <v>7.4746590956008232</v>
      </c>
      <c r="X29" s="628">
        <f>F29/_xll.BQL(Inputs!$K23, "EARN_FOR_COMMON(fpr = 2026, fpt = a, ae = e, fa_adjusted = y, fs = mr)/1"&amp;IF(Inputs!$R$18="BLN","b",IF(Inputs!$R$18="MLN","m","k")))</f>
        <v>8.9169961403196201</v>
      </c>
      <c r="Y29" s="630"/>
      <c r="Z29" s="488">
        <f>(_xll.BQL(Inputs!$K23, "EARN_FOR_COMMON(fpr = 2028, fpt = a, ae = e, fa_adjusted = y, fs = mr)")/_xll.BQL(Inputs!$K23, "EARN_FOR_COMMON(fpr = 2025, fpt = a, ae = e, fa_adjusted = y, fs = mr)"))^(1/3)-1</f>
        <v>-0.13383241137826751</v>
      </c>
    </row>
    <row r="30" spans="2:26" ht="15" customHeight="1">
      <c r="B30" s="23" t="str">
        <f>+Inputs!H24</f>
        <v>NESTLE SA-REG</v>
      </c>
      <c r="C30" s="23" t="str">
        <f>+_xll.BDP(Inputs!K24,"TICKER_AND_EXCH_CODE")</f>
        <v>NESN SW</v>
      </c>
      <c r="D30" s="626" t="str">
        <f>CONCATENATE(_xll.BDP(Inputs!K24,"CRNCY")," ",_xll.BDP(Inputs!K24,"PX_YEST_CLOSE"))</f>
        <v>CHF 73,88</v>
      </c>
      <c r="E30" s="480">
        <f>_xll.BDP(Inputs!K24,"PX_YEST_CLOSE")/_xll.BDP(Inputs!K24,"HIGH_52WEEK")</f>
        <v>0.80549498473615344</v>
      </c>
      <c r="F30" s="627">
        <f>_xll.BDP(Inputs!$K24, "CUR_MKT_CAP", "SCALING_FORMAT=" &amp; Inputs!$R$18)</f>
        <v>192285687.59999996</v>
      </c>
      <c r="G30" s="627">
        <f>_xll.BDP(Inputs!$K24, "ENTERPRISE_VALUE", "SCALING_FORMAT=" &amp; Inputs!$R$18)</f>
        <v>263417071.60000002</v>
      </c>
      <c r="H30" s="23"/>
      <c r="I30" s="628">
        <f>G30/_xll.BQL(Inputs!$K24, "sales_rev_turn(fpt = ltm, fa_adjusted = y, fs = mr)/1"&amp;IF(Inputs!$R$18="BLN","b",IF(Inputs!$R$18="MLN","m","k")))</f>
        <v>2.8979094555495664</v>
      </c>
      <c r="J30" s="628">
        <f>G30/_xll.BQL(Inputs!$K24, "sales_rev_turn(fpr = 2025, fpt = a, ae = e, fa_adjusted = y, fs = mr)/1"&amp;IF(Inputs!$R$18="BLN","b",IF(Inputs!$R$18="MLN","m","k")))</f>
        <v>2.9376917503933595</v>
      </c>
      <c r="K30" s="629">
        <f>G30/_xll.BQL(Inputs!$K24, "sales_rev_turn(fpr = 2026, fpt = a, ae = e, fa_adjusted = y, fs = mr)/1"&amp;IF(Inputs!$R$18="BLN","b",IF(Inputs!$R$18="MLN","m","k")))</f>
        <v>2.8805751109944668</v>
      </c>
      <c r="L30" s="628">
        <f>G30/_xll.BQL(Inputs!$K24, "ebitda(fpt = ltm, fa_adjusted = y, fs = mr)/1"&amp;IF(Inputs!$R$18="BLN","b",IF(Inputs!$R$18="MLN","m","k")))</f>
        <v>13.995169036234195</v>
      </c>
      <c r="M30" s="628">
        <f>G30/_xll.BQL(Inputs!$K24, "ebitda(fpr = 2025, fpt = a, ae = e, fa_adjusted = y, fs = mr)/1"&amp;IF(Inputs!$R$18="BLN","b",IF(Inputs!$R$18="MLN","m","k")))</f>
        <v>14.780799361928988</v>
      </c>
      <c r="N30" s="629">
        <f>G30/_xll.BQL(Inputs!$K24, "ebitda(fpr = 2026, fpt = a, ae = e, fa_adjusted = y, fs = mr)/1"&amp;IF(Inputs!$R$18="BLN","b",IF(Inputs!$R$18="MLN","m","k")))</f>
        <v>14.193203548968912</v>
      </c>
      <c r="O30" s="628">
        <f>G30/_xll.BQL(Inputs!$K24, "is_oper_inc(fpt = ltm, fa_adjusted = y, fs = mr)/1"&amp;IF(Inputs!$R$18="BLN","b",IF(Inputs!$R$18="MLN","m","k")))</f>
        <v>17.323232381954494</v>
      </c>
      <c r="P30" s="628">
        <f>G30/_xll.BQL(Inputs!$K24, "is_oper_inc(fpr = 2025, fpt = a, ae = e, fa_adjusted = y, fs = mr)/1"&amp;IF(Inputs!$R$18="BLN","b",IF(Inputs!$R$18="MLN","m","k")))</f>
        <v>18.609471677852351</v>
      </c>
      <c r="Q30" s="629">
        <f>G30/_xll.BQL(Inputs!$K24, "is_oper_inc(fpr = 2026, fpt = a, ae = e, fa_adjusted = y, fs = mr)/1"&amp;IF(Inputs!$R$18="BLN","b",IF(Inputs!$R$18="MLN","m","k")))</f>
        <v>17.782339634544872</v>
      </c>
      <c r="R30" s="23"/>
      <c r="S30" s="488">
        <f>_xll.BQL(Inputs!$K24, "ebitda(fpt = ltm, fa_adjusted = y, fs = mr)/1"&amp;IF(Inputs!$R$18="BLN","b",IF(Inputs!$R$18="MLN","m","k")))/_xll.BQL(Inputs!$K24, "sales_rev_turn(fpt = ltm, fa_adjusted = y, fs = mr)/1"&amp;IF(Inputs!$R$18="BLN","b",IF(Inputs!$R$18="MLN","m","k")))</f>
        <v>0.20706498421324768</v>
      </c>
      <c r="T30" s="628">
        <f>_xll.BDP(Inputs!$K24,"TOT_DEBT_TO_EBITDA")</f>
        <v>3.7037204313216283</v>
      </c>
      <c r="U30" s="630"/>
      <c r="V30" s="628">
        <f>F30/_xll.BQL(Inputs!$K24, "earn_for_common(fpt = ltm, fa_adjusted = y, fs = mr)/1"&amp;IF(Inputs!$R$18="BLN","b",IF(Inputs!$R$18="MLN","m","k")))</f>
        <v>17.181764439419293</v>
      </c>
      <c r="W30" s="628">
        <f>F30/_xll.BQL(Inputs!$K24, "EARN_FOR_COMMON(fpr = 2025, fpt = a, ae = e, fa_adjusted = y, fs = mr)/1"&amp;IF(Inputs!$R$18="BLN","b",IF(Inputs!$R$18="MLN","m","k")))</f>
        <v>17.421615402470433</v>
      </c>
      <c r="X30" s="628">
        <f>F30/_xll.BQL(Inputs!$K24, "EARN_FOR_COMMON(fpr = 2026, fpt = a, ae = e, fa_adjusted = y, fs = mr)/1"&amp;IF(Inputs!$R$18="BLN","b",IF(Inputs!$R$18="MLN","m","k")))</f>
        <v>16.544635037100466</v>
      </c>
      <c r="Y30" s="630"/>
      <c r="Z30" s="488">
        <f>(_xll.BQL(Inputs!$K24, "EARN_FOR_COMMON(fpr = 2028, fpt = a, ae = e, fa_adjusted = y, fs = mr)")/_xll.BQL(Inputs!$K24, "EARN_FOR_COMMON(fpr = 2025, fpt = a, ae = e, fa_adjusted = y, fs = mr)"))^(1/3)-1</f>
        <v>5.9915671572627893E-2</v>
      </c>
    </row>
    <row r="31" spans="2:26" ht="15" customHeight="1">
      <c r="B31" s="23" t="str">
        <f>+Inputs!H25</f>
        <v>UNILEVER PLC</v>
      </c>
      <c r="C31" s="23" t="str">
        <f>+_xll.BDP(Inputs!K25,"TICKER_AND_EXCH_CODE")</f>
        <v>ULVR LN</v>
      </c>
      <c r="D31" s="626" t="str">
        <f>CONCATENATE(_xll.BDP(Inputs!K25,"CRNCY")," ",_xll.BDP(Inputs!K25,"PX_YEST_CLOSE"))</f>
        <v>GBp 4372</v>
      </c>
      <c r="E31" s="480">
        <f>_xll.BDP(Inputs!K25,"PX_YEST_CLOSE")/_xll.BDP(Inputs!K25,"HIGH_52WEEK")</f>
        <v>0.89042769857433812</v>
      </c>
      <c r="F31" s="627">
        <f>_xll.BDP(Inputs!$K25, "CUR_MKT_CAP", "SCALING_FORMAT=" &amp; Inputs!$R$18)</f>
        <v>107490649.62304001</v>
      </c>
      <c r="G31" s="627">
        <f>_xll.BDP(Inputs!$K25, "ENTERPRISE_VALUE", "SCALING_FORMAT=" &amp; Inputs!$R$18)</f>
        <v>155181547.66800001</v>
      </c>
      <c r="H31" s="23"/>
      <c r="I31" s="628">
        <f>G31/_xll.BQL(Inputs!$K25, "sales_rev_turn(fpt = ltm, fa_adjusted = y, fs = mr)/1"&amp;IF(Inputs!$R$18="BLN","b",IF(Inputs!$R$18="MLN","m","k")))</f>
        <v>2.5937513190593191</v>
      </c>
      <c r="J31" s="628">
        <f>G31/_xll.BQL(Inputs!$K25, "sales_rev_turn(fpr = 2025, fpt = a, ae = e, fa_adjusted = y, fs = mr)/1"&amp;IF(Inputs!$R$18="BLN","b",IF(Inputs!$R$18="MLN","m","k")))</f>
        <v>2.6265730556880236</v>
      </c>
      <c r="K31" s="629">
        <f>G31/_xll.BQL(Inputs!$K25, "sales_rev_turn(fpr = 2026, fpt = a, ae = e, fa_adjusted = y, fs = mr)/1"&amp;IF(Inputs!$R$18="BLN","b",IF(Inputs!$R$18="MLN","m","k")))</f>
        <v>2.5947554904382901</v>
      </c>
      <c r="L31" s="628">
        <f>G31/_xll.BQL(Inputs!$K25, "ebitda(fpt = ltm, fa_adjusted = y, fs = mr)/1"&amp;IF(Inputs!$R$18="BLN","b",IF(Inputs!$R$18="MLN","m","k")))</f>
        <v>12.224794995115804</v>
      </c>
      <c r="M31" s="628">
        <f>G31/_xll.BQL(Inputs!$K25, "ebitda(fpr = 2025, fpt = a, ae = e, fa_adjusted = y, fs = mr)/1"&amp;IF(Inputs!$R$18="BLN","b",IF(Inputs!$R$18="MLN","m","k")))</f>
        <v>12.177092646992076</v>
      </c>
      <c r="N31" s="629">
        <f>G31/_xll.BQL(Inputs!$K25, "ebitda(fpr = 2026, fpt = a, ae = e, fa_adjusted = y, fs = mr)/1"&amp;IF(Inputs!$R$18="BLN","b",IF(Inputs!$R$18="MLN","m","k")))</f>
        <v>11.798410801391345</v>
      </c>
      <c r="O31" s="628">
        <f>G31/_xll.BQL(Inputs!$K25, "is_oper_inc(fpt = ltm, fa_adjusted = y, fs = mr)/1"&amp;IF(Inputs!$R$18="BLN","b",IF(Inputs!$R$18="MLN","m","k")))</f>
        <v>14.256458214790998</v>
      </c>
      <c r="P31" s="628">
        <f>G31/_xll.BQL(Inputs!$K25, "is_oper_inc(fpr = 2025, fpt = a, ae = e, fa_adjusted = y, fs = mr)/1"&amp;IF(Inputs!$R$18="BLN","b",IF(Inputs!$R$18="MLN","m","k")))</f>
        <v>14.104499271621565</v>
      </c>
      <c r="Q31" s="629">
        <f>G31/_xll.BQL(Inputs!$K25, "is_oper_inc(fpr = 2026, fpt = a, ae = e, fa_adjusted = y, fs = mr)/1"&amp;IF(Inputs!$R$18="BLN","b",IF(Inputs!$R$18="MLN","m","k")))</f>
        <v>13.523544630069937</v>
      </c>
      <c r="R31" s="23"/>
      <c r="S31" s="488">
        <f>_xll.BQL(Inputs!$K25, "ebitda(fpt = ltm, fa_adjusted = y, fs = mr)/1"&amp;IF(Inputs!$R$18="BLN","b",IF(Inputs!$R$18="MLN","m","k")))/_xll.BQL(Inputs!$K25, "sales_rev_turn(fpt = ltm, fa_adjusted = y, fs = mr)/1"&amp;IF(Inputs!$R$18="BLN","b",IF(Inputs!$R$18="MLN","m","k")))</f>
        <v>0.21217135502849788</v>
      </c>
      <c r="T31" s="628" t="str">
        <f>_xll.BDP(Inputs!$K25,"TOT_DEBT_TO_EBITDA")</f>
        <v>#N/A N/A</v>
      </c>
      <c r="U31" s="630"/>
      <c r="V31" s="628">
        <f>F31/_xll.BQL(Inputs!$K25, "earn_for_common(fpt = ltm, fa_adjusted = y, fs = mr)/1"&amp;IF(Inputs!$R$18="BLN","b",IF(Inputs!$R$18="MLN","m","k")))</f>
        <v>14.650645464569308</v>
      </c>
      <c r="W31" s="628">
        <f>F31/_xll.BQL(Inputs!$K25, "EARN_FOR_COMMON(fpr = 2025, fpt = a, ae = e, fa_adjusted = y, fs = mr)/1"&amp;IF(Inputs!$R$18="BLN","b",IF(Inputs!$R$18="MLN","m","k")))</f>
        <v>14.555431628392105</v>
      </c>
      <c r="X31" s="628">
        <f>F31/_xll.BQL(Inputs!$K25, "EARN_FOR_COMMON(fpr = 2026, fpt = a, ae = e, fa_adjusted = y, fs = mr)/1"&amp;IF(Inputs!$R$18="BLN","b",IF(Inputs!$R$18="MLN","m","k")))</f>
        <v>13.945109818930026</v>
      </c>
      <c r="Y31" s="630"/>
      <c r="Z31" s="488">
        <f>(_xll.BQL(Inputs!$K25, "EARN_FOR_COMMON(fpr = 2028, fpt = a, ae = e, fa_adjusted = y, fs = mr)")/_xll.BQL(Inputs!$K25, "EARN_FOR_COMMON(fpr = 2025, fpt = a, ae = e, fa_adjusted = y, fs = mr)"))^(1/3)-1</f>
        <v>4.9528864184646304E-2</v>
      </c>
    </row>
    <row r="32" spans="2:26" ht="15" customHeight="1">
      <c r="B32" s="23"/>
      <c r="C32" s="23"/>
      <c r="D32" s="23"/>
      <c r="E32" s="23"/>
      <c r="F32" s="23"/>
      <c r="G32" s="23"/>
      <c r="H32" s="23"/>
      <c r="I32" s="23"/>
      <c r="J32" s="23"/>
      <c r="K32" s="630"/>
      <c r="L32" s="23"/>
      <c r="M32" s="23"/>
      <c r="N32" s="630"/>
      <c r="O32" s="23"/>
      <c r="P32" s="23"/>
      <c r="Q32" s="630"/>
      <c r="R32" s="23"/>
      <c r="S32" s="23"/>
      <c r="T32" s="23"/>
      <c r="U32" s="630"/>
      <c r="V32" s="23"/>
      <c r="W32" s="23"/>
      <c r="X32" s="23"/>
      <c r="Y32" s="630"/>
      <c r="Z32" s="23"/>
    </row>
    <row r="33" spans="2:26" ht="15" customHeight="1">
      <c r="B33" s="631" t="s">
        <v>308</v>
      </c>
      <c r="C33" s="632"/>
      <c r="D33" s="632"/>
      <c r="E33" s="632"/>
      <c r="F33" s="632"/>
      <c r="G33" s="632"/>
      <c r="H33" s="632"/>
      <c r="I33" s="633">
        <f>AVERAGE(I27:I31)</f>
        <v>1.9728121403124312</v>
      </c>
      <c r="J33" s="633">
        <f t="shared" ref="J33:K33" si="4">AVERAGE(J27:J31)</f>
        <v>1.9781497772126926</v>
      </c>
      <c r="K33" s="634">
        <f t="shared" si="4"/>
        <v>1.9852162500570174</v>
      </c>
      <c r="L33" s="633">
        <f>AVERAGE(L27:L31)</f>
        <v>10.287538844884079</v>
      </c>
      <c r="M33" s="633">
        <f t="shared" ref="M33:Q33" si="5">AVERAGE(M27:M31)</f>
        <v>10.302913116267082</v>
      </c>
      <c r="N33" s="634">
        <f t="shared" si="5"/>
        <v>10.905263097904754</v>
      </c>
      <c r="O33" s="633">
        <f t="shared" si="5"/>
        <v>12.401039240523565</v>
      </c>
      <c r="P33" s="633">
        <f t="shared" si="5"/>
        <v>12.573537560525361</v>
      </c>
      <c r="Q33" s="634">
        <f t="shared" si="5"/>
        <v>13.579071279389513</v>
      </c>
      <c r="R33" s="632"/>
      <c r="S33" s="635">
        <f>AVERAGE(S27:S31)</f>
        <v>0.18422746091158534</v>
      </c>
      <c r="T33" s="633">
        <f>AVERAGE(T27:T31)</f>
        <v>3.2987533104448858</v>
      </c>
      <c r="U33" s="636"/>
      <c r="V33" s="633">
        <f t="shared" ref="V33:X33" si="6">AVERAGE(V27:V31)</f>
        <v>11.791657693589542</v>
      </c>
      <c r="W33" s="633">
        <f t="shared" si="6"/>
        <v>11.839387459905023</v>
      </c>
      <c r="X33" s="633">
        <f t="shared" si="6"/>
        <v>12.795132844542547</v>
      </c>
      <c r="Y33" s="636"/>
      <c r="Z33" s="635">
        <f>AVERAGE(Z27:Z31)</f>
        <v>-2.1656001500544565E-2</v>
      </c>
    </row>
    <row r="34" spans="2:26" ht="15" customHeight="1">
      <c r="B34" s="637" t="s">
        <v>309</v>
      </c>
      <c r="C34" s="638"/>
      <c r="D34" s="638"/>
      <c r="E34" s="638"/>
      <c r="F34" s="638"/>
      <c r="G34" s="638"/>
      <c r="H34" s="638"/>
      <c r="I34" s="639">
        <f>MEDIAN(I27:I31)</f>
        <v>2.1036566088953852</v>
      </c>
      <c r="J34" s="639">
        <f t="shared" ref="J34:K34" si="7">MEDIAN(J27:J31)</f>
        <v>2.0657461341890704</v>
      </c>
      <c r="K34" s="640">
        <f t="shared" si="7"/>
        <v>2.167738857125292</v>
      </c>
      <c r="L34" s="639">
        <f>MEDIAN(L27:L31)</f>
        <v>10.658843298786133</v>
      </c>
      <c r="M34" s="639">
        <f t="shared" ref="M34:Q34" si="8">MEDIAN(M27:M31)</f>
        <v>10.362582734574726</v>
      </c>
      <c r="N34" s="640">
        <f t="shared" si="8"/>
        <v>11.603958246346556</v>
      </c>
      <c r="O34" s="639">
        <f t="shared" si="8"/>
        <v>12.427659644071211</v>
      </c>
      <c r="P34" s="639">
        <f t="shared" si="8"/>
        <v>12.095168596175284</v>
      </c>
      <c r="Q34" s="640">
        <f t="shared" si="8"/>
        <v>13.523544630069937</v>
      </c>
      <c r="R34" s="638"/>
      <c r="S34" s="641">
        <f t="shared" ref="S34:T34" si="9">MEDIAN(S27:S31)</f>
        <v>0.19736256082636633</v>
      </c>
      <c r="T34" s="639">
        <f t="shared" si="9"/>
        <v>3.3724842129587955</v>
      </c>
      <c r="U34" s="642"/>
      <c r="V34" s="639">
        <f t="shared" ref="V34:X34" si="10">MEDIAN(V27:V31)</f>
        <v>12.160319582317515</v>
      </c>
      <c r="W34" s="639">
        <f t="shared" si="10"/>
        <v>11.469324463725469</v>
      </c>
      <c r="X34" s="639">
        <f t="shared" si="10"/>
        <v>13.655251981646686</v>
      </c>
      <c r="Y34" s="642"/>
      <c r="Z34" s="641">
        <f>MEDIAN(Z27:Z31)</f>
        <v>-3.7980419978609237E-2</v>
      </c>
    </row>
    <row r="36" spans="2:26" s="571" customFormat="1" ht="15" customHeight="1">
      <c r="B36" s="375" t="s">
        <v>311</v>
      </c>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2:26" ht="3.95" customHeight="1">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2:26" ht="3.95" customHeight="1">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2:26" ht="15" customHeight="1">
      <c r="B39" s="23" t="str">
        <f>+Inputs!N21</f>
        <v>PEPSICO INC</v>
      </c>
      <c r="C39" s="23" t="str">
        <f>+_xll.BDP(Inputs!Q21,"TICKER_AND_EXCH_CODE")</f>
        <v>PEP US</v>
      </c>
      <c r="D39" s="626" t="str">
        <f>CONCATENATE(_xll.BDP(Inputs!Q21,"CRNCY")," ",_xll.BDP(Inputs!Q21,"PX_YEST_CLOSE"))</f>
        <v>USD 143,14</v>
      </c>
      <c r="E39" s="480">
        <f>_xll.BDP(Inputs!Q21,"PX_YEST_CLOSE")/_xll.BDP(Inputs!Q21,"HIGH_52WEEK")</f>
        <v>0.8064225352112675</v>
      </c>
      <c r="F39" s="627">
        <f>_xll.BDP(Inputs!$Q21, "CUR_MKT_CAP", "SCALING_FORMAT=" &amp; Inputs!$R$18)</f>
        <v>194408962.96799996</v>
      </c>
      <c r="G39" s="627">
        <f>_xll.BDP(Inputs!$Q21, "ENTERPRISE_VALUE", "SCALING_FORMAT=" &amp; Inputs!$R$18)</f>
        <v>222816500</v>
      </c>
      <c r="H39" s="23"/>
      <c r="I39" s="628">
        <f>G39/_xll.BQL(Inputs!$Q21, "sales_rev_turn(fpt = ltm, fa_adjusted = y, fs = mr)/1"&amp;IF(Inputs!$R$18="BLN","b",IF(Inputs!$R$18="MLN","m","k")))</f>
        <v>2.4285706500414177</v>
      </c>
      <c r="J39" s="628">
        <f>G39/_xll.BQL(Inputs!$Q21, "sales_rev_turn(fpr = 2025, fpt = a, ae = e, fa_adjusted = y, fs = mr)/1"&amp;IF(Inputs!$R$18="BLN","b",IF(Inputs!$R$18="MLN","m","k")))</f>
        <v>2.3944222811953417</v>
      </c>
      <c r="K39" s="629">
        <f>G39/_xll.BQL(Inputs!$Q21, "sales_rev_turn(fpr = 2026, fpt = a, ae = e, fa_adjusted = y, fs = mr)/1"&amp;IF(Inputs!$R$18="BLN","b",IF(Inputs!$R$18="MLN","m","k")))</f>
        <v>2.3204964486952759</v>
      </c>
      <c r="L39" s="628">
        <f>G39/_xll.BQL(Inputs!$Q21, "ebitda(fpt = ltm, fa_adjusted = y, fs = mr)/1"&amp;IF(Inputs!$R$18="BLN","b",IF(Inputs!$R$18="MLN","m","k")))</f>
        <v>12.797455631497328</v>
      </c>
      <c r="M39" s="628">
        <f>G39/_xll.BQL(Inputs!$Q21, "ebitda(fpr = 2025, fpt = a, ae = e, fa_adjusted = y, fs = mr)/1"&amp;IF(Inputs!$R$18="BLN","b",IF(Inputs!$R$18="MLN","m","k")))</f>
        <v>12.388635942422901</v>
      </c>
      <c r="N39" s="629">
        <f>G39/_xll.BQL(Inputs!$Q21, "ebitda(fpr = 2026, fpt = a, ae = e, fa_adjusted = y, fs = mr)/1"&amp;IF(Inputs!$R$18="BLN","b",IF(Inputs!$R$18="MLN","m","k")))</f>
        <v>11.798070679512056</v>
      </c>
      <c r="O39" s="628">
        <f>G39/_xll.BQL(Inputs!$Q21, "is_oper_inc(fpt = ltm, fa_adjusted = y, fs = mr)/1"&amp;IF(Inputs!$R$18="BLN","b",IF(Inputs!$R$18="MLN","m","k")))</f>
        <v>15.75899992927364</v>
      </c>
      <c r="P39" s="628">
        <f>G39/_xll.BQL(Inputs!$Q21, "is_oper_inc(fpr = 2025, fpt = a, ae = e, fa_adjusted = y, fs = mr)/1"&amp;IF(Inputs!$R$18="BLN","b",IF(Inputs!$R$18="MLN","m","k")))</f>
        <v>15.1136456131833</v>
      </c>
      <c r="Q39" s="629">
        <f>G39/_xll.BQL(Inputs!$Q21, "is_oper_inc(fpr = 2026, fpt = a, ae = e, fa_adjusted = y, fs = mr)/1"&amp;IF(Inputs!$R$18="BLN","b",IF(Inputs!$R$18="MLN","m","k")))</f>
        <v>14.318034544452223</v>
      </c>
      <c r="R39" s="23"/>
      <c r="S39" s="488">
        <f>_xll.BQL(Inputs!$Q21, "ebitda(fpt = ltm, fa_adjusted = y, fs = mr)/1"&amp;IF(Inputs!$R$18="BLN","b",IF(Inputs!$R$18="MLN","m","k")))/_xll.BQL(Inputs!$Q21, "sales_rev_turn(fpt = ltm, fa_adjusted = y, fs = mr)/1"&amp;IF(Inputs!$R$18="BLN","b",IF(Inputs!$R$18="MLN","m","k")))</f>
        <v>0.1897698042464141</v>
      </c>
      <c r="T39" s="628">
        <f>_xll.BDP(Inputs!$Q21,"TOT_DEBT_TO_EBITDA")</f>
        <v>3.732674705796891</v>
      </c>
      <c r="U39" s="630"/>
      <c r="V39" s="628">
        <f>F39/_xll.BQL(Inputs!$Q21, "earn_for_common(fpt = ltm, fa_adjusted = y, fs = mr)/1"&amp;IF(Inputs!$R$18="BLN","b",IF(Inputs!$R$18="MLN","m","k")))</f>
        <v>17.921820838728532</v>
      </c>
      <c r="W39" s="628">
        <f>F39/_xll.BQL(Inputs!$Q21, "EARN_FOR_COMMON(fpr = 2025, fpt = a, ae = e, fa_adjusted = y, fs = mr)/1"&amp;IF(Inputs!$R$18="BLN","b",IF(Inputs!$R$18="MLN","m","k")))</f>
        <v>17.645309592651753</v>
      </c>
      <c r="X39" s="628">
        <f>F39/_xll.BQL(Inputs!$Q21, "EARN_FOR_COMMON(fpr = 2026, fpt = a, ae = e, fa_adjusted = y, fs = mr)/1"&amp;IF(Inputs!$R$18="BLN","b",IF(Inputs!$R$18="MLN","m","k")))</f>
        <v>16.715946309204952</v>
      </c>
      <c r="Y39" s="630"/>
      <c r="Z39" s="488">
        <f>(_xll.BQL(Inputs!$Q21, "EARN_FOR_COMMON(fpr = 2028, fpt = a, ae = e, fa_adjusted = y, fs = mr)")/_xll.BQL(Inputs!$Q21, "EARN_FOR_COMMON(fpr = 2025, fpt = a, ae = e, fa_adjusted = y, fs = mr)"))^(1/3)-1</f>
        <v>4.691519563333002E-2</v>
      </c>
    </row>
    <row r="40" spans="2:26" ht="15" customHeight="1">
      <c r="B40" s="23" t="str">
        <f>+Inputs!N22</f>
        <v>PROCTER &amp; GAMBLE</v>
      </c>
      <c r="C40" s="23" t="str">
        <f>+_xll.BDP(Inputs!Q22,"TICKER_AND_EXCH_CODE")</f>
        <v>PG US</v>
      </c>
      <c r="D40" s="626" t="str">
        <f>CONCATENATE(_xll.BDP(Inputs!Q22,"CRNCY")," ",_xll.BDP(Inputs!Q22,"PX_YEST_CLOSE"))</f>
        <v>USD 153,18</v>
      </c>
      <c r="E40" s="480">
        <f>_xll.BDP(Inputs!Q22,"PX_YEST_CLOSE")/_xll.BDP(Inputs!Q22,"HIGH_52WEEK")</f>
        <v>0.84897190046001225</v>
      </c>
      <c r="F40" s="627">
        <f>_xll.BDP(Inputs!$Q22, "CUR_MKT_CAP", "SCALING_FORMAT=" &amp; Inputs!$R$18)</f>
        <v>355753759.82399994</v>
      </c>
      <c r="G40" s="627">
        <f>_xll.BDP(Inputs!$Q22, "ENTERPRISE_VALUE", "SCALING_FORMAT=" &amp; Inputs!$R$18)</f>
        <v>400195532.80000001</v>
      </c>
      <c r="H40" s="23"/>
      <c r="I40" s="628">
        <f>G40/_xll.BQL(Inputs!$Q22, "sales_rev_turn(fpt = ltm, fa_adjusted = y, fs = mr)/1"&amp;IF(Inputs!$R$18="BLN","b",IF(Inputs!$R$18="MLN","m","k")))</f>
        <v>4.7481791656779464</v>
      </c>
      <c r="J40" s="628">
        <f>G40/_xll.BQL(Inputs!$Q22, "sales_rev_turn(fpr = 2025, fpt = a, ae = e, fa_adjusted = y, fs = mr)/1"&amp;IF(Inputs!$R$18="BLN","b",IF(Inputs!$R$18="MLN","m","k")))</f>
        <v>4.7499590947440673</v>
      </c>
      <c r="K40" s="629">
        <f>G40/_xll.BQL(Inputs!$Q22, "sales_rev_turn(fpr = 2026, fpt = a, ae = e, fa_adjusted = y, fs = mr)/1"&amp;IF(Inputs!$R$18="BLN","b",IF(Inputs!$R$18="MLN","m","k")))</f>
        <v>4.6068918213288814</v>
      </c>
      <c r="L40" s="628">
        <f>G40/_xll.BQL(Inputs!$Q22, "ebitda(fpt = ltm, fa_adjusted = y, fs = mr)/1"&amp;IF(Inputs!$R$18="BLN","b",IF(Inputs!$R$18="MLN","m","k")))</f>
        <v>15.929448425745333</v>
      </c>
      <c r="M40" s="628">
        <f>G40/_xll.BQL(Inputs!$Q22, "ebitda(fpr = 2025, fpt = a, ae = e, fa_adjusted = y, fs = mr)/1"&amp;IF(Inputs!$R$18="BLN","b",IF(Inputs!$R$18="MLN","m","k")))</f>
        <v>17.069619951460659</v>
      </c>
      <c r="N40" s="629">
        <f>G40/_xll.BQL(Inputs!$Q22, "ebitda(fpr = 2026, fpt = a, ae = e, fa_adjusted = y, fs = mr)/1"&amp;IF(Inputs!$R$18="BLN","b",IF(Inputs!$R$18="MLN","m","k")))</f>
        <v>16.542384883334329</v>
      </c>
      <c r="O40" s="628">
        <f>G40/_xll.BQL(Inputs!$Q22, "is_oper_inc(fpt = ltm, fa_adjusted = y, fs = mr)/1"&amp;IF(Inputs!$R$18="BLN","b",IF(Inputs!$R$18="MLN","m","k")))</f>
        <v>18.190706036363636</v>
      </c>
      <c r="P40" s="628">
        <f>G40/_xll.BQL(Inputs!$Q22, "is_oper_inc(fpr = 2025, fpt = a, ae = e, fa_adjusted = y, fs = mr)/1"&amp;IF(Inputs!$R$18="BLN","b",IF(Inputs!$R$18="MLN","m","k")))</f>
        <v>19.589671471094878</v>
      </c>
      <c r="Q40" s="629">
        <f>G40/_xll.BQL(Inputs!$Q22, "is_oper_inc(fpr = 2026, fpt = a, ae = e, fa_adjusted = y, fs = mr)/1"&amp;IF(Inputs!$R$18="BLN","b",IF(Inputs!$R$18="MLN","m","k")))</f>
        <v>18.895159078917601</v>
      </c>
      <c r="R40" s="23"/>
      <c r="S40" s="488">
        <f>_xll.BQL(Inputs!$Q22, "ebitda(fpt = ltm, fa_adjusted = y, fs = mr)/1"&amp;IF(Inputs!$R$18="BLN","b",IF(Inputs!$R$18="MLN","m","k")))/_xll.BQL(Inputs!$Q22, "sales_rev_turn(fpt = ltm, fa_adjusted = y, fs = mr)/1"&amp;IF(Inputs!$R$18="BLN","b",IF(Inputs!$R$18="MLN","m","k")))</f>
        <v>0.298075554079066</v>
      </c>
      <c r="T40" s="628">
        <f>_xll.BDP(Inputs!$Q22,"TOT_DEBT_TO_EBITDA")</f>
        <v>1.5221907459867801</v>
      </c>
      <c r="U40" s="630"/>
      <c r="V40" s="628">
        <f>F40/_xll.BQL(Inputs!$Q22, "earn_for_common(fpt = ltm, fa_adjusted = y, fs = mr)/1"&amp;IF(Inputs!$R$18="BLN","b",IF(Inputs!$R$18="MLN","m","k")))</f>
        <v>20.828125712378768</v>
      </c>
      <c r="W40" s="628">
        <f>F40/_xll.BQL(Inputs!$Q22, "EARN_FOR_COMMON(fpr = 2025, fpt = a, ae = e, fa_adjusted = y, fs = mr)/1"&amp;IF(Inputs!$R$18="BLN","b",IF(Inputs!$R$18="MLN","m","k")))</f>
        <v>21.547513647563321</v>
      </c>
      <c r="X40" s="628">
        <f>F40/_xll.BQL(Inputs!$Q22, "EARN_FOR_COMMON(fpr = 2026, fpt = a, ae = e, fa_adjusted = y, fs = mr)/1"&amp;IF(Inputs!$R$18="BLN","b",IF(Inputs!$R$18="MLN","m","k")))</f>
        <v>21.021080527702821</v>
      </c>
      <c r="Y40" s="630"/>
      <c r="Z40" s="488">
        <f>(_xll.BQL(Inputs!$Q22, "EARN_FOR_COMMON(fpr = 2028, fpt = a, ae = e, fa_adjusted = y, fs = mr)")/_xll.BQL(Inputs!$Q22, "EARN_FOR_COMMON(fpr = 2025, fpt = a, ae = e, fa_adjusted = y, fs = mr)"))^(1/3)-1</f>
        <v>4.0501796935237255E-2</v>
      </c>
    </row>
    <row r="41" spans="2:26" ht="15" customHeight="1">
      <c r="B41" s="23" t="str">
        <f>+Inputs!N23</f>
        <v>COCA-COLA CO/THE</v>
      </c>
      <c r="C41" s="23" t="str">
        <f>+_xll.BDP(Inputs!Q23,"TICKER_AND_EXCH_CODE")</f>
        <v>KO US</v>
      </c>
      <c r="D41" s="626" t="str">
        <f>CONCATENATE(_xll.BDP(Inputs!Q23,"CRNCY")," ",_xll.BDP(Inputs!Q23,"PX_YEST_CLOSE"))</f>
        <v>USD 66,78</v>
      </c>
      <c r="E41" s="480">
        <f>_xll.BDP(Inputs!Q23,"PX_YEST_CLOSE")/_xll.BDP(Inputs!Q23,"HIGH_52WEEK")</f>
        <v>0.89782199515998928</v>
      </c>
      <c r="F41" s="627">
        <f>_xll.BDP(Inputs!$Q23, "CUR_MKT_CAP", "SCALING_FORMAT=" &amp; Inputs!$R$18)</f>
        <v>284106593.64078003</v>
      </c>
      <c r="G41" s="627">
        <f>_xll.BDP(Inputs!$Q23, "ENTERPRISE_VALUE", "SCALING_FORMAT=" &amp; Inputs!$R$18)</f>
        <v>339446320</v>
      </c>
      <c r="H41" s="23"/>
      <c r="I41" s="628">
        <f>G41/_xll.BQL(Inputs!$Q23, "sales_rev_turn(fpt = ltm, fa_adjusted = y, fs = mr)/1"&amp;IF(Inputs!$R$18="BLN","b",IF(Inputs!$R$18="MLN","m","k")))</f>
        <v>7.1937930742169289</v>
      </c>
      <c r="J41" s="628">
        <f>G41/_xll.BQL(Inputs!$Q23, "sales_rev_turn(fpr = 2025, fpt = a, ae = e, fa_adjusted = y, fs = mr)/1"&amp;IF(Inputs!$R$18="BLN","b",IF(Inputs!$R$18="MLN","m","k")))</f>
        <v>7.0164314925173787</v>
      </c>
      <c r="K41" s="629">
        <f>G41/_xll.BQL(Inputs!$Q23, "sales_rev_turn(fpr = 2026, fpt = a, ae = e, fa_adjusted = y, fs = mr)/1"&amp;IF(Inputs!$R$18="BLN","b",IF(Inputs!$R$18="MLN","m","k")))</f>
        <v>6.6436302073649287</v>
      </c>
      <c r="L41" s="628">
        <f>G41/_xll.BQL(Inputs!$Q23, "ebitda(fpt = ltm, fa_adjusted = y, fs = mr)/1"&amp;IF(Inputs!$R$18="BLN","b",IF(Inputs!$R$18="MLN","m","k")))</f>
        <v>21.619895723065493</v>
      </c>
      <c r="M41" s="628">
        <f>G41/_xll.BQL(Inputs!$Q23, "ebitda(fpr = 2025, fpt = a, ae = e, fa_adjusted = y, fs = mr)/1"&amp;IF(Inputs!$R$18="BLN","b",IF(Inputs!$R$18="MLN","m","k")))</f>
        <v>20.887229275753793</v>
      </c>
      <c r="N41" s="629">
        <f>G41/_xll.BQL(Inputs!$Q23, "ebitda(fpr = 2026, fpt = a, ae = e, fa_adjusted = y, fs = mr)/1"&amp;IF(Inputs!$R$18="BLN","b",IF(Inputs!$R$18="MLN","m","k")))</f>
        <v>19.567099784795143</v>
      </c>
      <c r="O41" s="628">
        <f>G41/_xll.BQL(Inputs!$Q23, "is_oper_inc(fpt = ltm, fa_adjusted = y, fs = mr)/1"&amp;IF(Inputs!$R$18="BLN","b",IF(Inputs!$R$18="MLN","m","k")))</f>
        <v>23.232807775845778</v>
      </c>
      <c r="P41" s="628">
        <f>G41/_xll.BQL(Inputs!$Q23, "is_oper_inc(fpr = 2025, fpt = a, ae = e, fa_adjusted = y, fs = mr)/1"&amp;IF(Inputs!$R$18="BLN","b",IF(Inputs!$R$18="MLN","m","k")))</f>
        <v>22.439171305049115</v>
      </c>
      <c r="Q41" s="629">
        <f>G41/_xll.BQL(Inputs!$Q23, "is_oper_inc(fpr = 2026, fpt = a, ae = e, fa_adjusted = y, fs = mr)/1"&amp;IF(Inputs!$R$18="BLN","b",IF(Inputs!$R$18="MLN","m","k")))</f>
        <v>20.906342021368637</v>
      </c>
      <c r="R41" s="23"/>
      <c r="S41" s="488">
        <f>_xll.BQL(Inputs!$Q23, "ebitda(fpt = ltm, fa_adjusted = y, fs = mr)/1"&amp;IF(Inputs!$R$18="BLN","b",IF(Inputs!$R$18="MLN","m","k")))/_xll.BQL(Inputs!$Q23, "sales_rev_turn(fpt = ltm, fa_adjusted = y, fs = mr)/1"&amp;IF(Inputs!$R$18="BLN","b",IF(Inputs!$R$18="MLN","m","k")))</f>
        <v>0.33273948988302143</v>
      </c>
      <c r="T41" s="628">
        <f>_xll.BDP(Inputs!$Q23,"TOT_DEBT_TO_EBITDA")</f>
        <v>3.4703818079730491</v>
      </c>
      <c r="U41" s="630"/>
      <c r="V41" s="628">
        <f>F41/_xll.BQL(Inputs!$Q23, "earn_for_common(fpt = ltm, fa_adjusted = y, fs = mr)/1"&amp;IF(Inputs!$R$18="BLN","b",IF(Inputs!$R$18="MLN","m","k")))</f>
        <v>22.585785327989509</v>
      </c>
      <c r="W41" s="628">
        <f>F41/_xll.BQL(Inputs!$Q23, "EARN_FOR_COMMON(fpr = 2025, fpt = a, ae = e, fa_adjusted = y, fs = mr)/1"&amp;IF(Inputs!$R$18="BLN","b",IF(Inputs!$R$18="MLN","m","k")))</f>
        <v>22.124059703536222</v>
      </c>
      <c r="X41" s="628">
        <f>F41/_xll.BQL(Inputs!$Q23, "EARN_FOR_COMMON(fpr = 2026, fpt = a, ae = e, fa_adjusted = y, fs = mr)/1"&amp;IF(Inputs!$R$18="BLN","b",IF(Inputs!$R$18="MLN","m","k")))</f>
        <v>20.688137448316287</v>
      </c>
      <c r="Y41" s="630"/>
      <c r="Z41" s="488">
        <f>(_xll.BQL(Inputs!$Q23, "EARN_FOR_COMMON(fpr = 2028, fpt = a, ae = e, fa_adjusted = y, fs = mr)")/_xll.BQL(Inputs!$Q23, "EARN_FOR_COMMON(fpr = 2025, fpt = a, ae = e, fa_adjusted = y, fs = mr)"))^(1/3)-1</f>
        <v>6.8733018674914437E-2</v>
      </c>
    </row>
    <row r="42" spans="2:26" ht="15" customHeight="1">
      <c r="B42" s="23" t="str">
        <f>+Inputs!N24</f>
        <v>KIMBERLY-CLARK</v>
      </c>
      <c r="C42" s="23" t="str">
        <f>+_xll.BDP(Inputs!Q24,"TICKER_AND_EXCH_CODE")</f>
        <v>KMB US</v>
      </c>
      <c r="D42" s="626" t="str">
        <f>CONCATENATE(_xll.BDP(Inputs!Q24,"CRNCY")," ",_xll.BDP(Inputs!Q24,"PX_YEST_CLOSE"))</f>
        <v>USD 123,23</v>
      </c>
      <c r="E42" s="480">
        <f>_xll.BDP(Inputs!Q24,"PX_YEST_CLOSE")/_xll.BDP(Inputs!Q24,"HIGH_52WEEK")</f>
        <v>0.81907610501827854</v>
      </c>
      <c r="F42" s="627">
        <f>_xll.BDP(Inputs!$Q24, "CUR_MKT_CAP", "SCALING_FORMAT=" &amp; Inputs!$R$18)</f>
        <v>40696127.19507999</v>
      </c>
      <c r="G42" s="627">
        <f>_xll.BDP(Inputs!$Q24, "ENTERPRISE_VALUE", "SCALING_FORMAT=" &amp; Inputs!$R$18)</f>
        <v>49527547.999999993</v>
      </c>
      <c r="H42" s="23"/>
      <c r="I42" s="628">
        <f>G42/_xll.BQL(Inputs!$Q24, "sales_rev_turn(fpt = ltm, fa_adjusted = y, fs = mr)/1"&amp;IF(Inputs!$R$18="BLN","b",IF(Inputs!$R$18="MLN","m","k")))</f>
        <v>2.6228643753640837</v>
      </c>
      <c r="J42" s="628">
        <f>G42/_xll.BQL(Inputs!$Q24, "sales_rev_turn(fpr = 2025, fpt = a, ae = e, fa_adjusted = y, fs = mr)/1"&amp;IF(Inputs!$R$18="BLN","b",IF(Inputs!$R$18="MLN","m","k")))</f>
        <v>2.9946880202517763</v>
      </c>
      <c r="K42" s="629">
        <f>G42/_xll.BQL(Inputs!$Q24, "sales_rev_turn(fpr = 2026, fpt = a, ae = e, fa_adjusted = y, fs = mr)/1"&amp;IF(Inputs!$R$18="BLN","b",IF(Inputs!$R$18="MLN","m","k")))</f>
        <v>2.8799167323857664</v>
      </c>
      <c r="L42" s="628">
        <f>G42/_xll.BQL(Inputs!$Q24, "ebitda(fpt = ltm, fa_adjusted = y, fs = mr)/1"&amp;IF(Inputs!$R$18="BLN","b",IF(Inputs!$R$18="MLN","m","k")))</f>
        <v>10.201348712667352</v>
      </c>
      <c r="M42" s="628">
        <f>G42/_xll.BQL(Inputs!$Q24, "ebitda(fpr = 2025, fpt = a, ae = e, fa_adjusted = y, fs = mr)/1"&amp;IF(Inputs!$R$18="BLN","b",IF(Inputs!$R$18="MLN","m","k")))</f>
        <v>13.877149901933313</v>
      </c>
      <c r="N42" s="629">
        <f>G42/_xll.BQL(Inputs!$Q24, "ebitda(fpr = 2026, fpt = a, ae = e, fa_adjusted = y, fs = mr)/1"&amp;IF(Inputs!$R$18="BLN","b",IF(Inputs!$R$18="MLN","m","k")))</f>
        <v>13.442242735806897</v>
      </c>
      <c r="O42" s="628">
        <f>G42/_xll.BQL(Inputs!$Q24, "is_oper_inc(fpt = ltm, fa_adjusted = y, fs = mr)/1"&amp;IF(Inputs!$R$18="BLN","b",IF(Inputs!$R$18="MLN","m","k")))</f>
        <v>12.360256551035686</v>
      </c>
      <c r="P42" s="628">
        <f>G42/_xll.BQL(Inputs!$Q24, "is_oper_inc(fpr = 2025, fpt = a, ae = e, fa_adjusted = y, fs = mr)/1"&amp;IF(Inputs!$R$18="BLN","b",IF(Inputs!$R$18="MLN","m","k")))</f>
        <v>17.82059573761417</v>
      </c>
      <c r="Q42" s="629">
        <f>G42/_xll.BQL(Inputs!$Q24, "is_oper_inc(fpr = 2026, fpt = a, ae = e, fa_adjusted = y, fs = mr)/1"&amp;IF(Inputs!$R$18="BLN","b",IF(Inputs!$R$18="MLN","m","k")))</f>
        <v>16.820191301915816</v>
      </c>
      <c r="R42" s="23"/>
      <c r="S42" s="488">
        <f>_xll.BQL(Inputs!$Q24, "ebitda(fpt = ltm, fa_adjusted = y, fs = mr)/1"&amp;IF(Inputs!$R$18="BLN","b",IF(Inputs!$R$18="MLN","m","k")))/_xll.BQL(Inputs!$Q24, "sales_rev_turn(fpt = ltm, fa_adjusted = y, fs = mr)/1"&amp;IF(Inputs!$R$18="BLN","b",IF(Inputs!$R$18="MLN","m","k")))</f>
        <v>0.25710956945400626</v>
      </c>
      <c r="T42" s="628">
        <f>_xll.BDP(Inputs!$Q24,"TOT_DEBT_TO_EBITDA")</f>
        <v>1.8514446433137306</v>
      </c>
      <c r="U42" s="630"/>
      <c r="V42" s="628">
        <f>F42/_xll.BQL(Inputs!$Q24, "earn_for_common(fpt = ltm, fa_adjusted = y, fs = mr)/1"&amp;IF(Inputs!$R$18="BLN","b",IF(Inputs!$R$18="MLN","m","k")))</f>
        <v>11.454888830583801</v>
      </c>
      <c r="W42" s="628">
        <f>F42/_xll.BQL(Inputs!$Q24, "EARN_FOR_COMMON(fpr = 2025, fpt = a, ae = e, fa_adjusted = y, fs = mr)/1"&amp;IF(Inputs!$R$18="BLN","b",IF(Inputs!$R$18="MLN","m","k")))</f>
        <v>17.288533444528579</v>
      </c>
      <c r="X42" s="628">
        <f>F42/_xll.BQL(Inputs!$Q24, "EARN_FOR_COMMON(fpr = 2026, fpt = a, ae = e, fa_adjusted = y, fs = mr)/1"&amp;IF(Inputs!$R$18="BLN","b",IF(Inputs!$R$18="MLN","m","k")))</f>
        <v>16.528122755897552</v>
      </c>
      <c r="Y42" s="630"/>
      <c r="Z42" s="488">
        <f>(_xll.BQL(Inputs!$Q24, "EARN_FOR_COMMON(fpr = 2028, fpt = a, ae = e, fa_adjusted = y, fs = mr)")/_xll.BQL(Inputs!$Q24, "EARN_FOR_COMMON(fpr = 2025, fpt = a, ae = e, fa_adjusted = y, fs = mr)"))^(1/3)-1</f>
        <v>5.0721743129666486E-2</v>
      </c>
    </row>
    <row r="43" spans="2:26" ht="15" customHeight="1">
      <c r="B43" s="23" t="str">
        <f>+Inputs!N25</f>
        <v>COLGATE-PALMOLIV</v>
      </c>
      <c r="C43" s="23" t="str">
        <f>+_xll.BDP(Inputs!Q25,"TICKER_AND_EXCH_CODE")</f>
        <v>CL US</v>
      </c>
      <c r="D43" s="626" t="str">
        <f>CONCATENATE(_xll.BDP(Inputs!Q25,"CRNCY")," ",_xll.BDP(Inputs!Q25,"PX_YEST_CLOSE"))</f>
        <v>USD 79,01</v>
      </c>
      <c r="E43" s="480">
        <f>_xll.BDP(Inputs!Q25,"PX_YEST_CLOSE")/_xll.BDP(Inputs!Q25,"HIGH_52WEEK")</f>
        <v>0.77000292369164802</v>
      </c>
      <c r="F43" s="627">
        <f>_xll.BDP(Inputs!$Q25, "CUR_MKT_CAP", "SCALING_FORMAT=" &amp; Inputs!$R$18)</f>
        <v>63461498.393799998</v>
      </c>
      <c r="G43" s="627">
        <f>_xll.BDP(Inputs!$Q25, "ENTERPRISE_VALUE", "SCALING_FORMAT=" &amp; Inputs!$R$18)</f>
        <v>81163272.083500013</v>
      </c>
      <c r="H43" s="23"/>
      <c r="I43" s="628">
        <f>G43/_xll.BQL(Inputs!$Q25, "sales_rev_turn(fpt = ltm, fa_adjusted = y, fs = mr)/1"&amp;IF(Inputs!$R$18="BLN","b",IF(Inputs!$R$18="MLN","m","k")))</f>
        <v>4.0585694611211132</v>
      </c>
      <c r="J43" s="628">
        <f>G43/_xll.BQL(Inputs!$Q25, "sales_rev_turn(fpr = 2025, fpt = a, ae = e, fa_adjusted = y, fs = mr)/1"&amp;IF(Inputs!$R$18="BLN","b",IF(Inputs!$R$18="MLN","m","k")))</f>
        <v>3.9890826651217548</v>
      </c>
      <c r="K43" s="629">
        <f>G43/_xll.BQL(Inputs!$Q25, "sales_rev_turn(fpr = 2026, fpt = a, ae = e, fa_adjusted = y, fs = mr)/1"&amp;IF(Inputs!$R$18="BLN","b",IF(Inputs!$R$18="MLN","m","k")))</f>
        <v>3.8443950080684575</v>
      </c>
      <c r="L43" s="628">
        <f>G43/_xll.BQL(Inputs!$Q25, "ebitda(fpt = ltm, fa_adjusted = y, fs = mr)/1"&amp;IF(Inputs!$R$18="BLN","b",IF(Inputs!$R$18="MLN","m","k")))</f>
        <v>16.337212577194045</v>
      </c>
      <c r="M43" s="628">
        <f>G43/_xll.BQL(Inputs!$Q25, "ebitda(fpr = 2025, fpt = a, ae = e, fa_adjusted = y, fs = mr)/1"&amp;IF(Inputs!$R$18="BLN","b",IF(Inputs!$R$18="MLN","m","k")))</f>
        <v>16.274036967846829</v>
      </c>
      <c r="N43" s="629">
        <f>G43/_xll.BQL(Inputs!$Q25, "ebitda(fpr = 2026, fpt = a, ae = e, fa_adjusted = y, fs = mr)/1"&amp;IF(Inputs!$R$18="BLN","b",IF(Inputs!$R$18="MLN","m","k")))</f>
        <v>15.55814882605651</v>
      </c>
      <c r="O43" s="628">
        <f>G43/_xll.BQL(Inputs!$Q25, "is_oper_inc(fpt = ltm, fa_adjusted = y, fs = mr)/1"&amp;IF(Inputs!$R$18="BLN","b",IF(Inputs!$R$18="MLN","m","k")))</f>
        <v>18.568582036948069</v>
      </c>
      <c r="P43" s="628">
        <f>G43/_xll.BQL(Inputs!$Q25, "is_oper_inc(fpr = 2025, fpt = a, ae = e, fa_adjusted = y, fs = mr)/1"&amp;IF(Inputs!$R$18="BLN","b",IF(Inputs!$R$18="MLN","m","k")))</f>
        <v>18.52072679390999</v>
      </c>
      <c r="Q43" s="629">
        <f>G43/_xll.BQL(Inputs!$Q25, "is_oper_inc(fpr = 2026, fpt = a, ae = e, fa_adjusted = y, fs = mr)/1"&amp;IF(Inputs!$R$18="BLN","b",IF(Inputs!$R$18="MLN","m","k")))</f>
        <v>17.635619844826046</v>
      </c>
      <c r="R43" s="23"/>
      <c r="S43" s="488">
        <f>_xll.BQL(Inputs!$Q25, "ebitda(fpt = ltm, fa_adjusted = y, fs = mr)/1"&amp;IF(Inputs!$R$18="BLN","b",IF(Inputs!$R$18="MLN","m","k")))/_xll.BQL(Inputs!$Q25, "sales_rev_turn(fpt = ltm, fa_adjusted = y, fs = mr)/1"&amp;IF(Inputs!$R$18="BLN","b",IF(Inputs!$R$18="MLN","m","k")))</f>
        <v>0.24842484248424843</v>
      </c>
      <c r="T43" s="628">
        <f>_xll.BDP(Inputs!$Q25,"TOT_DEBT_TO_EBITDA")</f>
        <v>1.7939369111020074</v>
      </c>
      <c r="U43" s="630"/>
      <c r="V43" s="628">
        <f>F43/_xll.BQL(Inputs!$Q25, "earn_for_common(fpt = ltm, fa_adjusted = y, fs = mr)/1"&amp;IF(Inputs!$R$18="BLN","b",IF(Inputs!$R$18="MLN","m","k")))</f>
        <v>21.280808287381376</v>
      </c>
      <c r="W43" s="628">
        <f>F43/_xll.BQL(Inputs!$Q25, "EARN_FOR_COMMON(fpr = 2025, fpt = a, ae = e, fa_adjusted = y, fs = mr)/1"&amp;IF(Inputs!$R$18="BLN","b",IF(Inputs!$R$18="MLN","m","k")))</f>
        <v>21.289412742239172</v>
      </c>
      <c r="X43" s="628">
        <f>F43/_xll.BQL(Inputs!$Q25, "EARN_FOR_COMMON(fpr = 2026, fpt = a, ae = e, fa_adjusted = y, fs = mr)/1"&amp;IF(Inputs!$R$18="BLN","b",IF(Inputs!$R$18="MLN","m","k")))</f>
        <v>20.214602471967297</v>
      </c>
      <c r="Y43" s="630"/>
      <c r="Z43" s="488">
        <f>(_xll.BQL(Inputs!$Q25, "EARN_FOR_COMMON(fpr = 2028, fpt = a, ae = e, fa_adjusted = y, fs = mr)")/_xll.BQL(Inputs!$Q25, "EARN_FOR_COMMON(fpr = 2025, fpt = a, ae = e, fa_adjusted = y, fs = mr)"))^(1/3)-1</f>
        <v>5.9547644772961261E-2</v>
      </c>
    </row>
    <row r="44" spans="2:26" ht="15" customHeight="1">
      <c r="B44" s="23"/>
      <c r="C44" s="23"/>
      <c r="D44" s="23"/>
      <c r="E44" s="23"/>
      <c r="F44" s="23"/>
      <c r="G44" s="23"/>
      <c r="H44" s="23"/>
      <c r="I44" s="23"/>
      <c r="J44" s="23"/>
      <c r="K44" s="643"/>
      <c r="L44" s="23"/>
      <c r="M44" s="23"/>
      <c r="N44" s="630"/>
      <c r="O44" s="23"/>
      <c r="P44" s="23"/>
      <c r="Q44" s="630"/>
      <c r="R44" s="23"/>
      <c r="S44" s="23"/>
      <c r="T44" s="23"/>
      <c r="U44" s="630"/>
      <c r="V44" s="23"/>
      <c r="W44" s="23"/>
      <c r="X44" s="23"/>
      <c r="Y44" s="630"/>
      <c r="Z44" s="23"/>
    </row>
    <row r="45" spans="2:26" ht="15" customHeight="1">
      <c r="B45" s="631" t="s">
        <v>308</v>
      </c>
      <c r="C45" s="632"/>
      <c r="D45" s="632"/>
      <c r="E45" s="632"/>
      <c r="F45" s="632"/>
      <c r="G45" s="632"/>
      <c r="H45" s="632"/>
      <c r="I45" s="633">
        <f>AVERAGE(I39:I43)</f>
        <v>4.2103953452842982</v>
      </c>
      <c r="J45" s="633">
        <f t="shared" ref="J45:K45" si="11">AVERAGE(J39:J43)</f>
        <v>4.2289167107660628</v>
      </c>
      <c r="K45" s="634">
        <f t="shared" si="11"/>
        <v>4.0590660435686612</v>
      </c>
      <c r="L45" s="633">
        <f>AVERAGE(L39:L43)</f>
        <v>15.377072214033911</v>
      </c>
      <c r="M45" s="633">
        <f t="shared" ref="M45:Q45" si="12">AVERAGE(M39:M43)</f>
        <v>16.099334407883497</v>
      </c>
      <c r="N45" s="634">
        <f t="shared" si="12"/>
        <v>15.381589381900989</v>
      </c>
      <c r="O45" s="633">
        <f t="shared" si="12"/>
        <v>17.622270465893362</v>
      </c>
      <c r="P45" s="633">
        <f t="shared" si="12"/>
        <v>18.696762184170289</v>
      </c>
      <c r="Q45" s="634">
        <f t="shared" si="12"/>
        <v>17.715069358296063</v>
      </c>
      <c r="R45" s="632"/>
      <c r="S45" s="635">
        <f>AVERAGE(S39:S43)</f>
        <v>0.26522385202935123</v>
      </c>
      <c r="T45" s="633">
        <f>AVERAGE(T39:T43)</f>
        <v>2.4741257628344915</v>
      </c>
      <c r="U45" s="636"/>
      <c r="V45" s="633">
        <f t="shared" ref="V45:X45" si="13">AVERAGE(V39:V43)</f>
        <v>18.814285799412396</v>
      </c>
      <c r="W45" s="633">
        <f t="shared" si="13"/>
        <v>19.97896582610381</v>
      </c>
      <c r="X45" s="633">
        <f t="shared" si="13"/>
        <v>19.033577902617782</v>
      </c>
      <c r="Y45" s="636"/>
      <c r="Z45" s="644">
        <f>AVERAGE(Z39:Z43)</f>
        <v>5.3283879829221892E-2</v>
      </c>
    </row>
    <row r="46" spans="2:26" ht="15" customHeight="1">
      <c r="B46" s="637" t="s">
        <v>309</v>
      </c>
      <c r="C46" s="638"/>
      <c r="D46" s="638"/>
      <c r="E46" s="638"/>
      <c r="F46" s="638"/>
      <c r="G46" s="638"/>
      <c r="H46" s="638"/>
      <c r="I46" s="639">
        <f>MEDIAN(I39:I43)</f>
        <v>4.0585694611211132</v>
      </c>
      <c r="J46" s="639">
        <f t="shared" ref="J46:K46" si="14">MEDIAN(J39:J43)</f>
        <v>3.9890826651217548</v>
      </c>
      <c r="K46" s="640">
        <f t="shared" si="14"/>
        <v>3.8443950080684575</v>
      </c>
      <c r="L46" s="639">
        <f>MEDIAN(L39:L43)</f>
        <v>15.929448425745333</v>
      </c>
      <c r="M46" s="639">
        <f t="shared" ref="M46:Q46" si="15">MEDIAN(M39:M43)</f>
        <v>16.274036967846829</v>
      </c>
      <c r="N46" s="640">
        <f t="shared" si="15"/>
        <v>15.55814882605651</v>
      </c>
      <c r="O46" s="639">
        <f t="shared" si="15"/>
        <v>18.190706036363636</v>
      </c>
      <c r="P46" s="639">
        <f t="shared" si="15"/>
        <v>18.52072679390999</v>
      </c>
      <c r="Q46" s="640">
        <f t="shared" si="15"/>
        <v>17.635619844826046</v>
      </c>
      <c r="R46" s="638"/>
      <c r="S46" s="641">
        <f t="shared" ref="S46:T46" si="16">MEDIAN(S39:S43)</f>
        <v>0.25710956945400626</v>
      </c>
      <c r="T46" s="639">
        <f t="shared" si="16"/>
        <v>1.8514446433137306</v>
      </c>
      <c r="U46" s="642"/>
      <c r="V46" s="639">
        <f t="shared" ref="V46:X46" si="17">MEDIAN(V39:V43)</f>
        <v>20.828125712378768</v>
      </c>
      <c r="W46" s="639">
        <f t="shared" si="17"/>
        <v>21.289412742239172</v>
      </c>
      <c r="X46" s="639">
        <f t="shared" si="17"/>
        <v>20.214602471967297</v>
      </c>
      <c r="Y46" s="642"/>
      <c r="Z46" s="645">
        <f>MEDIAN(Z39:Z43)</f>
        <v>5.0721743129666486E-2</v>
      </c>
    </row>
    <row r="47" spans="2:26" ht="15" customHeight="1">
      <c r="B47" s="23"/>
      <c r="C47" s="23"/>
      <c r="D47" s="23"/>
      <c r="E47" s="23"/>
      <c r="F47" s="23"/>
      <c r="G47" s="23"/>
      <c r="H47" s="23"/>
      <c r="I47" s="23"/>
      <c r="J47" s="646"/>
      <c r="K47" s="23"/>
      <c r="L47" s="23"/>
      <c r="M47" s="23"/>
      <c r="N47" s="23"/>
      <c r="O47" s="23"/>
      <c r="P47" s="23"/>
      <c r="Q47" s="23"/>
      <c r="R47" s="23"/>
      <c r="S47" s="23"/>
      <c r="T47" s="23"/>
      <c r="U47" s="23"/>
      <c r="V47" s="23"/>
      <c r="W47" s="23"/>
      <c r="X47" s="23"/>
      <c r="Y47" s="23"/>
      <c r="Z47" s="23"/>
    </row>
    <row r="48" spans="2:26" s="571" customFormat="1" ht="15" customHeight="1">
      <c r="B48" s="375" t="s">
        <v>312</v>
      </c>
      <c r="C48" s="32"/>
      <c r="D48" s="32"/>
      <c r="E48" s="32"/>
      <c r="F48" s="32"/>
      <c r="G48" s="32"/>
      <c r="H48" s="32"/>
      <c r="I48" s="32"/>
      <c r="J48" s="647"/>
      <c r="K48" s="32"/>
      <c r="L48" s="32"/>
      <c r="M48" s="32"/>
      <c r="N48" s="32"/>
      <c r="O48" s="32"/>
      <c r="P48" s="32"/>
      <c r="Q48" s="32"/>
      <c r="R48" s="32"/>
      <c r="S48" s="32"/>
      <c r="T48" s="32"/>
      <c r="U48" s="32"/>
      <c r="V48" s="32"/>
      <c r="W48" s="32"/>
      <c r="X48" s="32"/>
      <c r="Y48" s="32"/>
      <c r="Z48" s="32"/>
    </row>
    <row r="49" spans="2:26" ht="3.95" customHeight="1">
      <c r="B49" s="36"/>
      <c r="C49" s="36"/>
      <c r="D49" s="36"/>
      <c r="E49" s="36"/>
      <c r="F49" s="36"/>
      <c r="G49" s="36"/>
      <c r="H49" s="36"/>
      <c r="I49" s="36"/>
      <c r="J49" s="648"/>
      <c r="K49" s="36"/>
      <c r="L49" s="36"/>
      <c r="M49" s="36"/>
      <c r="N49" s="36"/>
      <c r="O49" s="36"/>
      <c r="P49" s="36"/>
      <c r="Q49" s="36"/>
      <c r="R49" s="36"/>
      <c r="S49" s="36"/>
      <c r="T49" s="36"/>
      <c r="U49" s="36"/>
      <c r="V49" s="36"/>
      <c r="W49" s="36"/>
      <c r="X49" s="36"/>
      <c r="Y49" s="36"/>
      <c r="Z49" s="36"/>
    </row>
    <row r="50" spans="2:26" ht="15" customHeight="1">
      <c r="B50" s="23"/>
      <c r="C50" s="23"/>
      <c r="D50" s="23"/>
      <c r="E50" s="23"/>
      <c r="F50" s="23"/>
      <c r="G50" s="23"/>
      <c r="H50" s="23"/>
      <c r="I50" s="23"/>
      <c r="J50" s="646"/>
      <c r="K50" s="23"/>
      <c r="L50" s="23"/>
      <c r="M50" s="23"/>
      <c r="N50" s="23"/>
      <c r="O50" s="23"/>
      <c r="P50" s="23"/>
      <c r="Q50" s="23"/>
      <c r="R50" s="23"/>
      <c r="S50" s="23"/>
      <c r="T50" s="23"/>
      <c r="U50" s="23"/>
      <c r="V50" s="23"/>
      <c r="W50" s="23"/>
      <c r="X50" s="23"/>
      <c r="Y50" s="23"/>
      <c r="Z50" s="23"/>
    </row>
    <row r="51" spans="2:26" ht="15" customHeight="1">
      <c r="B51" s="631" t="s">
        <v>308</v>
      </c>
      <c r="C51" s="632"/>
      <c r="D51" s="632"/>
      <c r="E51" s="632"/>
      <c r="F51" s="632"/>
      <c r="G51" s="632"/>
      <c r="H51" s="632"/>
      <c r="I51" s="633">
        <f>AVERAGE(I39:I43,I27:I32,I15:I19)</f>
        <v>2.5839850045944326</v>
      </c>
      <c r="J51" s="633">
        <f t="shared" ref="J51:Z51" si="18">AVERAGE(J39:J43,J27:J32,J15:J19)</f>
        <v>2.5655034781168373</v>
      </c>
      <c r="K51" s="634">
        <f t="shared" si="18"/>
        <v>2.4757657890005675</v>
      </c>
      <c r="L51" s="633">
        <f t="shared" si="18"/>
        <v>12.484422021435885</v>
      </c>
      <c r="M51" s="633">
        <f t="shared" si="18"/>
        <v>12.416238634599045</v>
      </c>
      <c r="N51" s="634">
        <f t="shared" si="18"/>
        <v>12.17337399733406</v>
      </c>
      <c r="O51" s="633">
        <f t="shared" si="18"/>
        <v>15.578216857364081</v>
      </c>
      <c r="P51" s="633">
        <f t="shared" si="18"/>
        <v>15.59010011928302</v>
      </c>
      <c r="Q51" s="633">
        <f t="shared" si="18"/>
        <v>15.347932148137335</v>
      </c>
      <c r="R51" s="632"/>
      <c r="S51" s="635">
        <f t="shared" si="18"/>
        <v>0.19394154641953218</v>
      </c>
      <c r="T51" s="633">
        <f t="shared" si="18"/>
        <v>2.9301317594564589</v>
      </c>
      <c r="U51" s="636"/>
      <c r="V51" s="633">
        <f t="shared" si="18"/>
        <v>17.003795747525508</v>
      </c>
      <c r="W51" s="633">
        <f t="shared" si="18"/>
        <v>16.795104557807797</v>
      </c>
      <c r="X51" s="633">
        <f t="shared" si="18"/>
        <v>16.567307398507797</v>
      </c>
      <c r="Y51" s="636"/>
      <c r="Z51" s="644">
        <f t="shared" si="18"/>
        <v>4.9379011793067577E-2</v>
      </c>
    </row>
    <row r="52" spans="2:26" ht="15" customHeight="1">
      <c r="B52" s="637" t="s">
        <v>309</v>
      </c>
      <c r="C52" s="638"/>
      <c r="D52" s="638"/>
      <c r="E52" s="638"/>
      <c r="F52" s="638"/>
      <c r="G52" s="638"/>
      <c r="H52" s="638"/>
      <c r="I52" s="639">
        <f>MEDIAN(I39:I43,I27:I31,I15:I19)</f>
        <v>2.4269450862151509</v>
      </c>
      <c r="J52" s="639">
        <f t="shared" ref="J52:Z52" si="19">MEDIAN(J39:J43,J27:J31,J15:J19)</f>
        <v>2.0666918019814093</v>
      </c>
      <c r="K52" s="640">
        <f t="shared" si="19"/>
        <v>2.167738857125292</v>
      </c>
      <c r="L52" s="639">
        <f t="shared" si="19"/>
        <v>12.224794995115804</v>
      </c>
      <c r="M52" s="639">
        <f t="shared" si="19"/>
        <v>12.388635942422901</v>
      </c>
      <c r="N52" s="640">
        <f t="shared" si="19"/>
        <v>11.798410801391345</v>
      </c>
      <c r="O52" s="639">
        <f t="shared" si="19"/>
        <v>15.75899992927364</v>
      </c>
      <c r="P52" s="639">
        <f t="shared" si="19"/>
        <v>15.169674373824728</v>
      </c>
      <c r="Q52" s="639">
        <f t="shared" si="19"/>
        <v>15.567277008844552</v>
      </c>
      <c r="R52" s="638"/>
      <c r="S52" s="641">
        <f t="shared" si="19"/>
        <v>0.1897698042464141</v>
      </c>
      <c r="T52" s="639">
        <f t="shared" si="19"/>
        <v>3.2558149012845061</v>
      </c>
      <c r="U52" s="642"/>
      <c r="V52" s="639">
        <f t="shared" si="19"/>
        <v>16.869825181254992</v>
      </c>
      <c r="W52" s="639">
        <f t="shared" si="19"/>
        <v>17.288533444528579</v>
      </c>
      <c r="X52" s="639">
        <f t="shared" si="19"/>
        <v>16.528122755897552</v>
      </c>
      <c r="Y52" s="642"/>
      <c r="Z52" s="645">
        <f t="shared" si="19"/>
        <v>5.0721743129666486E-2</v>
      </c>
    </row>
    <row r="53" spans="2:26" ht="15" customHeight="1">
      <c r="B53" s="23"/>
      <c r="C53" s="23"/>
      <c r="D53" s="23"/>
      <c r="E53" s="23"/>
      <c r="F53" s="23"/>
      <c r="G53" s="23"/>
      <c r="H53" s="23"/>
      <c r="I53" s="23"/>
      <c r="J53" s="646"/>
      <c r="K53" s="23"/>
      <c r="L53" s="23"/>
      <c r="M53" s="23"/>
      <c r="N53" s="23"/>
      <c r="O53" s="23"/>
      <c r="P53" s="23"/>
      <c r="Q53" s="23"/>
      <c r="R53" s="23"/>
      <c r="S53" s="23"/>
      <c r="T53" s="23"/>
      <c r="U53" s="23"/>
      <c r="V53" s="23"/>
      <c r="W53" s="23"/>
      <c r="X53" s="23"/>
      <c r="Y53" s="23"/>
      <c r="Z53" s="23"/>
    </row>
    <row r="54" spans="2:26" ht="15" customHeight="1">
      <c r="B54" s="631" t="s">
        <v>302</v>
      </c>
      <c r="C54" s="632"/>
      <c r="D54" s="632"/>
      <c r="E54" s="632"/>
      <c r="F54" s="632"/>
      <c r="G54" s="632"/>
      <c r="H54" s="632"/>
      <c r="I54" s="633">
        <f>MAX(I39:I43,I27:I31,I15:I19)</f>
        <v>7.1937930742169289</v>
      </c>
      <c r="J54" s="633">
        <f t="shared" ref="J54:Z54" si="20">MAX(J39:J43,J27:J31,J15:J19)</f>
        <v>7.0164314925173787</v>
      </c>
      <c r="K54" s="634">
        <f t="shared" si="20"/>
        <v>6.6436302073649287</v>
      </c>
      <c r="L54" s="633">
        <f t="shared" si="20"/>
        <v>21.619895723065493</v>
      </c>
      <c r="M54" s="633">
        <f t="shared" si="20"/>
        <v>20.887229275753793</v>
      </c>
      <c r="N54" s="634">
        <f t="shared" si="20"/>
        <v>19.567099784795143</v>
      </c>
      <c r="O54" s="633">
        <f t="shared" si="20"/>
        <v>23.382993434374495</v>
      </c>
      <c r="P54" s="633">
        <f t="shared" si="20"/>
        <v>22.439171305049115</v>
      </c>
      <c r="Q54" s="633">
        <f t="shared" si="20"/>
        <v>20.906342021368637</v>
      </c>
      <c r="R54" s="632">
        <f t="shared" si="20"/>
        <v>0</v>
      </c>
      <c r="S54" s="635">
        <f t="shared" si="20"/>
        <v>0.33273948988302143</v>
      </c>
      <c r="T54" s="633">
        <f t="shared" si="20"/>
        <v>5.5488256174004986</v>
      </c>
      <c r="U54" s="636"/>
      <c r="V54" s="633">
        <f t="shared" si="20"/>
        <v>35.40300362490423</v>
      </c>
      <c r="W54" s="633">
        <f t="shared" si="20"/>
        <v>28.72171649070749</v>
      </c>
      <c r="X54" s="633">
        <f t="shared" si="20"/>
        <v>24.538532964459002</v>
      </c>
      <c r="Y54" s="636"/>
      <c r="Z54" s="644">
        <f t="shared" si="20"/>
        <v>0.19595368666582957</v>
      </c>
    </row>
    <row r="55" spans="2:26" ht="15" customHeight="1">
      <c r="B55" s="637" t="s">
        <v>313</v>
      </c>
      <c r="C55" s="638"/>
      <c r="D55" s="638"/>
      <c r="E55" s="638"/>
      <c r="F55" s="638"/>
      <c r="G55" s="638"/>
      <c r="H55" s="638"/>
      <c r="I55" s="639">
        <f>MIN(I39:I43,I27:I31,I15:I19)</f>
        <v>0.52165330772356233</v>
      </c>
      <c r="J55" s="639">
        <f t="shared" ref="J55:Z55" si="21">MIN(J39:J43,J27:J31,J15:J19)</f>
        <v>0.51578394961146667</v>
      </c>
      <c r="K55" s="640">
        <f t="shared" si="21"/>
        <v>0.50695243749223406</v>
      </c>
      <c r="L55" s="639">
        <f t="shared" si="21"/>
        <v>5.8614561453574927</v>
      </c>
      <c r="M55" s="639">
        <f t="shared" si="21"/>
        <v>6.2465129679466154</v>
      </c>
      <c r="N55" s="640">
        <f t="shared" si="21"/>
        <v>7.2004256040353107</v>
      </c>
      <c r="O55" s="639">
        <f t="shared" si="21"/>
        <v>7.1552061448730839</v>
      </c>
      <c r="P55" s="639">
        <f t="shared" si="21"/>
        <v>7.8773280504532934</v>
      </c>
      <c r="Q55" s="639">
        <f t="shared" si="21"/>
        <v>9.4270059501403356</v>
      </c>
      <c r="R55" s="638">
        <f t="shared" si="21"/>
        <v>0</v>
      </c>
      <c r="S55" s="641">
        <f t="shared" si="21"/>
        <v>6.4640047279577437E-2</v>
      </c>
      <c r="T55" s="639">
        <f t="shared" si="21"/>
        <v>0.19953938486323361</v>
      </c>
      <c r="U55" s="642"/>
      <c r="V55" s="639">
        <f t="shared" si="21"/>
        <v>6.749494444869053</v>
      </c>
      <c r="W55" s="639">
        <f t="shared" si="21"/>
        <v>7.4746590956008232</v>
      </c>
      <c r="X55" s="639">
        <f t="shared" si="21"/>
        <v>8.9169961403196201</v>
      </c>
      <c r="Y55" s="642"/>
      <c r="Z55" s="645">
        <f t="shared" si="21"/>
        <v>-0.13383241137826751</v>
      </c>
    </row>
  </sheetData>
  <mergeCells count="2">
    <mergeCell ref="I7:Q7"/>
    <mergeCell ref="V7:X7"/>
  </mergeCells>
  <conditionalFormatting sqref="I15:I19 I27:I31 I39:I43">
    <cfRule type="colorScale" priority="23">
      <colorScale>
        <cfvo type="min"/>
        <cfvo type="percentile" val="50"/>
        <cfvo type="max"/>
        <color rgb="FF8DEB91"/>
        <color theme="0"/>
        <color theme="4" tint="0.79998168889431442"/>
      </colorScale>
    </cfRule>
  </conditionalFormatting>
  <conditionalFormatting sqref="J15:J19 J27:J31 J39:J43">
    <cfRule type="colorScale" priority="14">
      <colorScale>
        <cfvo type="min"/>
        <cfvo type="percentile" val="50"/>
        <cfvo type="max"/>
        <color rgb="FF8DEB91"/>
        <color theme="0"/>
        <color theme="4" tint="0.79998168889431442"/>
      </colorScale>
    </cfRule>
  </conditionalFormatting>
  <conditionalFormatting sqref="K15:K19 K27:K31 K39:K43">
    <cfRule type="colorScale" priority="13">
      <colorScale>
        <cfvo type="min"/>
        <cfvo type="percentile" val="50"/>
        <cfvo type="max"/>
        <color rgb="FF8DEB91"/>
        <color theme="0"/>
        <color theme="4" tint="0.79998168889431442"/>
      </colorScale>
    </cfRule>
  </conditionalFormatting>
  <conditionalFormatting sqref="L15:L19 L27:L31 L39:L43">
    <cfRule type="colorScale" priority="12">
      <colorScale>
        <cfvo type="min"/>
        <cfvo type="percentile" val="50"/>
        <cfvo type="max"/>
        <color rgb="FF8DEB91"/>
        <color theme="0"/>
        <color theme="4" tint="0.79998168889431442"/>
      </colorScale>
    </cfRule>
  </conditionalFormatting>
  <conditionalFormatting sqref="M15:M19 M27:M31 M39:M43">
    <cfRule type="colorScale" priority="11">
      <colorScale>
        <cfvo type="min"/>
        <cfvo type="percentile" val="50"/>
        <cfvo type="max"/>
        <color rgb="FF8DEB91"/>
        <color theme="0"/>
        <color theme="4" tint="0.79998168889431442"/>
      </colorScale>
    </cfRule>
  </conditionalFormatting>
  <conditionalFormatting sqref="N15:N19 N27:N31 N39:N43">
    <cfRule type="colorScale" priority="10">
      <colorScale>
        <cfvo type="min"/>
        <cfvo type="percentile" val="50"/>
        <cfvo type="max"/>
        <color rgb="FF8DEB91"/>
        <color theme="0"/>
        <color theme="4" tint="0.79998168889431442"/>
      </colorScale>
    </cfRule>
  </conditionalFormatting>
  <conditionalFormatting sqref="O15:O19 O27:O31 O39:O43">
    <cfRule type="colorScale" priority="9">
      <colorScale>
        <cfvo type="min"/>
        <cfvo type="percentile" val="50"/>
        <cfvo type="max"/>
        <color rgb="FF8DEB91"/>
        <color theme="0"/>
        <color theme="4" tint="0.79998168889431442"/>
      </colorScale>
    </cfRule>
  </conditionalFormatting>
  <conditionalFormatting sqref="P15:P19 P27:P31 P39:P43">
    <cfRule type="colorScale" priority="8">
      <colorScale>
        <cfvo type="min"/>
        <cfvo type="percentile" val="50"/>
        <cfvo type="max"/>
        <color rgb="FF8DEB91"/>
        <color theme="0"/>
        <color theme="4" tint="0.79998168889431442"/>
      </colorScale>
    </cfRule>
  </conditionalFormatting>
  <conditionalFormatting sqref="Q15:Q19 Q27:Q31 Q39:Q43">
    <cfRule type="colorScale" priority="7">
      <colorScale>
        <cfvo type="min"/>
        <cfvo type="percentile" val="50"/>
        <cfvo type="max"/>
        <color rgb="FF8DEB91"/>
        <color theme="0"/>
        <color theme="4" tint="0.79998168889431442"/>
      </colorScale>
    </cfRule>
  </conditionalFormatting>
  <conditionalFormatting sqref="S15:S19 S27:S31 S39:S43">
    <cfRule type="colorScale" priority="2">
      <colorScale>
        <cfvo type="min"/>
        <cfvo type="percentile" val="50"/>
        <cfvo type="max"/>
        <color theme="4" tint="0.79998168889431442"/>
        <color theme="0"/>
        <color rgb="FF8DEB91"/>
      </colorScale>
    </cfRule>
  </conditionalFormatting>
  <conditionalFormatting sqref="T15:T19 T27:T31 T39:T43">
    <cfRule type="colorScale" priority="6">
      <colorScale>
        <cfvo type="min"/>
        <cfvo type="percentile" val="50"/>
        <cfvo type="max"/>
        <color rgb="FF8DEB91"/>
        <color theme="0"/>
        <color theme="4" tint="0.79998168889431442"/>
      </colorScale>
    </cfRule>
  </conditionalFormatting>
  <conditionalFormatting sqref="V15:V19 V27:V31 V39:V43">
    <cfRule type="colorScale" priority="5">
      <colorScale>
        <cfvo type="min"/>
        <cfvo type="percentile" val="50"/>
        <cfvo type="max"/>
        <color rgb="FF8DEB91"/>
        <color theme="0"/>
        <color theme="4" tint="0.79998168889431442"/>
      </colorScale>
    </cfRule>
  </conditionalFormatting>
  <conditionalFormatting sqref="W15:W19 W27:W31 W39:W43">
    <cfRule type="colorScale" priority="4">
      <colorScale>
        <cfvo type="min"/>
        <cfvo type="percentile" val="50"/>
        <cfvo type="max"/>
        <color rgb="FF8DEB91"/>
        <color theme="0"/>
        <color theme="4" tint="0.79998168889431442"/>
      </colorScale>
    </cfRule>
  </conditionalFormatting>
  <conditionalFormatting sqref="X15:X19 X27:X31 X39:X43">
    <cfRule type="colorScale" priority="3">
      <colorScale>
        <cfvo type="min"/>
        <cfvo type="percentile" val="50"/>
        <cfvo type="max"/>
        <color rgb="FF8DEB91"/>
        <color theme="0"/>
        <color theme="4" tint="0.79998168889431442"/>
      </colorScale>
    </cfRule>
  </conditionalFormatting>
  <conditionalFormatting sqref="Z15:Z19 Z27:Z31 Z39:Z43">
    <cfRule type="colorScale" priority="1">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49"/>
  <sheetViews>
    <sheetView showGridLines="0" zoomScale="115" zoomScaleNormal="115" workbookViewId="0">
      <selection activeCell="H13" sqref="H13"/>
    </sheetView>
  </sheetViews>
  <sheetFormatPr defaultColWidth="8.875" defaultRowHeight="15" customHeight="1"/>
  <cols>
    <col min="1" max="1" width="2.125" style="570" customWidth="1"/>
    <col min="2" max="2" width="50.625" style="570" customWidth="1"/>
    <col min="3" max="3" width="3.625" style="570" customWidth="1"/>
    <col min="4" max="4" width="11.625" style="570" customWidth="1"/>
    <col min="5" max="5" width="17.625" style="570" customWidth="1"/>
    <col min="6" max="6" width="21.5" style="570" customWidth="1"/>
    <col min="7" max="7" width="20.5" style="570" customWidth="1"/>
    <col min="8" max="8" width="19.375" style="570" customWidth="1"/>
    <col min="9" max="9" width="1.625" style="570" customWidth="1"/>
    <col min="10" max="10" width="9" style="570" customWidth="1"/>
    <col min="11" max="11" width="40.625" style="570" customWidth="1"/>
    <col min="12" max="18" width="9" style="570" customWidth="1"/>
    <col min="19" max="16384" width="8.875" style="570"/>
  </cols>
  <sheetData>
    <row r="1" spans="1:18" s="582" customFormat="1" ht="15" customHeight="1"/>
    <row r="2" spans="1:18" s="582" customFormat="1" ht="15" customHeight="1"/>
    <row r="3" spans="1:18" s="582" customFormat="1" ht="15" customHeight="1"/>
    <row r="4" spans="1:18" s="582" customFormat="1" ht="15" customHeight="1"/>
    <row r="5" spans="1:18" s="568" customFormat="1" ht="3.95" customHeight="1">
      <c r="A5" s="36"/>
      <c r="B5" s="36"/>
      <c r="C5" s="36"/>
      <c r="D5" s="36"/>
      <c r="E5" s="36"/>
      <c r="F5" s="36"/>
      <c r="G5" s="36"/>
      <c r="H5" s="36"/>
      <c r="I5" s="36"/>
      <c r="J5" s="36"/>
      <c r="K5" s="36"/>
      <c r="L5" s="36"/>
      <c r="M5" s="36"/>
      <c r="N5" s="36"/>
      <c r="O5" s="36"/>
      <c r="P5" s="36"/>
      <c r="Q5" s="36"/>
      <c r="R5" s="36"/>
    </row>
    <row r="7" spans="1:18" ht="15" customHeight="1">
      <c r="A7" s="621" t="s">
        <v>33</v>
      </c>
      <c r="B7" s="375" t="s">
        <v>314</v>
      </c>
      <c r="C7" s="32"/>
      <c r="D7" s="32"/>
      <c r="E7" s="32"/>
      <c r="F7" s="32"/>
      <c r="G7" s="32"/>
      <c r="H7" s="32"/>
      <c r="I7" s="32"/>
      <c r="J7" s="649"/>
      <c r="K7" s="375" t="s">
        <v>315</v>
      </c>
      <c r="L7" s="375"/>
      <c r="M7" s="375"/>
      <c r="N7" s="32"/>
      <c r="O7" s="32"/>
      <c r="P7" s="32"/>
      <c r="Q7" s="32"/>
      <c r="R7" s="32"/>
    </row>
    <row r="8" spans="1:18" ht="15" customHeight="1">
      <c r="A8" s="23"/>
      <c r="B8" s="32"/>
      <c r="C8" s="32"/>
      <c r="D8" s="32"/>
      <c r="E8" s="32"/>
      <c r="F8" s="32"/>
      <c r="G8" s="32"/>
      <c r="H8" s="32"/>
      <c r="I8" s="32"/>
      <c r="J8" s="649"/>
      <c r="K8" s="32"/>
      <c r="L8" s="375"/>
      <c r="M8" s="32"/>
      <c r="N8" s="650"/>
      <c r="O8" s="650"/>
      <c r="P8" s="651" t="s">
        <v>316</v>
      </c>
      <c r="Q8" s="650"/>
      <c r="R8" s="650"/>
    </row>
    <row r="9" spans="1:18" ht="15" customHeight="1">
      <c r="A9" s="23"/>
      <c r="B9" s="375"/>
      <c r="C9" s="32"/>
      <c r="D9" s="37">
        <v>2025</v>
      </c>
      <c r="E9" s="37">
        <f>+D9+1</f>
        <v>2026</v>
      </c>
      <c r="F9" s="37">
        <f t="shared" ref="F9:H9" si="0">+E9+1</f>
        <v>2027</v>
      </c>
      <c r="G9" s="37">
        <f t="shared" si="0"/>
        <v>2028</v>
      </c>
      <c r="H9" s="37">
        <f t="shared" si="0"/>
        <v>2029</v>
      </c>
      <c r="I9" s="602"/>
      <c r="J9" s="649"/>
      <c r="K9" s="375"/>
      <c r="L9" s="375"/>
      <c r="M9" s="375" t="s">
        <v>317</v>
      </c>
      <c r="N9" s="37">
        <v>2025</v>
      </c>
      <c r="O9" s="37">
        <f>+N9+1</f>
        <v>2026</v>
      </c>
      <c r="P9" s="37">
        <f t="shared" ref="P9:R9" si="1">+O9+1</f>
        <v>2027</v>
      </c>
      <c r="Q9" s="37">
        <f t="shared" si="1"/>
        <v>2028</v>
      </c>
      <c r="R9" s="37">
        <f t="shared" si="1"/>
        <v>2029</v>
      </c>
    </row>
    <row r="10" spans="1:18" ht="3.95" customHeight="1">
      <c r="A10" s="23"/>
      <c r="B10" s="424"/>
      <c r="C10" s="390"/>
      <c r="D10" s="390"/>
      <c r="E10" s="390"/>
      <c r="F10" s="390"/>
      <c r="G10" s="390"/>
      <c r="H10" s="390"/>
      <c r="I10" s="390"/>
      <c r="J10" s="649"/>
      <c r="K10" s="424"/>
      <c r="L10" s="424"/>
      <c r="M10" s="424"/>
      <c r="N10" s="390"/>
      <c r="O10" s="390"/>
      <c r="P10" s="390"/>
      <c r="Q10" s="390"/>
      <c r="R10" s="390"/>
    </row>
    <row r="11" spans="1:18" ht="3.95" customHeight="1">
      <c r="A11" s="23"/>
      <c r="B11" s="342"/>
      <c r="C11" s="423"/>
      <c r="D11" s="423"/>
      <c r="E11" s="423"/>
      <c r="F11" s="423"/>
      <c r="G11" s="423"/>
      <c r="H11" s="423"/>
      <c r="I11" s="649"/>
      <c r="J11" s="649"/>
      <c r="K11" s="649"/>
      <c r="L11" s="23"/>
      <c r="M11" s="649"/>
      <c r="N11" s="649"/>
      <c r="O11" s="649"/>
      <c r="P11" s="649"/>
      <c r="Q11" s="23"/>
      <c r="R11" s="23"/>
    </row>
    <row r="12" spans="1:18" ht="15" customHeight="1">
      <c r="A12" s="23"/>
      <c r="B12" s="484" t="s">
        <v>318</v>
      </c>
      <c r="C12" s="423"/>
      <c r="D12" s="423"/>
      <c r="E12" s="423"/>
      <c r="F12" s="423"/>
      <c r="G12" s="423"/>
      <c r="H12" s="423"/>
      <c r="I12" s="649"/>
      <c r="J12" s="649"/>
      <c r="K12" s="652" t="str">
        <f>+Segments!B20</f>
        <v>USA</v>
      </c>
      <c r="L12" s="23"/>
      <c r="M12" s="653"/>
      <c r="N12" s="654">
        <f>+Segments!AL20/Segments!AL$21</f>
        <v>0</v>
      </c>
      <c r="O12" s="654">
        <f>+Segments!AN20/Segments!AN$21</f>
        <v>0</v>
      </c>
      <c r="P12" s="654">
        <f>+Segments!AP20/Segments!AP$21</f>
        <v>0</v>
      </c>
      <c r="Q12" s="654">
        <f>+Segments!AR20/Segments!AR$21</f>
        <v>0</v>
      </c>
      <c r="R12" s="654">
        <f>+Segments!AT20/Segments!AT$21</f>
        <v>0</v>
      </c>
    </row>
    <row r="13" spans="1:18" ht="15" customHeight="1">
      <c r="A13" s="23"/>
      <c r="B13" s="655" t="s">
        <v>319</v>
      </c>
      <c r="C13" s="23"/>
      <c r="D13" s="656">
        <f>+Inputs!J13</f>
        <v>5409408.5845800005</v>
      </c>
      <c r="E13" s="656">
        <f>+FCFF!AF99*FCFF!AF31</f>
        <v>29313729.599999998</v>
      </c>
      <c r="F13" s="656">
        <f>+FCFF!AH99*FCFF!AH31</f>
        <v>12819408</v>
      </c>
      <c r="G13" s="656">
        <f>+FCFF!AJ99*FCFF!AJ31</f>
        <v>19345372.800000001</v>
      </c>
      <c r="H13" s="656">
        <f>+FCFF!AL99*FCFF!AL31</f>
        <v>29193508.800000001</v>
      </c>
      <c r="I13" s="23"/>
      <c r="J13" s="649"/>
      <c r="K13" s="652" t="e">
        <f>+Segments!#REF!</f>
        <v>#REF!</v>
      </c>
      <c r="L13" s="23"/>
      <c r="M13" s="653"/>
      <c r="N13" s="654" t="e">
        <f>+Segments!#REF!/Segments!AL$21</f>
        <v>#REF!</v>
      </c>
      <c r="O13" s="654" t="e">
        <f>+Segments!#REF!/Segments!AN$21</f>
        <v>#REF!</v>
      </c>
      <c r="P13" s="654" t="e">
        <f>+Segments!#REF!/Segments!AP$21</f>
        <v>#REF!</v>
      </c>
      <c r="Q13" s="654" t="e">
        <f>+Segments!#REF!/Segments!AR$21</f>
        <v>#REF!</v>
      </c>
      <c r="R13" s="654" t="e">
        <f>+Segments!#REF!/Segments!AT$21</f>
        <v>#REF!</v>
      </c>
    </row>
    <row r="14" spans="1:18" ht="15" customHeight="1">
      <c r="A14" s="23"/>
      <c r="B14" s="657" t="s">
        <v>320</v>
      </c>
      <c r="C14" s="23"/>
      <c r="D14" s="553">
        <f>IFERROR(D13/D35,"")</f>
        <v>1</v>
      </c>
      <c r="E14" s="553">
        <f>IFERROR(E13/E35,"")</f>
        <v>1</v>
      </c>
      <c r="F14" s="553">
        <f>IFERROR(E13/F35,"")</f>
        <v>2.2866679646985255</v>
      </c>
      <c r="G14" s="553">
        <f>IFERROR(F13/G35,"")</f>
        <v>0.66266016853394516</v>
      </c>
      <c r="H14" s="553">
        <f>IFERROR(G13/H35,"")</f>
        <v>0.66266007736623977</v>
      </c>
      <c r="I14" s="480"/>
      <c r="J14" s="480"/>
      <c r="K14" s="652" t="e">
        <f>+Segments!#REF!</f>
        <v>#REF!</v>
      </c>
      <c r="L14" s="23"/>
      <c r="M14" s="653"/>
      <c r="N14" s="654" t="e">
        <f>+Segments!#REF!/Segments!AL$21</f>
        <v>#REF!</v>
      </c>
      <c r="O14" s="654" t="e">
        <f>+Segments!#REF!/Segments!AN$21</f>
        <v>#REF!</v>
      </c>
      <c r="P14" s="654" t="e">
        <f>+Segments!#REF!/Segments!AP$21</f>
        <v>#REF!</v>
      </c>
      <c r="Q14" s="654" t="e">
        <f>+Segments!#REF!/Segments!AR$21</f>
        <v>#REF!</v>
      </c>
      <c r="R14" s="654" t="e">
        <f>+Segments!#REF!/Segments!AT$21</f>
        <v>#REF!</v>
      </c>
    </row>
    <row r="15" spans="1:18" ht="15" customHeight="1">
      <c r="A15" s="23"/>
      <c r="B15" s="481" t="s">
        <v>321</v>
      </c>
      <c r="C15" s="23"/>
      <c r="D15" s="653"/>
      <c r="E15" s="653"/>
      <c r="F15" s="653"/>
      <c r="G15" s="653"/>
      <c r="H15" s="653"/>
      <c r="I15" s="554"/>
      <c r="J15" s="554"/>
      <c r="K15" s="652" t="e">
        <f>+Segments!#REF!</f>
        <v>#REF!</v>
      </c>
      <c r="L15" s="23"/>
      <c r="M15" s="653"/>
      <c r="N15" s="654" t="e">
        <f>+Segments!#REF!/Segments!AL$21</f>
        <v>#REF!</v>
      </c>
      <c r="O15" s="654" t="e">
        <f>+Segments!#REF!/Segments!AN$21</f>
        <v>#REF!</v>
      </c>
      <c r="P15" s="654" t="e">
        <f>+Segments!#REF!/Segments!AP$21</f>
        <v>#REF!</v>
      </c>
      <c r="Q15" s="654" t="e">
        <f>+Segments!#REF!/Segments!AR$21</f>
        <v>#REF!</v>
      </c>
      <c r="R15" s="654" t="e">
        <f>+Segments!#REF!/Segments!AT$21</f>
        <v>#REF!</v>
      </c>
    </row>
    <row r="16" spans="1:18" ht="15" customHeight="1">
      <c r="A16" s="23"/>
      <c r="B16" s="481" t="s">
        <v>19</v>
      </c>
      <c r="C16" s="23"/>
      <c r="D16" s="658">
        <f>+Inputs!M18</f>
        <v>0.70151638984680176</v>
      </c>
      <c r="E16" s="659">
        <f>+D17*(1+(E28/E13)*(1-E32))</f>
        <v>0.70151638984680176</v>
      </c>
      <c r="F16" s="659">
        <f>+E17*(1+(F28/F13)*(1-F32))</f>
        <v>0.70151638984680176</v>
      </c>
      <c r="G16" s="659">
        <f>+F17*(1+(G28/G13)*(1-G32))</f>
        <v>0.70151638984680176</v>
      </c>
      <c r="H16" s="659">
        <f>+G17*(1+(H28/H13)*(1-H32))</f>
        <v>0.70151638984680176</v>
      </c>
      <c r="I16" s="660"/>
      <c r="J16" s="660"/>
      <c r="K16" s="652" t="e">
        <f>+Segments!#REF!</f>
        <v>#REF!</v>
      </c>
      <c r="L16" s="23"/>
      <c r="M16" s="653"/>
      <c r="N16" s="654" t="e">
        <f>+Segments!#REF!/Segments!AL$21</f>
        <v>#REF!</v>
      </c>
      <c r="O16" s="654" t="e">
        <f>+Segments!#REF!/Segments!AN$21</f>
        <v>#REF!</v>
      </c>
      <c r="P16" s="654" t="e">
        <f>+Segments!#REF!/Segments!AP$21</f>
        <v>#REF!</v>
      </c>
      <c r="Q16" s="654" t="e">
        <f>+Segments!#REF!/Segments!AR$21</f>
        <v>#REF!</v>
      </c>
      <c r="R16" s="654" t="e">
        <f>+Segments!#REF!/Segments!AT$21</f>
        <v>#REF!</v>
      </c>
    </row>
    <row r="17" spans="2:18" ht="15" customHeight="1">
      <c r="B17" s="481" t="s">
        <v>322</v>
      </c>
      <c r="C17" s="23"/>
      <c r="D17" s="659">
        <f>+D16/(1+(D28/D13)*(1-D32))</f>
        <v>0.70151638984680176</v>
      </c>
      <c r="E17" s="659">
        <f>+E16/(1+(E28/E13)*(1-E32))</f>
        <v>0.70151638984680176</v>
      </c>
      <c r="F17" s="659">
        <f>+F16/(1+(F28/F13)*(1-F32))</f>
        <v>0.70151638984680176</v>
      </c>
      <c r="G17" s="659">
        <f>+G16/(1+(G28/G13)*(1-G32))</f>
        <v>0.70151638984680176</v>
      </c>
      <c r="H17" s="659">
        <f>+H16/(1+(H28/H13)*(1-H32))</f>
        <v>0.70151638984680176</v>
      </c>
      <c r="I17" s="660"/>
      <c r="J17" s="660"/>
      <c r="K17" s="660"/>
      <c r="L17" s="23"/>
      <c r="M17" s="660"/>
      <c r="N17" s="660"/>
      <c r="O17" s="660"/>
      <c r="P17" s="660"/>
      <c r="Q17" s="23"/>
      <c r="R17" s="23"/>
    </row>
    <row r="18" spans="2:18" ht="15" customHeight="1">
      <c r="B18" s="481" t="s">
        <v>315</v>
      </c>
      <c r="C18" s="23"/>
      <c r="D18" s="661" t="e">
        <f>+N18</f>
        <v>#REF!</v>
      </c>
      <c r="E18" s="661" t="e">
        <f>+O18</f>
        <v>#REF!</v>
      </c>
      <c r="F18" s="661" t="e">
        <f>+P18</f>
        <v>#REF!</v>
      </c>
      <c r="G18" s="661" t="e">
        <f>+Q18</f>
        <v>#REF!</v>
      </c>
      <c r="H18" s="661" t="e">
        <f>+R18</f>
        <v>#REF!</v>
      </c>
      <c r="I18" s="662"/>
      <c r="J18" s="662"/>
      <c r="K18" s="663" t="s">
        <v>317</v>
      </c>
      <c r="L18" s="293"/>
      <c r="M18" s="293"/>
      <c r="N18" s="664" t="e">
        <f>+SUMPRODUCT($M12:$M16,N12:N16)</f>
        <v>#REF!</v>
      </c>
      <c r="O18" s="664" t="e">
        <f>+SUMPRODUCT($M12:$M16,O12:O16)</f>
        <v>#REF!</v>
      </c>
      <c r="P18" s="664" t="e">
        <f>+SUMPRODUCT($M12:$M16,P12:P16)</f>
        <v>#REF!</v>
      </c>
      <c r="Q18" s="664" t="e">
        <f>+SUMPRODUCT($M12:$M16,Q12:Q16)</f>
        <v>#REF!</v>
      </c>
      <c r="R18" s="664" t="e">
        <f>+SUMPRODUCT($M12:$M16,R12:R16)</f>
        <v>#REF!</v>
      </c>
    </row>
    <row r="19" spans="2:18" ht="15" customHeight="1">
      <c r="B19" s="665" t="s">
        <v>323</v>
      </c>
      <c r="C19" s="23"/>
      <c r="D19" s="666" t="str">
        <f>IFERROR(+D15+D16*D18,"")</f>
        <v/>
      </c>
      <c r="E19" s="666" t="str">
        <f>IFERROR(+E15+E16*E18,"")</f>
        <v/>
      </c>
      <c r="F19" s="666" t="str">
        <f>IFERROR(+F15+F16*F18,"")</f>
        <v/>
      </c>
      <c r="G19" s="666" t="str">
        <f>IFERROR(+G15+G16*G18,"")</f>
        <v/>
      </c>
      <c r="H19" s="666" t="str">
        <f>IFERROR(+H15+H16*H18,"")</f>
        <v/>
      </c>
      <c r="I19" s="667"/>
      <c r="J19" s="667"/>
      <c r="K19" s="667"/>
      <c r="L19" s="667"/>
      <c r="M19" s="667"/>
      <c r="N19" s="667"/>
      <c r="O19" s="667"/>
      <c r="P19" s="23"/>
      <c r="Q19" s="23"/>
      <c r="R19" s="23"/>
    </row>
    <row r="20" spans="2:18" ht="15" customHeight="1">
      <c r="B20" s="378"/>
      <c r="C20" s="23"/>
      <c r="D20" s="23"/>
      <c r="E20" s="23"/>
      <c r="F20" s="23"/>
      <c r="G20" s="23"/>
      <c r="H20" s="23"/>
      <c r="I20" s="554"/>
      <c r="J20" s="554"/>
      <c r="K20" s="23"/>
      <c r="L20" s="23"/>
      <c r="M20" s="23"/>
      <c r="N20" s="23"/>
      <c r="O20" s="23"/>
      <c r="P20" s="23"/>
      <c r="Q20" s="23"/>
      <c r="R20" s="23"/>
    </row>
    <row r="21" spans="2:18" ht="15" customHeight="1">
      <c r="B21" s="484" t="s">
        <v>324</v>
      </c>
      <c r="C21" s="23"/>
      <c r="D21" s="23"/>
      <c r="E21" s="23"/>
      <c r="F21" s="23"/>
      <c r="G21" s="23"/>
      <c r="H21" s="23"/>
      <c r="I21" s="23"/>
      <c r="J21" s="23"/>
      <c r="K21" s="375" t="s">
        <v>325</v>
      </c>
      <c r="L21" s="375"/>
      <c r="M21" s="375"/>
      <c r="N21" s="375"/>
      <c r="O21" s="375"/>
      <c r="P21" s="375"/>
      <c r="Q21" s="375"/>
      <c r="R21" s="375"/>
    </row>
    <row r="22" spans="2:18" ht="15" customHeight="1">
      <c r="B22" s="481" t="s">
        <v>326</v>
      </c>
      <c r="C22" s="23"/>
      <c r="D22" s="96">
        <f ca="1">IFERROR(Inputs!J14,0)</f>
        <v>0</v>
      </c>
      <c r="E22" s="24">
        <f ca="1">+D22*(E13/D13)</f>
        <v>0</v>
      </c>
      <c r="F22" s="24">
        <f ca="1">+E22*(F13/E13)</f>
        <v>0</v>
      </c>
      <c r="G22" s="24">
        <f ca="1">+F22*(G13/F13)</f>
        <v>0</v>
      </c>
      <c r="H22" s="24">
        <f ca="1">+G22*(H13/G13)</f>
        <v>0</v>
      </c>
      <c r="I22" s="23"/>
      <c r="J22" s="23"/>
      <c r="K22" s="375"/>
      <c r="L22" s="375"/>
      <c r="M22" s="375"/>
      <c r="N22" s="375"/>
      <c r="O22" s="375"/>
      <c r="P22" s="375"/>
      <c r="Q22" s="375"/>
      <c r="R22" s="375"/>
    </row>
    <row r="23" spans="2:18" ht="15" customHeight="1">
      <c r="B23" s="657" t="s">
        <v>327</v>
      </c>
      <c r="C23" s="23"/>
      <c r="D23" s="480">
        <f ca="1">+D22/D35</f>
        <v>0</v>
      </c>
      <c r="E23" s="480">
        <f ca="1">+E22/E35</f>
        <v>0</v>
      </c>
      <c r="F23" s="480">
        <f ca="1">+F22/F35</f>
        <v>0</v>
      </c>
      <c r="G23" s="480">
        <f ca="1">+G22/G35</f>
        <v>0</v>
      </c>
      <c r="H23" s="480">
        <f ca="1">+H22/H35</f>
        <v>0</v>
      </c>
      <c r="I23" s="23"/>
      <c r="J23" s="23"/>
      <c r="K23" s="375"/>
      <c r="L23" s="375"/>
      <c r="M23" s="375"/>
      <c r="N23" s="375"/>
      <c r="O23" s="375"/>
      <c r="P23" s="375"/>
      <c r="Q23" s="375"/>
      <c r="R23" s="375"/>
    </row>
    <row r="24" spans="2:18" ht="15" customHeight="1">
      <c r="B24" s="481" t="s">
        <v>328</v>
      </c>
      <c r="C24" s="23"/>
      <c r="D24" s="428">
        <f>+IS!AF50</f>
        <v>0</v>
      </c>
      <c r="E24" s="668">
        <f>D24</f>
        <v>0</v>
      </c>
      <c r="F24" s="668">
        <f t="shared" ref="F24:H24" si="2">E24</f>
        <v>0</v>
      </c>
      <c r="G24" s="668">
        <f t="shared" si="2"/>
        <v>0</v>
      </c>
      <c r="H24" s="668">
        <f t="shared" si="2"/>
        <v>0</v>
      </c>
      <c r="I24" s="23"/>
      <c r="J24" s="23"/>
      <c r="K24" s="23"/>
      <c r="L24" s="23"/>
      <c r="M24" s="23"/>
      <c r="N24" s="23"/>
      <c r="O24" s="669"/>
      <c r="P24" s="23"/>
      <c r="Q24" s="23"/>
      <c r="R24" s="23"/>
    </row>
    <row r="25" spans="2:18" ht="15" customHeight="1">
      <c r="B25" s="665" t="s">
        <v>329</v>
      </c>
      <c r="C25" s="23"/>
      <c r="D25" s="666">
        <f ca="1">IFERROR(D24/D22,0)</f>
        <v>0</v>
      </c>
      <c r="E25" s="666">
        <f ca="1">IFERROR(E24/E22,0)</f>
        <v>0</v>
      </c>
      <c r="F25" s="666">
        <f ca="1">IFERROR(F24/F22,0)</f>
        <v>0</v>
      </c>
      <c r="G25" s="666">
        <f ca="1">IFERROR(G24/G22,0)</f>
        <v>0</v>
      </c>
      <c r="H25" s="666">
        <f ca="1">IFERROR(H24/H22,0)</f>
        <v>0</v>
      </c>
      <c r="I25" s="23"/>
      <c r="J25" s="23"/>
      <c r="K25" s="23"/>
      <c r="L25" s="23"/>
      <c r="M25" s="23"/>
      <c r="N25" s="23"/>
      <c r="O25" s="669"/>
      <c r="P25" s="23"/>
      <c r="Q25" s="23"/>
      <c r="R25" s="23"/>
    </row>
    <row r="26" spans="2:18" ht="15" customHeight="1">
      <c r="B26" s="378"/>
      <c r="C26" s="23"/>
      <c r="D26" s="23"/>
      <c r="E26" s="23"/>
      <c r="F26" s="23"/>
      <c r="G26" s="23"/>
      <c r="H26" s="23"/>
      <c r="I26" s="23"/>
      <c r="J26" s="23"/>
      <c r="K26" s="23"/>
      <c r="L26" s="23"/>
      <c r="M26" s="23"/>
      <c r="N26" s="23"/>
      <c r="O26" s="669"/>
      <c r="P26" s="23"/>
      <c r="Q26" s="23"/>
      <c r="R26" s="23"/>
    </row>
    <row r="27" spans="2:18" ht="15" customHeight="1">
      <c r="B27" s="378" t="s">
        <v>330</v>
      </c>
      <c r="C27" s="23"/>
      <c r="D27" s="23"/>
      <c r="E27" s="23"/>
      <c r="F27" s="23"/>
      <c r="G27" s="23"/>
      <c r="H27" s="23"/>
      <c r="I27" s="23"/>
      <c r="J27" s="23"/>
      <c r="K27" s="23"/>
      <c r="L27" s="23"/>
      <c r="M27" s="23"/>
      <c r="N27" s="23"/>
      <c r="O27" s="669"/>
      <c r="P27" s="23"/>
      <c r="Q27" s="23"/>
      <c r="R27" s="23"/>
    </row>
    <row r="28" spans="2:18" ht="15" customHeight="1">
      <c r="B28" s="655" t="s">
        <v>331</v>
      </c>
      <c r="C28" s="618">
        <f>+BS!AF38+BS!AF39+BS!AF44+BS!AF45</f>
        <v>0</v>
      </c>
      <c r="D28" s="670">
        <f>+BS!AI38+BS!AI39+BS!AI44+BS!AI45</f>
        <v>0</v>
      </c>
      <c r="E28" s="671"/>
      <c r="F28" s="671"/>
      <c r="G28" s="671"/>
      <c r="H28" s="671"/>
      <c r="I28" s="23"/>
      <c r="J28" s="23"/>
      <c r="K28" s="23"/>
      <c r="L28" s="23"/>
      <c r="M28" s="23"/>
      <c r="N28" s="23"/>
      <c r="O28" s="669"/>
      <c r="P28" s="23"/>
      <c r="Q28" s="23"/>
      <c r="R28" s="23"/>
    </row>
    <row r="29" spans="2:18" ht="15" customHeight="1">
      <c r="B29" s="657" t="s">
        <v>332</v>
      </c>
      <c r="C29" s="23"/>
      <c r="D29" s="553">
        <f>IFERROR(D28/D35,"")</f>
        <v>0</v>
      </c>
      <c r="E29" s="553">
        <f>IFERROR(E28/E35,"")</f>
        <v>0</v>
      </c>
      <c r="F29" s="553">
        <f>IFERROR(F28/F35,"")</f>
        <v>0</v>
      </c>
      <c r="G29" s="553">
        <f>IFERROR(G28/G35,"")</f>
        <v>0</v>
      </c>
      <c r="H29" s="553">
        <f>IFERROR(H28/H35,"")</f>
        <v>0</v>
      </c>
      <c r="I29" s="669"/>
      <c r="J29" s="669"/>
      <c r="K29" s="669"/>
      <c r="L29" s="669"/>
      <c r="M29" s="669"/>
      <c r="N29" s="669"/>
      <c r="O29" s="23"/>
      <c r="P29" s="23"/>
      <c r="Q29" s="23"/>
      <c r="R29" s="23"/>
    </row>
    <row r="30" spans="2:18" ht="15" customHeight="1">
      <c r="B30" s="481" t="s">
        <v>333</v>
      </c>
      <c r="C30" s="23"/>
      <c r="D30" s="554" t="e">
        <f>+D31-D15</f>
        <v>#DIV/0!</v>
      </c>
      <c r="E30" s="653"/>
      <c r="F30" s="653"/>
      <c r="G30" s="653"/>
      <c r="H30" s="653"/>
      <c r="I30" s="660"/>
      <c r="J30" s="660"/>
      <c r="K30" s="660"/>
      <c r="L30" s="660"/>
      <c r="M30" s="660"/>
      <c r="N30" s="660"/>
      <c r="O30" s="660"/>
      <c r="P30" s="23"/>
      <c r="Q30" s="23"/>
      <c r="R30" s="23"/>
    </row>
    <row r="31" spans="2:18" ht="15" customHeight="1">
      <c r="B31" s="481" t="s">
        <v>334</v>
      </c>
      <c r="C31" s="23"/>
      <c r="D31" s="615" t="e">
        <f>+IS!AI39/WACC!D28</f>
        <v>#DIV/0!</v>
      </c>
      <c r="E31" s="554">
        <f>+E30+E15</f>
        <v>0</v>
      </c>
      <c r="F31" s="554">
        <f>+F30+F15</f>
        <v>0</v>
      </c>
      <c r="G31" s="554">
        <f>+G30+G15</f>
        <v>0</v>
      </c>
      <c r="H31" s="554">
        <f>+H30+H15</f>
        <v>0</v>
      </c>
      <c r="I31" s="660"/>
      <c r="J31" s="660"/>
      <c r="K31" s="660"/>
      <c r="L31" s="660"/>
      <c r="M31" s="660"/>
      <c r="N31" s="660"/>
      <c r="O31" s="660"/>
      <c r="P31" s="23"/>
      <c r="Q31" s="23"/>
      <c r="R31" s="23"/>
    </row>
    <row r="32" spans="2:18" ht="15" customHeight="1">
      <c r="B32" s="481" t="s">
        <v>335</v>
      </c>
      <c r="C32" s="23"/>
      <c r="D32" s="672">
        <f>+FCFF!Z124</f>
        <v>0.27263068083877134</v>
      </c>
      <c r="E32" s="672">
        <f>+FCFF!AF124</f>
        <v>0.26424999999999998</v>
      </c>
      <c r="F32" s="672">
        <f>+FCFF!AH124</f>
        <v>0.26400000000000001</v>
      </c>
      <c r="G32" s="672">
        <f>+FCFF!AJ124</f>
        <v>0.26400000000000001</v>
      </c>
      <c r="H32" s="672">
        <f>+FCFF!AL124</f>
        <v>0.26400000000000001</v>
      </c>
      <c r="I32" s="660"/>
      <c r="J32" s="660"/>
      <c r="K32" s="660"/>
      <c r="L32" s="660"/>
      <c r="M32" s="660"/>
      <c r="N32" s="660"/>
      <c r="O32" s="23"/>
      <c r="P32" s="23"/>
      <c r="Q32" s="23"/>
      <c r="R32" s="23"/>
    </row>
    <row r="33" spans="1:14" ht="15" customHeight="1">
      <c r="A33" s="23"/>
      <c r="B33" s="665" t="s">
        <v>336</v>
      </c>
      <c r="C33" s="23"/>
      <c r="D33" s="666" t="e">
        <f>+D31*(1-D32)</f>
        <v>#DIV/0!</v>
      </c>
      <c r="E33" s="666">
        <f t="shared" ref="E33" si="3">+E31*(1-E32)</f>
        <v>0</v>
      </c>
      <c r="F33" s="666">
        <f>+F31*(1-F32)</f>
        <v>0</v>
      </c>
      <c r="G33" s="666">
        <f>+G31*(1-G32)</f>
        <v>0</v>
      </c>
      <c r="H33" s="666">
        <f>+H31*(1-H32)</f>
        <v>0</v>
      </c>
      <c r="I33" s="660"/>
      <c r="J33" s="660"/>
      <c r="K33" s="660"/>
      <c r="L33" s="660"/>
      <c r="M33" s="660"/>
      <c r="N33" s="660"/>
    </row>
    <row r="34" spans="1:14" ht="15" customHeight="1">
      <c r="A34" s="23"/>
      <c r="B34" s="376"/>
      <c r="C34" s="23"/>
      <c r="D34" s="666"/>
      <c r="E34" s="666"/>
      <c r="F34" s="666"/>
      <c r="G34" s="666"/>
      <c r="H34" s="666"/>
      <c r="I34" s="23"/>
      <c r="J34" s="23"/>
      <c r="K34" s="23"/>
      <c r="L34" s="23"/>
      <c r="M34" s="23"/>
      <c r="N34" s="23"/>
    </row>
    <row r="35" spans="1:14" ht="15" customHeight="1">
      <c r="A35" s="23"/>
      <c r="B35" s="378" t="s">
        <v>337</v>
      </c>
      <c r="C35" s="23"/>
      <c r="D35" s="669">
        <f>+D13+D24+D28</f>
        <v>5409408.5845800005</v>
      </c>
      <c r="E35" s="669">
        <f>+E13+E24+E28</f>
        <v>29313729.599999998</v>
      </c>
      <c r="F35" s="669">
        <f>+F13+F24+F28</f>
        <v>12819408</v>
      </c>
      <c r="G35" s="669">
        <f>+G13+G24+G28</f>
        <v>19345372.800000001</v>
      </c>
      <c r="H35" s="669">
        <f>+H13+H24+H28</f>
        <v>29193508.800000001</v>
      </c>
      <c r="I35" s="23"/>
      <c r="J35" s="23"/>
      <c r="K35" s="23"/>
      <c r="L35" s="23"/>
      <c r="M35" s="23"/>
      <c r="N35" s="23"/>
    </row>
    <row r="36" spans="1:14" ht="15" customHeight="1">
      <c r="A36" s="23"/>
      <c r="B36" s="378"/>
      <c r="C36" s="23"/>
      <c r="D36" s="23"/>
      <c r="E36" s="23"/>
      <c r="F36" s="23"/>
      <c r="G36" s="23"/>
      <c r="H36" s="23"/>
      <c r="I36" s="669"/>
      <c r="J36" s="669"/>
      <c r="K36" s="669"/>
      <c r="L36" s="669"/>
      <c r="M36" s="669"/>
      <c r="N36" s="669"/>
    </row>
    <row r="37" spans="1:14" ht="15" customHeight="1">
      <c r="A37" s="23"/>
      <c r="B37" s="378" t="s">
        <v>338</v>
      </c>
      <c r="C37" s="23"/>
      <c r="D37" s="673">
        <v>0.01</v>
      </c>
      <c r="E37" s="673">
        <v>0</v>
      </c>
      <c r="F37" s="673">
        <v>0</v>
      </c>
      <c r="G37" s="673">
        <v>0</v>
      </c>
      <c r="H37" s="673">
        <v>0</v>
      </c>
      <c r="I37" s="23"/>
      <c r="J37" s="23"/>
      <c r="K37" s="23"/>
      <c r="L37" s="23"/>
      <c r="M37" s="23"/>
      <c r="N37" s="23"/>
    </row>
    <row r="38" spans="1:14" ht="15" customHeight="1">
      <c r="A38" s="23"/>
      <c r="B38" s="378"/>
      <c r="C38" s="23"/>
      <c r="D38" s="23"/>
      <c r="E38" s="23"/>
      <c r="F38" s="23"/>
      <c r="G38" s="23"/>
      <c r="H38" s="23"/>
      <c r="I38" s="660"/>
      <c r="J38" s="660"/>
      <c r="K38" s="660"/>
      <c r="L38" s="660"/>
      <c r="M38" s="660"/>
      <c r="N38" s="660"/>
    </row>
    <row r="39" spans="1:14" ht="15" customHeight="1">
      <c r="A39" s="621" t="s">
        <v>33</v>
      </c>
      <c r="B39" s="674" t="s">
        <v>339</v>
      </c>
      <c r="C39" s="675"/>
      <c r="D39" s="676" t="e">
        <f ca="1">+D19*D14+D25*D23+D33*D29+D37</f>
        <v>#VALUE!</v>
      </c>
      <c r="E39" s="676" t="e">
        <f ca="1">+E19*E14+E25*E23+E33*E29+E37</f>
        <v>#VALUE!</v>
      </c>
      <c r="F39" s="676" t="e">
        <f ca="1">+F19*F14+F25*F23+F33*F29+F37</f>
        <v>#VALUE!</v>
      </c>
      <c r="G39" s="676" t="e">
        <f ca="1">+G19*G14+G25*G23+G33*G29+G37</f>
        <v>#VALUE!</v>
      </c>
      <c r="H39" s="677" t="e">
        <f ca="1">+H19*H14+H25*H23+H33*H29+H37</f>
        <v>#VALUE!</v>
      </c>
      <c r="I39" s="23"/>
      <c r="J39" s="23"/>
      <c r="K39" s="23"/>
      <c r="L39" s="23"/>
      <c r="M39" s="23"/>
      <c r="N39" s="23"/>
    </row>
    <row r="40" spans="1:14" ht="15" customHeight="1">
      <c r="A40" s="23"/>
      <c r="B40" s="23"/>
      <c r="C40" s="23"/>
      <c r="D40" s="23"/>
      <c r="E40" s="23"/>
      <c r="F40" s="23"/>
      <c r="G40" s="23"/>
      <c r="H40" s="23"/>
      <c r="I40" s="678"/>
      <c r="J40" s="678"/>
      <c r="K40" s="678"/>
      <c r="L40" s="678"/>
      <c r="M40" s="678"/>
      <c r="N40" s="678"/>
    </row>
    <row r="41" spans="1:14" ht="15" customHeight="1">
      <c r="A41" s="23"/>
      <c r="B41" s="23" t="s">
        <v>340</v>
      </c>
      <c r="C41" s="23"/>
      <c r="D41" s="24">
        <f>+FCFF!Z126</f>
        <v>756542.77814939711</v>
      </c>
      <c r="E41" s="24">
        <f>+FCFF!AF126</f>
        <v>1320223.5515733997</v>
      </c>
      <c r="F41" s="24">
        <f>+FCFF!AH126</f>
        <v>664583.74953599984</v>
      </c>
      <c r="G41" s="24">
        <f>+FCFF!AJ126</f>
        <v>1124520.7270336002</v>
      </c>
      <c r="H41" s="24">
        <f>+FCFF!AL126</f>
        <v>1880061.9667199999</v>
      </c>
      <c r="I41" s="678"/>
      <c r="J41" s="678"/>
      <c r="K41" s="678"/>
      <c r="L41" s="678"/>
      <c r="M41" s="678"/>
      <c r="N41" s="678"/>
    </row>
    <row r="42" spans="1:14" ht="15" customHeight="1">
      <c r="A42" s="23"/>
      <c r="B42" s="23" t="s">
        <v>341</v>
      </c>
      <c r="C42" s="23"/>
      <c r="D42" s="24">
        <f>+FCFF!Z112+FCFF!Z115</f>
        <v>-225405.13286563678</v>
      </c>
      <c r="E42" s="24">
        <f>+FCFF!AF112+FCFF!AF115</f>
        <v>-475782.98512790713</v>
      </c>
      <c r="F42" s="24">
        <f>+FCFF!AH112+FCFF!AH115</f>
        <v>-280541.3423041919</v>
      </c>
      <c r="G42" s="24">
        <f>+FCFF!AJ112+FCFF!AJ115</f>
        <v>-540943.46970316174</v>
      </c>
      <c r="H42" s="24">
        <f>+FCFF!AL112+FCFF!AL115</f>
        <v>-1017132.52399552</v>
      </c>
      <c r="I42" s="678"/>
      <c r="J42" s="678"/>
      <c r="K42" s="678"/>
      <c r="L42" s="678"/>
      <c r="M42" s="678"/>
      <c r="N42" s="678"/>
    </row>
    <row r="43" spans="1:14" ht="15" customHeight="1">
      <c r="A43" s="23"/>
      <c r="B43" s="23" t="s">
        <v>342</v>
      </c>
      <c r="C43" s="619">
        <f>+BS!AF54</f>
        <v>1797043</v>
      </c>
      <c r="D43" s="24">
        <f>+C43+D41+D42</f>
        <v>2328180.6452837605</v>
      </c>
      <c r="E43" s="24">
        <f t="shared" ref="E43:H43" si="4">+D43+E41+E42</f>
        <v>3172621.2117292527</v>
      </c>
      <c r="F43" s="24">
        <f t="shared" si="4"/>
        <v>3556663.6189610604</v>
      </c>
      <c r="G43" s="24">
        <f t="shared" si="4"/>
        <v>4140240.876291499</v>
      </c>
      <c r="H43" s="24">
        <f t="shared" si="4"/>
        <v>5003170.3190159788</v>
      </c>
      <c r="I43" s="678"/>
      <c r="J43" s="678"/>
      <c r="K43" s="678"/>
      <c r="L43" s="678"/>
      <c r="M43" s="678"/>
      <c r="N43" s="678"/>
    </row>
    <row r="44" spans="1:14" ht="15" customHeight="1">
      <c r="A44" s="23"/>
      <c r="B44" s="23" t="s">
        <v>343</v>
      </c>
      <c r="C44" s="619">
        <f>+C43+C28</f>
        <v>1797043</v>
      </c>
      <c r="D44" s="24">
        <f t="shared" ref="D44:H44" si="5">+D43+D28</f>
        <v>2328180.6452837605</v>
      </c>
      <c r="E44" s="24">
        <f t="shared" si="5"/>
        <v>3172621.2117292527</v>
      </c>
      <c r="F44" s="24">
        <f t="shared" si="5"/>
        <v>3556663.6189610604</v>
      </c>
      <c r="G44" s="24">
        <f t="shared" si="5"/>
        <v>4140240.876291499</v>
      </c>
      <c r="H44" s="24">
        <f t="shared" si="5"/>
        <v>5003170.3190159788</v>
      </c>
      <c r="I44" s="678"/>
      <c r="J44" s="678"/>
      <c r="K44" s="23"/>
      <c r="L44" s="678"/>
      <c r="M44" s="678"/>
      <c r="N44" s="678"/>
    </row>
    <row r="45" spans="1:14" ht="15" customHeight="1">
      <c r="A45" s="621" t="s">
        <v>33</v>
      </c>
      <c r="B45" s="616" t="s">
        <v>238</v>
      </c>
      <c r="C45" s="679"/>
      <c r="D45" s="680">
        <f>+D41/((D44+C44)/2)</f>
        <v>0.36678873350991714</v>
      </c>
      <c r="E45" s="680">
        <f t="shared" ref="E45:H45" si="6">+E41/((E44+D44)/2)</f>
        <v>0.48001130958397886</v>
      </c>
      <c r="F45" s="680">
        <f t="shared" si="6"/>
        <v>0.19751987507053542</v>
      </c>
      <c r="G45" s="680">
        <f t="shared" si="6"/>
        <v>0.29220077440929743</v>
      </c>
      <c r="H45" s="681">
        <f t="shared" si="6"/>
        <v>0.41123863436982316</v>
      </c>
      <c r="I45" s="23"/>
      <c r="J45" s="23"/>
      <c r="K45" s="23"/>
      <c r="L45" s="23"/>
      <c r="M45" s="23"/>
      <c r="N45" s="23"/>
    </row>
    <row r="46" spans="1:14" ht="15" customHeight="1">
      <c r="A46" s="23"/>
      <c r="B46" s="23"/>
      <c r="C46" s="23"/>
      <c r="D46" s="23"/>
      <c r="E46" s="23"/>
      <c r="F46" s="23"/>
      <c r="G46" s="23"/>
      <c r="H46" s="23"/>
      <c r="I46" s="23"/>
      <c r="J46" s="23"/>
      <c r="K46" s="23"/>
      <c r="L46" s="23"/>
      <c r="M46" s="23"/>
      <c r="N46" s="23"/>
    </row>
    <row r="49" spans="23:23" ht="15" customHeight="1">
      <c r="W49" s="23" t="s">
        <v>344</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183"/>
  <sheetViews>
    <sheetView showGridLines="0" topLeftCell="AB16" zoomScale="65" zoomScaleNormal="100" workbookViewId="0">
      <selection activeCell="AJ22" sqref="AJ22"/>
    </sheetView>
  </sheetViews>
  <sheetFormatPr defaultColWidth="9" defaultRowHeight="14.25" customHeight="1" outlineLevelCol="1"/>
  <cols>
    <col min="1" max="1" width="2.125" style="97" customWidth="1"/>
    <col min="2" max="2" width="50.625" style="97" customWidth="1"/>
    <col min="3" max="3" width="3.37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6" width="10.25" style="97" customWidth="1" outlineLevel="1"/>
    <col min="17" max="19" width="9.625" style="97" customWidth="1" outlineLevel="1"/>
    <col min="20" max="20" width="11.625" style="97" customWidth="1"/>
    <col min="21" max="21" width="1.625" style="23" customWidth="1"/>
    <col min="22" max="23" width="9.625" style="97" customWidth="1" outlineLevel="1"/>
    <col min="24" max="24" width="16.625" style="97" customWidth="1" outlineLevel="1"/>
    <col min="25" max="25" width="17.125" style="97" customWidth="1" outlineLevel="1"/>
    <col min="26" max="26" width="15.625" style="97" customWidth="1"/>
    <col min="27" max="27" width="1.625" style="23" customWidth="1"/>
    <col min="28" max="28" width="19.75" style="97" customWidth="1" outlineLevel="1"/>
    <col min="29" max="29" width="18.625" style="97" customWidth="1" outlineLevel="1"/>
    <col min="30" max="30" width="15.75" style="97" customWidth="1" outlineLevel="1"/>
    <col min="31" max="31" width="17.5" style="97" customWidth="1" outlineLevel="1"/>
    <col min="32" max="32" width="17.625" style="97" customWidth="1"/>
    <col min="33" max="33" width="1.625" style="23" customWidth="1"/>
    <col min="34" max="34" width="20.375" style="97" customWidth="1"/>
    <col min="35" max="35" width="1.625" style="23" customWidth="1"/>
    <col min="36" max="36" width="22.125" style="105" customWidth="1"/>
    <col min="37" max="37" width="1.625" style="97" customWidth="1"/>
    <col min="38" max="38" width="16.375" style="97" customWidth="1"/>
    <col min="39" max="39" width="1.625" style="97" customWidth="1"/>
    <col min="40" max="16384" width="9" style="97"/>
  </cols>
  <sheetData>
    <row r="1" spans="1:60" s="582" customFormat="1" ht="15" customHeight="1"/>
    <row r="2" spans="1:60" s="582" customFormat="1" ht="15" customHeight="1"/>
    <row r="3" spans="1:60" s="582" customFormat="1" ht="15" customHeight="1"/>
    <row r="4" spans="1:60" s="582" customFormat="1" ht="15" customHeight="1"/>
    <row r="5" spans="1:60" s="288" customFormat="1" ht="3.95" customHeight="1">
      <c r="C5" s="36"/>
      <c r="I5" s="36"/>
      <c r="O5" s="36"/>
      <c r="U5" s="36"/>
      <c r="AA5" s="36"/>
      <c r="AG5" s="36"/>
      <c r="AI5" s="36"/>
      <c r="AJ5" s="289"/>
    </row>
    <row r="7" spans="1:60" s="41" customFormat="1" ht="15" customHeight="1">
      <c r="A7" s="30" t="s">
        <v>33</v>
      </c>
      <c r="B7" s="161" t="s">
        <v>345</v>
      </c>
      <c r="C7" s="18"/>
      <c r="D7" s="162"/>
      <c r="E7" s="162"/>
      <c r="F7" s="162"/>
      <c r="G7" s="162"/>
      <c r="H7" s="162"/>
      <c r="I7" s="18"/>
      <c r="J7" s="162"/>
      <c r="K7" s="162"/>
      <c r="L7" s="162"/>
      <c r="M7" s="162"/>
      <c r="N7" s="162"/>
      <c r="O7" s="18"/>
      <c r="P7" s="162"/>
      <c r="Q7" s="162"/>
      <c r="R7" s="162"/>
      <c r="S7" s="162"/>
      <c r="T7" s="162"/>
      <c r="U7" s="18"/>
      <c r="V7" s="162"/>
      <c r="W7" s="162"/>
      <c r="X7" s="162"/>
      <c r="Y7" s="162"/>
      <c r="Z7" s="162"/>
      <c r="AA7" s="18"/>
      <c r="AB7" s="162"/>
      <c r="AC7" s="162"/>
      <c r="AD7" s="162"/>
      <c r="AE7" s="162"/>
      <c r="AF7" s="162"/>
      <c r="AG7" s="18"/>
      <c r="AH7" s="162"/>
      <c r="AI7" s="18"/>
      <c r="AJ7" s="163"/>
      <c r="AK7" s="18"/>
      <c r="AL7" s="163"/>
    </row>
    <row r="8" spans="1:60" s="41" customFormat="1" ht="15" customHeight="1">
      <c r="B8" s="164"/>
      <c r="C8" s="18"/>
      <c r="D8" s="743">
        <v>2022</v>
      </c>
      <c r="E8" s="743"/>
      <c r="F8" s="743"/>
      <c r="G8" s="743"/>
      <c r="H8" s="743"/>
      <c r="I8" s="169"/>
      <c r="J8" s="743">
        <f>D8+1</f>
        <v>2023</v>
      </c>
      <c r="K8" s="743"/>
      <c r="L8" s="743"/>
      <c r="M8" s="743"/>
      <c r="N8" s="743"/>
      <c r="O8" s="169"/>
      <c r="P8" s="743">
        <f>J8+1</f>
        <v>2024</v>
      </c>
      <c r="Q8" s="743"/>
      <c r="R8" s="743"/>
      <c r="S8" s="743"/>
      <c r="T8" s="743"/>
      <c r="U8" s="169"/>
      <c r="V8" s="742">
        <f>P8+1</f>
        <v>2025</v>
      </c>
      <c r="W8" s="742"/>
      <c r="X8" s="742"/>
      <c r="Y8" s="742"/>
      <c r="Z8" s="742"/>
      <c r="AA8" s="169"/>
      <c r="AB8" s="742">
        <f>V8+1</f>
        <v>2026</v>
      </c>
      <c r="AC8" s="742"/>
      <c r="AD8" s="742"/>
      <c r="AE8" s="742"/>
      <c r="AF8" s="742"/>
      <c r="AG8" s="171"/>
      <c r="AH8" s="166">
        <f>AB8+1</f>
        <v>2027</v>
      </c>
      <c r="AI8" s="167"/>
      <c r="AJ8" s="166">
        <f>+AH8+1</f>
        <v>2028</v>
      </c>
      <c r="AK8" s="167"/>
      <c r="AL8" s="166">
        <f>+AJ8+1</f>
        <v>2029</v>
      </c>
    </row>
    <row r="9" spans="1:60" s="41" customFormat="1" ht="14.25" customHeight="1">
      <c r="B9" s="164"/>
      <c r="C9" s="18"/>
      <c r="D9" s="168" t="s">
        <v>202</v>
      </c>
      <c r="E9" s="168" t="s">
        <v>203</v>
      </c>
      <c r="F9" s="168" t="s">
        <v>204</v>
      </c>
      <c r="G9" s="168" t="s">
        <v>205</v>
      </c>
      <c r="H9" s="168" t="s">
        <v>206</v>
      </c>
      <c r="I9" s="165"/>
      <c r="J9" s="168" t="s">
        <v>202</v>
      </c>
      <c r="K9" s="168" t="s">
        <v>203</v>
      </c>
      <c r="L9" s="168" t="s">
        <v>204</v>
      </c>
      <c r="M9" s="168" t="s">
        <v>205</v>
      </c>
      <c r="N9" s="168" t="s">
        <v>206</v>
      </c>
      <c r="O9" s="165"/>
      <c r="P9" s="168" t="s">
        <v>202</v>
      </c>
      <c r="Q9" s="168" t="s">
        <v>203</v>
      </c>
      <c r="R9" s="168" t="s">
        <v>204</v>
      </c>
      <c r="S9" s="168" t="s">
        <v>205</v>
      </c>
      <c r="T9" s="168" t="s">
        <v>206</v>
      </c>
      <c r="U9" s="165"/>
      <c r="V9" s="168" t="s">
        <v>202</v>
      </c>
      <c r="W9" s="168" t="s">
        <v>203</v>
      </c>
      <c r="X9" s="168" t="s">
        <v>204</v>
      </c>
      <c r="Y9" s="168" t="s">
        <v>205</v>
      </c>
      <c r="Z9" s="168" t="s">
        <v>206</v>
      </c>
      <c r="AA9" s="165"/>
      <c r="AB9" s="168" t="s">
        <v>202</v>
      </c>
      <c r="AC9" s="168" t="s">
        <v>203</v>
      </c>
      <c r="AD9" s="168" t="s">
        <v>204</v>
      </c>
      <c r="AE9" s="168" t="s">
        <v>205</v>
      </c>
      <c r="AF9" s="168" t="s">
        <v>206</v>
      </c>
      <c r="AG9" s="165"/>
      <c r="AH9" s="168" t="s">
        <v>206</v>
      </c>
      <c r="AI9" s="165"/>
      <c r="AJ9" s="168" t="s">
        <v>206</v>
      </c>
      <c r="AK9" s="165"/>
      <c r="AL9" s="168" t="s">
        <v>206</v>
      </c>
    </row>
    <row r="10" spans="1:60" ht="14.25" customHeight="1">
      <c r="B10" s="690" t="s">
        <v>346</v>
      </c>
    </row>
    <row r="11" spans="1:60" ht="14.25" customHeight="1">
      <c r="B11" t="s">
        <v>347</v>
      </c>
      <c r="D11" s="97">
        <f>0.8*D21</f>
        <v>265363.20000000001</v>
      </c>
      <c r="E11" s="97">
        <f>0.8*E21</f>
        <v>305378.40000000002</v>
      </c>
      <c r="F11" s="97">
        <f>0.8*F21</f>
        <v>381988</v>
      </c>
      <c r="G11" s="97">
        <f>0.8*G21</f>
        <v>474371.2</v>
      </c>
      <c r="H11" s="97">
        <f>SUM(D11:G11)</f>
        <v>1427100.8</v>
      </c>
      <c r="J11" s="97">
        <f>J21*0.8</f>
        <v>526675.20000000007</v>
      </c>
      <c r="K11" s="97">
        <f t="shared" ref="K11:M11" si="0">K21*0.8</f>
        <v>641360</v>
      </c>
      <c r="L11" s="97">
        <f t="shared" si="0"/>
        <v>797994.4</v>
      </c>
      <c r="M11" s="97">
        <f t="shared" si="0"/>
        <v>550944</v>
      </c>
      <c r="N11" s="97">
        <f>SUM(J11:M11)</f>
        <v>2516973.6</v>
      </c>
      <c r="P11" s="97">
        <f>P21*0.8</f>
        <v>367475.20000000001</v>
      </c>
      <c r="Q11" s="97">
        <f t="shared" ref="Q11:S11" si="1">Q21*0.8</f>
        <v>418587.2</v>
      </c>
      <c r="R11" s="97">
        <f t="shared" si="1"/>
        <v>562460.80000000005</v>
      </c>
      <c r="S11" s="97">
        <f t="shared" si="1"/>
        <v>512631.2</v>
      </c>
      <c r="T11" s="97">
        <f>SUM(P11:S11)</f>
        <v>1861154.4000000001</v>
      </c>
      <c r="V11" s="97">
        <f>0.8*V21</f>
        <v>628696.80000000005</v>
      </c>
      <c r="W11" s="97">
        <f>0.8*W21</f>
        <v>763736.8</v>
      </c>
      <c r="X11" s="97">
        <f t="shared" ref="X11:Y11" si="2">0.8*X21</f>
        <v>864088.8</v>
      </c>
      <c r="Y11" s="97">
        <f t="shared" si="2"/>
        <v>938206.4</v>
      </c>
      <c r="Z11" s="97">
        <f>SUM(V11:Y11)</f>
        <v>3194728.8000000003</v>
      </c>
      <c r="AB11" s="97">
        <f>0.8*AB31</f>
        <v>1039861.6000000001</v>
      </c>
      <c r="AC11" s="97">
        <f t="shared" ref="AC11:AE11" si="3">0.8*AC31</f>
        <v>1152532</v>
      </c>
      <c r="AD11" s="97">
        <f t="shared" si="3"/>
        <v>1277409.6000000001</v>
      </c>
      <c r="AE11" s="97">
        <f t="shared" si="3"/>
        <v>1415818.4000000001</v>
      </c>
      <c r="AF11" s="97">
        <f>SUM(AB11:AE11)</f>
        <v>4885621.6000000006</v>
      </c>
      <c r="AH11" s="97">
        <f>0.8*AH21</f>
        <v>2136568</v>
      </c>
      <c r="AI11" s="97"/>
      <c r="AJ11" s="97">
        <f t="shared" ref="AJ11:AL11" si="4">0.8*AJ21</f>
        <v>3224228.8000000003</v>
      </c>
      <c r="AL11" s="97">
        <f t="shared" si="4"/>
        <v>4865584.8</v>
      </c>
    </row>
    <row r="12" spans="1:60" ht="14.25" customHeight="1">
      <c r="B12" t="s">
        <v>348</v>
      </c>
      <c r="D12" s="97">
        <f>0.1*D21</f>
        <v>33170.400000000001</v>
      </c>
      <c r="E12" s="97">
        <f t="shared" ref="E12:G12" si="5">0.1*E21</f>
        <v>38172.300000000003</v>
      </c>
      <c r="F12" s="97">
        <f t="shared" si="5"/>
        <v>47748.5</v>
      </c>
      <c r="G12" s="97">
        <f t="shared" si="5"/>
        <v>59296.4</v>
      </c>
      <c r="H12" s="97">
        <f t="shared" ref="H12:H16" si="6">SUM(D12:G12)</f>
        <v>178387.6</v>
      </c>
      <c r="J12" s="97">
        <f>J21*0.1</f>
        <v>65834.400000000009</v>
      </c>
      <c r="K12" s="97">
        <f t="shared" ref="K12:M12" si="7">K21*0.1</f>
        <v>80170</v>
      </c>
      <c r="L12" s="97">
        <f t="shared" si="7"/>
        <v>99749.3</v>
      </c>
      <c r="M12" s="97">
        <f t="shared" si="7"/>
        <v>68868</v>
      </c>
      <c r="N12" s="97">
        <f t="shared" ref="N12:N16" si="8">SUM(J12:M12)</f>
        <v>314621.7</v>
      </c>
      <c r="P12" s="97">
        <f>P21*0.1</f>
        <v>45934.400000000001</v>
      </c>
      <c r="Q12" s="97">
        <f t="shared" ref="Q12:S12" si="9">Q21*0.1</f>
        <v>52323.4</v>
      </c>
      <c r="R12" s="97">
        <f t="shared" si="9"/>
        <v>70307.600000000006</v>
      </c>
      <c r="S12" s="97">
        <f t="shared" si="9"/>
        <v>64078.9</v>
      </c>
      <c r="T12" s="97">
        <f t="shared" ref="T12:T16" si="10">SUM(P12:S12)</f>
        <v>232644.30000000002</v>
      </c>
      <c r="V12" s="97">
        <f>0.1*V21</f>
        <v>78587.100000000006</v>
      </c>
      <c r="W12" s="97">
        <f>0.1*W21</f>
        <v>95467.1</v>
      </c>
      <c r="X12" s="97">
        <f t="shared" ref="X12:Y12" si="11">0.1*X21</f>
        <v>108011.1</v>
      </c>
      <c r="Y12" s="97">
        <f t="shared" si="11"/>
        <v>117275.8</v>
      </c>
      <c r="Z12" s="97">
        <f t="shared" ref="Z12:Z14" si="12">SUM(V12:Y12)</f>
        <v>399341.10000000003</v>
      </c>
      <c r="AB12" s="97">
        <f>0.1*AB31</f>
        <v>129982.70000000001</v>
      </c>
      <c r="AC12" s="97">
        <f t="shared" ref="AC12:AE12" si="13">0.1*AC31</f>
        <v>144066.5</v>
      </c>
      <c r="AD12" s="97">
        <f t="shared" si="13"/>
        <v>159676.20000000001</v>
      </c>
      <c r="AE12" s="97">
        <f t="shared" si="13"/>
        <v>176977.30000000002</v>
      </c>
      <c r="AF12" s="97">
        <f t="shared" ref="AF12" si="14">SUM(AB12:AE12)</f>
        <v>610702.70000000007</v>
      </c>
      <c r="AH12" s="97">
        <f>0.1*AH21</f>
        <v>267071</v>
      </c>
      <c r="AI12" s="97"/>
      <c r="AJ12" s="97">
        <f t="shared" ref="AJ12:AL12" si="15">0.1*AJ21</f>
        <v>403028.60000000003</v>
      </c>
      <c r="AL12" s="97">
        <f t="shared" si="15"/>
        <v>608198.1</v>
      </c>
    </row>
    <row r="13" spans="1:60" ht="14.25" customHeight="1">
      <c r="B13" s="97" t="s">
        <v>349</v>
      </c>
      <c r="D13" s="97">
        <f>0.07*D21</f>
        <v>23219.280000000002</v>
      </c>
      <c r="E13" s="97">
        <f t="shared" ref="E13:G13" si="16">0.07*E21</f>
        <v>26720.610000000004</v>
      </c>
      <c r="F13" s="97">
        <f t="shared" si="16"/>
        <v>33423.950000000004</v>
      </c>
      <c r="G13" s="97">
        <f t="shared" si="16"/>
        <v>41507.480000000003</v>
      </c>
      <c r="H13" s="97">
        <f t="shared" si="6"/>
        <v>124871.32</v>
      </c>
      <c r="J13" s="97">
        <f>0.07*J21</f>
        <v>46084.08</v>
      </c>
      <c r="K13" s="97">
        <f t="shared" ref="K13:M13" si="17">0.07*K21</f>
        <v>56119.000000000007</v>
      </c>
      <c r="L13" s="97">
        <f t="shared" si="17"/>
        <v>69824.510000000009</v>
      </c>
      <c r="M13" s="97">
        <f t="shared" si="17"/>
        <v>48207.600000000006</v>
      </c>
      <c r="N13" s="97">
        <f t="shared" si="8"/>
        <v>220235.19000000003</v>
      </c>
      <c r="P13" s="97">
        <f>P21*0.07</f>
        <v>32154.080000000002</v>
      </c>
      <c r="Q13" s="97">
        <f t="shared" ref="Q13:S13" si="18">Q21*0.07</f>
        <v>36626.380000000005</v>
      </c>
      <c r="R13" s="97">
        <f t="shared" si="18"/>
        <v>49215.320000000007</v>
      </c>
      <c r="S13" s="97">
        <f t="shared" si="18"/>
        <v>44855.23</v>
      </c>
      <c r="T13" s="97">
        <f t="shared" si="10"/>
        <v>162851.01</v>
      </c>
      <c r="V13" s="97">
        <f>0.07*V21</f>
        <v>55010.970000000008</v>
      </c>
      <c r="W13" s="97">
        <f>0.07*W21</f>
        <v>66826.97</v>
      </c>
      <c r="X13" s="97">
        <f t="shared" ref="X13:Y13" si="19">0.07*X21</f>
        <v>75607.77</v>
      </c>
      <c r="Y13" s="97">
        <f t="shared" si="19"/>
        <v>82093.060000000012</v>
      </c>
      <c r="Z13" s="97">
        <f t="shared" si="12"/>
        <v>279538.77</v>
      </c>
      <c r="AB13" s="97">
        <f>0.07*AB31</f>
        <v>90987.890000000014</v>
      </c>
      <c r="AC13" s="97">
        <f t="shared" ref="AC13:AE13" si="20">0.07*AC31</f>
        <v>100846.55</v>
      </c>
      <c r="AD13" s="97">
        <f t="shared" si="20"/>
        <v>111773.34000000001</v>
      </c>
      <c r="AE13" s="97">
        <f t="shared" si="20"/>
        <v>123884.11000000002</v>
      </c>
      <c r="AF13" s="97">
        <f>SUM(AB13:AE13)</f>
        <v>427491.89</v>
      </c>
      <c r="AH13" s="97">
        <f>0.07*AH31</f>
        <v>186949.7</v>
      </c>
      <c r="AI13" s="97"/>
      <c r="AJ13" s="97">
        <f t="shared" ref="AJ13:AL13" si="21">0.07*AJ31</f>
        <v>282120.02</v>
      </c>
      <c r="AL13" s="97">
        <f t="shared" si="21"/>
        <v>425738.67000000004</v>
      </c>
    </row>
    <row r="14" spans="1:60" ht="14.25" customHeight="1">
      <c r="B14" s="97" t="s">
        <v>350</v>
      </c>
      <c r="D14" s="97">
        <f>0.03*D21</f>
        <v>9951.119999999999</v>
      </c>
      <c r="E14" s="97">
        <f t="shared" ref="E14:G14" si="22">0.03*E21</f>
        <v>11451.689999999999</v>
      </c>
      <c r="F14" s="97">
        <f t="shared" si="22"/>
        <v>14324.55</v>
      </c>
      <c r="G14" s="97">
        <f t="shared" si="22"/>
        <v>17788.919999999998</v>
      </c>
      <c r="H14" s="97">
        <f t="shared" si="6"/>
        <v>53516.28</v>
      </c>
      <c r="J14" s="97">
        <f>0.03*J21</f>
        <v>19750.32</v>
      </c>
      <c r="K14" s="97">
        <f t="shared" ref="K14:M14" si="23">0.03*K21</f>
        <v>24051</v>
      </c>
      <c r="L14" s="97">
        <f t="shared" si="23"/>
        <v>29924.789999999997</v>
      </c>
      <c r="M14" s="97">
        <f t="shared" si="23"/>
        <v>20660.399999999998</v>
      </c>
      <c r="N14" s="97">
        <f t="shared" si="8"/>
        <v>94386.51</v>
      </c>
      <c r="P14" s="97">
        <f>P21*0.03</f>
        <v>13780.32</v>
      </c>
      <c r="Q14" s="97">
        <f t="shared" ref="Q14:S14" si="24">Q21*0.03</f>
        <v>15697.019999999999</v>
      </c>
      <c r="R14" s="97">
        <f t="shared" si="24"/>
        <v>21092.28</v>
      </c>
      <c r="S14" s="97">
        <f t="shared" si="24"/>
        <v>19223.669999999998</v>
      </c>
      <c r="T14" s="97">
        <f t="shared" si="10"/>
        <v>69793.289999999994</v>
      </c>
      <c r="V14" s="97">
        <f>0.03*V21</f>
        <v>23576.129999999997</v>
      </c>
      <c r="W14" s="97">
        <f>0.03*W21</f>
        <v>28640.129999999997</v>
      </c>
      <c r="X14" s="97">
        <f t="shared" ref="X14:Y14" si="25">0.03*X21</f>
        <v>32403.329999999998</v>
      </c>
      <c r="Y14" s="97">
        <f t="shared" si="25"/>
        <v>35182.74</v>
      </c>
      <c r="Z14" s="97">
        <f t="shared" si="12"/>
        <v>119802.32999999999</v>
      </c>
      <c r="AB14" s="97">
        <f>0.03*AB31</f>
        <v>38994.81</v>
      </c>
      <c r="AC14" s="97">
        <f t="shared" ref="AC14:AE14" si="26">0.03*AC31</f>
        <v>43219.95</v>
      </c>
      <c r="AD14" s="97">
        <f t="shared" si="26"/>
        <v>47902.86</v>
      </c>
      <c r="AE14" s="97">
        <f t="shared" si="26"/>
        <v>53093.189999999995</v>
      </c>
      <c r="AF14" s="97">
        <f>SUM(AB14:AE14)</f>
        <v>183210.81</v>
      </c>
      <c r="AH14" s="97">
        <f>0.03*AH31</f>
        <v>80121.3</v>
      </c>
      <c r="AI14" s="97"/>
      <c r="AJ14" s="97">
        <f t="shared" ref="AJ14:AL14" si="27">0.03*AJ31</f>
        <v>120908.58</v>
      </c>
      <c r="AL14" s="97">
        <f t="shared" si="27"/>
        <v>182459.43</v>
      </c>
    </row>
    <row r="15" spans="1:60" ht="14.25" customHeight="1">
      <c r="B15" s="97" t="s">
        <v>351</v>
      </c>
      <c r="D15" s="97">
        <v>3.31</v>
      </c>
      <c r="E15" s="97">
        <f>D15+0.01</f>
        <v>3.32</v>
      </c>
      <c r="F15" s="97">
        <f t="shared" ref="F15:G15" si="28">E15+0.01</f>
        <v>3.3299999999999996</v>
      </c>
      <c r="G15" s="97">
        <f t="shared" si="28"/>
        <v>3.3399999999999994</v>
      </c>
      <c r="H15" s="97">
        <f>AVERAGE(D15:G15)</f>
        <v>3.3249999999999997</v>
      </c>
      <c r="J15" s="97">
        <v>3</v>
      </c>
      <c r="K15" s="97">
        <v>3</v>
      </c>
      <c r="L15" s="97">
        <v>3</v>
      </c>
      <c r="M15" s="97">
        <v>3</v>
      </c>
      <c r="N15" s="97">
        <v>3</v>
      </c>
      <c r="P15" s="97">
        <v>1.2410000000000001</v>
      </c>
      <c r="Q15" s="97">
        <f>1.73</f>
        <v>1.73</v>
      </c>
      <c r="R15" s="97">
        <f t="shared" ref="R15" si="29">Q15+0.01</f>
        <v>1.74</v>
      </c>
      <c r="S15" s="97">
        <f>2.13</f>
        <v>2.13</v>
      </c>
      <c r="T15" s="97">
        <f>AVERAGE(P15:S15)</f>
        <v>1.71025</v>
      </c>
      <c r="V15" s="97">
        <v>2.5</v>
      </c>
      <c r="W15" s="97">
        <v>2.74</v>
      </c>
      <c r="X15" s="97">
        <f t="shared" ref="X15:Y15" si="30">W15+0.01</f>
        <v>2.75</v>
      </c>
      <c r="Y15" s="97">
        <f t="shared" si="30"/>
        <v>2.76</v>
      </c>
      <c r="Z15" s="97">
        <f>AVERAGE(V15:Y15)</f>
        <v>2.6875</v>
      </c>
      <c r="AB15" s="97">
        <v>3.47</v>
      </c>
      <c r="AC15" s="97">
        <f>AB15+0.01</f>
        <v>3.48</v>
      </c>
      <c r="AD15" s="97">
        <f t="shared" ref="AD15" si="31">AC15+0.01</f>
        <v>3.4899999999999998</v>
      </c>
      <c r="AE15" s="97">
        <f>AD15+0.01</f>
        <v>3.4999999999999996</v>
      </c>
      <c r="AF15" s="97">
        <f>AVERAGE(AB15:AE15)</f>
        <v>3.4849999999999999</v>
      </c>
      <c r="AH15" s="97">
        <v>3.5</v>
      </c>
      <c r="AJ15" s="105">
        <v>3.52</v>
      </c>
      <c r="AL15" s="97">
        <v>3.53</v>
      </c>
      <c r="AS15" s="613">
        <v>2022</v>
      </c>
      <c r="AT15" s="613">
        <f>+AS15+1</f>
        <v>2023</v>
      </c>
      <c r="AU15" s="613">
        <f t="shared" ref="AU15:AZ15" si="32">+AT15+1</f>
        <v>2024</v>
      </c>
      <c r="AV15" s="614">
        <f t="shared" si="32"/>
        <v>2025</v>
      </c>
      <c r="AW15" s="614">
        <f t="shared" si="32"/>
        <v>2026</v>
      </c>
      <c r="AX15" s="614">
        <f t="shared" si="32"/>
        <v>2027</v>
      </c>
      <c r="AY15" s="614">
        <f t="shared" si="32"/>
        <v>2028</v>
      </c>
      <c r="AZ15" s="614">
        <f t="shared" si="32"/>
        <v>2029</v>
      </c>
    </row>
    <row r="16" spans="1:60" ht="14.25" customHeight="1">
      <c r="B16" s="97" t="s">
        <v>352</v>
      </c>
      <c r="D16" s="97">
        <f>D21/D15</f>
        <v>100212.68882175226</v>
      </c>
      <c r="E16" s="97">
        <f t="shared" ref="E16:G16" si="33">E21/E15</f>
        <v>114976.80722891567</v>
      </c>
      <c r="F16" s="97">
        <f t="shared" si="33"/>
        <v>143388.88888888891</v>
      </c>
      <c r="G16" s="97">
        <f t="shared" si="33"/>
        <v>177534.13173652696</v>
      </c>
      <c r="H16" s="97">
        <f t="shared" si="6"/>
        <v>536112.51667608379</v>
      </c>
      <c r="J16" s="97">
        <f>J21/J15</f>
        <v>219448</v>
      </c>
      <c r="K16" s="97">
        <f t="shared" ref="K16:M16" si="34">K21/K15</f>
        <v>267233.33333333331</v>
      </c>
      <c r="L16" s="97">
        <f t="shared" si="34"/>
        <v>332497.66666666669</v>
      </c>
      <c r="M16" s="97">
        <f t="shared" si="34"/>
        <v>229560</v>
      </c>
      <c r="N16" s="97">
        <f t="shared" si="8"/>
        <v>1048739</v>
      </c>
      <c r="P16" s="97">
        <f>P21/P15</f>
        <v>370140.20950846089</v>
      </c>
      <c r="Q16" s="97">
        <f t="shared" ref="Q16:S16" si="35">Q21/Q15</f>
        <v>302447.39884393063</v>
      </c>
      <c r="R16" s="97">
        <f t="shared" si="35"/>
        <v>404066.66666666669</v>
      </c>
      <c r="S16" s="97">
        <f t="shared" si="35"/>
        <v>300839.90610328643</v>
      </c>
      <c r="T16" s="97">
        <f t="shared" si="10"/>
        <v>1377494.1811223447</v>
      </c>
      <c r="V16" s="97">
        <f>V21/V15</f>
        <v>314348.40000000002</v>
      </c>
      <c r="W16" s="97">
        <f t="shared" ref="W16:Z16" si="36">W21/W15</f>
        <v>348420.07299270068</v>
      </c>
      <c r="X16" s="97">
        <f t="shared" si="36"/>
        <v>392767.63636363635</v>
      </c>
      <c r="Y16" s="97">
        <f t="shared" si="36"/>
        <v>424912.31884057977</v>
      </c>
      <c r="Z16" s="97">
        <f t="shared" si="36"/>
        <v>1485920.3720930233</v>
      </c>
      <c r="AB16" s="97">
        <f>AB21/AB15</f>
        <v>374589.91354466858</v>
      </c>
      <c r="AC16" s="97">
        <f t="shared" ref="AC16:AD16" si="37">AC21/AC15</f>
        <v>413984.19540229888</v>
      </c>
      <c r="AD16" s="97">
        <f t="shared" si="37"/>
        <v>457524.92836676224</v>
      </c>
      <c r="AE16" s="97">
        <f>AE21/AE15</f>
        <v>505649.42857142864</v>
      </c>
      <c r="AF16" s="97">
        <f>SUM(AB16:AE16)</f>
        <v>1751748.4658851582</v>
      </c>
      <c r="AH16" s="97">
        <f>AH21/AH15</f>
        <v>763060</v>
      </c>
      <c r="AI16" s="97"/>
      <c r="AJ16" s="97">
        <f>AJ21/AJ15</f>
        <v>1144967.6136363635</v>
      </c>
      <c r="AL16" s="97">
        <f>AL21/AL15</f>
        <v>1722940.7932011331</v>
      </c>
      <c r="AR16" s="97" t="s">
        <v>297</v>
      </c>
      <c r="AS16" s="312">
        <f>H61+H128</f>
        <v>206823</v>
      </c>
      <c r="AT16" s="312">
        <f>N61+N128</f>
        <v>1036484</v>
      </c>
      <c r="AU16" s="312">
        <f>T61+T128</f>
        <v>369187</v>
      </c>
      <c r="AV16" s="312">
        <f>Z61+Z128</f>
        <v>1092074.3495999998</v>
      </c>
      <c r="AW16" s="312">
        <f>AF61+AF128</f>
        <v>1806517.1097999997</v>
      </c>
      <c r="AX16" s="312">
        <f>AH61+AH128</f>
        <v>902967.05099999974</v>
      </c>
      <c r="AY16" s="312">
        <f>AJ61+AJ128</f>
        <v>1527881.4226000002</v>
      </c>
      <c r="AZ16" s="312">
        <f>AL61+AL128</f>
        <v>2554432.02</v>
      </c>
      <c r="BA16" s="312"/>
      <c r="BB16" s="312"/>
      <c r="BC16" s="312"/>
      <c r="BD16" s="312"/>
      <c r="BE16" s="312"/>
      <c r="BF16" s="312"/>
      <c r="BG16" s="312"/>
      <c r="BH16" s="312"/>
    </row>
    <row r="17" spans="1:55" ht="14.25" customHeight="1">
      <c r="AR17" s="97" t="s">
        <v>353</v>
      </c>
      <c r="AS17" s="312">
        <f>H136</f>
        <v>39775.180297316459</v>
      </c>
      <c r="AT17" s="312">
        <f>N136</f>
        <v>678007.88197625044</v>
      </c>
      <c r="AU17" s="312">
        <f>T136</f>
        <v>261220.52071674616</v>
      </c>
      <c r="AV17" s="312">
        <f>Z136</f>
        <v>603404.827501636</v>
      </c>
      <c r="AW17" s="312">
        <f>AF136</f>
        <v>852341.63996390405</v>
      </c>
      <c r="AX17" s="312">
        <f>AH136</f>
        <v>720299.52004898724</v>
      </c>
      <c r="AY17" s="312">
        <f>AJ136</f>
        <v>805391.58041962842</v>
      </c>
      <c r="AZ17" s="312">
        <f>AL136</f>
        <v>1406181.5502423388</v>
      </c>
    </row>
    <row r="18" spans="1:55" ht="14.25" customHeight="1">
      <c r="AR18" s="97" t="s">
        <v>354</v>
      </c>
      <c r="AS18" s="328">
        <f>H32</f>
        <v>0.31740261396143921</v>
      </c>
      <c r="AT18" s="328">
        <f>N32</f>
        <v>0.77036325956203133</v>
      </c>
      <c r="AU18" s="328">
        <f>T32</f>
        <v>-0.26055863279614855</v>
      </c>
      <c r="AV18" s="328">
        <f>Z32</f>
        <v>0.71653077251409125</v>
      </c>
      <c r="AW18" s="328">
        <f>AF32</f>
        <v>0.52927584964332497</v>
      </c>
      <c r="AX18" s="328">
        <f>AH32</f>
        <v>-0.56268246398779631</v>
      </c>
      <c r="AY18" s="328">
        <f>+AJ32</f>
        <v>0.50906912394082471</v>
      </c>
      <c r="AZ18" s="328">
        <f>+AL32</f>
        <v>0.50906933155612277</v>
      </c>
      <c r="BC18" s="312"/>
    </row>
    <row r="21" spans="1:55" s="41" customFormat="1" ht="15" customHeight="1">
      <c r="B21" s="526" t="s">
        <v>355</v>
      </c>
      <c r="C21" s="527"/>
      <c r="D21" s="529">
        <f>D31</f>
        <v>331704</v>
      </c>
      <c r="E21" s="529">
        <f t="shared" ref="E21:G21" si="38">E31</f>
        <v>381723</v>
      </c>
      <c r="F21" s="529">
        <f t="shared" si="38"/>
        <v>477485</v>
      </c>
      <c r="G21" s="529">
        <f t="shared" si="38"/>
        <v>592964</v>
      </c>
      <c r="H21" s="529">
        <f>H31</f>
        <v>1777159</v>
      </c>
      <c r="I21" s="527"/>
      <c r="J21" s="529">
        <f>J31</f>
        <v>658344</v>
      </c>
      <c r="K21" s="529">
        <f t="shared" ref="K21:M21" si="39">K31</f>
        <v>801700</v>
      </c>
      <c r="L21" s="529">
        <f t="shared" si="39"/>
        <v>997493</v>
      </c>
      <c r="M21" s="529">
        <f t="shared" si="39"/>
        <v>688680</v>
      </c>
      <c r="N21" s="529">
        <f>N31</f>
        <v>3146217</v>
      </c>
      <c r="O21" s="527"/>
      <c r="P21" s="529">
        <f>P31</f>
        <v>459344</v>
      </c>
      <c r="Q21" s="529">
        <f>Q31</f>
        <v>523234</v>
      </c>
      <c r="R21" s="529">
        <f t="shared" ref="R21:S21" si="40">R31</f>
        <v>703076</v>
      </c>
      <c r="S21" s="529">
        <f t="shared" si="40"/>
        <v>640789</v>
      </c>
      <c r="T21" s="529">
        <f>T31</f>
        <v>2326443</v>
      </c>
      <c r="U21" s="528"/>
      <c r="V21" s="691">
        <v>785871</v>
      </c>
      <c r="W21" s="529">
        <f>W31</f>
        <v>954671</v>
      </c>
      <c r="X21" s="692">
        <f>1080111</f>
        <v>1080111</v>
      </c>
      <c r="Y21" s="529">
        <v>1172758</v>
      </c>
      <c r="Z21" s="529">
        <f>Z31</f>
        <v>3993411</v>
      </c>
      <c r="AA21" s="530"/>
      <c r="AB21" s="529">
        <v>1299827</v>
      </c>
      <c r="AC21" s="529">
        <v>1440665</v>
      </c>
      <c r="AD21" s="529">
        <v>1596762</v>
      </c>
      <c r="AE21" s="529">
        <f>1769773</f>
        <v>1769773</v>
      </c>
      <c r="AF21" s="529">
        <f>AF31</f>
        <v>6107027</v>
      </c>
      <c r="AG21" s="530"/>
      <c r="AH21" s="529">
        <v>2670710</v>
      </c>
      <c r="AI21" s="530"/>
      <c r="AJ21" s="529">
        <v>4030286</v>
      </c>
      <c r="AK21" s="530"/>
      <c r="AL21" s="529">
        <v>6081981</v>
      </c>
      <c r="AM21" s="531"/>
    </row>
    <row r="22" spans="1:55" s="41" customFormat="1" ht="15" customHeight="1">
      <c r="C22" s="17"/>
      <c r="I22" s="17"/>
      <c r="O22" s="17"/>
      <c r="U22" s="17"/>
      <c r="AA22" s="17"/>
      <c r="AG22" s="17"/>
      <c r="AI22" s="17"/>
      <c r="AJ22" s="42"/>
      <c r="AK22" s="17"/>
      <c r="AL22" s="42"/>
    </row>
    <row r="23" spans="1:55" s="41" customFormat="1" ht="15" customHeight="1">
      <c r="A23" s="30" t="s">
        <v>33</v>
      </c>
      <c r="B23" s="161" t="s">
        <v>356</v>
      </c>
      <c r="C23" s="18"/>
      <c r="D23" s="162"/>
      <c r="E23" s="162"/>
      <c r="F23" s="162"/>
      <c r="G23" s="162"/>
      <c r="H23" s="162"/>
      <c r="I23" s="18"/>
      <c r="J23" s="162"/>
      <c r="K23" s="162"/>
      <c r="L23" s="162"/>
      <c r="M23" s="162"/>
      <c r="N23" s="162"/>
      <c r="O23" s="18"/>
      <c r="P23" s="162"/>
      <c r="Q23" s="162"/>
      <c r="R23" s="162"/>
      <c r="S23" s="162"/>
      <c r="T23" s="162"/>
      <c r="U23" s="18"/>
      <c r="V23" s="162"/>
      <c r="W23" s="162"/>
      <c r="X23" s="162"/>
      <c r="Y23" s="162"/>
      <c r="Z23" s="162"/>
      <c r="AA23" s="18"/>
      <c r="AB23" s="162"/>
      <c r="AC23" s="162"/>
      <c r="AD23" s="162"/>
      <c r="AE23" s="162"/>
      <c r="AF23" s="162"/>
      <c r="AG23" s="18"/>
      <c r="AH23" s="162"/>
      <c r="AI23" s="18"/>
      <c r="AJ23" s="163"/>
      <c r="AK23" s="18"/>
      <c r="AL23" s="163"/>
      <c r="AM23" s="163"/>
    </row>
    <row r="24" spans="1:55" s="41" customFormat="1" ht="15" customHeight="1">
      <c r="B24" s="164"/>
      <c r="C24" s="18"/>
      <c r="D24" s="743">
        <f>D$8</f>
        <v>2022</v>
      </c>
      <c r="E24" s="743">
        <f>F24</f>
        <v>0</v>
      </c>
      <c r="F24" s="743">
        <f>F$8</f>
        <v>0</v>
      </c>
      <c r="G24" s="743">
        <f>F24</f>
        <v>0</v>
      </c>
      <c r="H24" s="743">
        <f>F24</f>
        <v>0</v>
      </c>
      <c r="I24" s="169"/>
      <c r="J24" s="743">
        <f>J$8</f>
        <v>2023</v>
      </c>
      <c r="K24" s="743">
        <f>L24</f>
        <v>0</v>
      </c>
      <c r="L24" s="743">
        <f>L$8</f>
        <v>0</v>
      </c>
      <c r="M24" s="743">
        <f>L24</f>
        <v>0</v>
      </c>
      <c r="N24" s="743">
        <f>L24</f>
        <v>0</v>
      </c>
      <c r="O24" s="169"/>
      <c r="P24" s="743">
        <f>P$8</f>
        <v>2024</v>
      </c>
      <c r="Q24" s="743">
        <f>R24</f>
        <v>0</v>
      </c>
      <c r="R24" s="743">
        <f>R$8</f>
        <v>0</v>
      </c>
      <c r="S24" s="743">
        <f>R24</f>
        <v>0</v>
      </c>
      <c r="T24" s="743">
        <f>R24</f>
        <v>0</v>
      </c>
      <c r="U24" s="169"/>
      <c r="V24" s="742">
        <f>V$8</f>
        <v>2025</v>
      </c>
      <c r="W24" s="742">
        <f>X24</f>
        <v>0</v>
      </c>
      <c r="X24" s="742">
        <f>X$8</f>
        <v>0</v>
      </c>
      <c r="Y24" s="742">
        <f>X24</f>
        <v>0</v>
      </c>
      <c r="Z24" s="742">
        <f>X24</f>
        <v>0</v>
      </c>
      <c r="AA24" s="169"/>
      <c r="AB24" s="742">
        <f>AB$8</f>
        <v>2026</v>
      </c>
      <c r="AC24" s="742">
        <f>AD24</f>
        <v>0</v>
      </c>
      <c r="AD24" s="742">
        <f>AD$8</f>
        <v>0</v>
      </c>
      <c r="AE24" s="742">
        <f>AD24</f>
        <v>0</v>
      </c>
      <c r="AF24" s="742">
        <f>AD24</f>
        <v>0</v>
      </c>
      <c r="AG24" s="171"/>
      <c r="AH24" s="166">
        <f>AH$8</f>
        <v>2027</v>
      </c>
      <c r="AI24" s="167"/>
      <c r="AJ24" s="166">
        <f>AJ$8</f>
        <v>2028</v>
      </c>
      <c r="AK24" s="167"/>
      <c r="AL24" s="166">
        <f>AL$8</f>
        <v>2029</v>
      </c>
      <c r="AM24" s="163">
        <f>AN24</f>
        <v>0</v>
      </c>
    </row>
    <row r="25" spans="1:55" s="41" customFormat="1" ht="14.25" customHeight="1">
      <c r="B25" s="164"/>
      <c r="C25" s="18"/>
      <c r="D25" s="168" t="s">
        <v>202</v>
      </c>
      <c r="E25" s="168" t="s">
        <v>203</v>
      </c>
      <c r="F25" s="168" t="s">
        <v>204</v>
      </c>
      <c r="G25" s="168" t="s">
        <v>205</v>
      </c>
      <c r="H25" s="168" t="s">
        <v>206</v>
      </c>
      <c r="I25" s="165"/>
      <c r="J25" s="168" t="s">
        <v>202</v>
      </c>
      <c r="K25" s="168" t="s">
        <v>203</v>
      </c>
      <c r="L25" s="168" t="s">
        <v>204</v>
      </c>
      <c r="M25" s="168" t="s">
        <v>205</v>
      </c>
      <c r="N25" s="168" t="s">
        <v>206</v>
      </c>
      <c r="O25" s="165"/>
      <c r="P25" s="168" t="s">
        <v>202</v>
      </c>
      <c r="Q25" s="168" t="s">
        <v>203</v>
      </c>
      <c r="R25" s="168" t="s">
        <v>204</v>
      </c>
      <c r="S25" s="168" t="s">
        <v>205</v>
      </c>
      <c r="T25" s="168" t="s">
        <v>206</v>
      </c>
      <c r="U25" s="165"/>
      <c r="V25" s="168" t="s">
        <v>202</v>
      </c>
      <c r="W25" s="168" t="s">
        <v>203</v>
      </c>
      <c r="X25" s="168" t="s">
        <v>204</v>
      </c>
      <c r="Y25" s="168" t="s">
        <v>205</v>
      </c>
      <c r="Z25" s="168" t="s">
        <v>206</v>
      </c>
      <c r="AA25" s="165"/>
      <c r="AB25" s="168" t="s">
        <v>202</v>
      </c>
      <c r="AC25" s="168" t="s">
        <v>203</v>
      </c>
      <c r="AD25" s="168" t="s">
        <v>204</v>
      </c>
      <c r="AE25" s="168" t="s">
        <v>205</v>
      </c>
      <c r="AF25" s="168" t="s">
        <v>206</v>
      </c>
      <c r="AG25" s="165"/>
      <c r="AH25" s="168" t="s">
        <v>206</v>
      </c>
      <c r="AI25" s="165"/>
      <c r="AJ25" s="168" t="s">
        <v>206</v>
      </c>
      <c r="AK25" s="165"/>
      <c r="AL25" s="168" t="s">
        <v>206</v>
      </c>
      <c r="AM25" s="163"/>
    </row>
    <row r="26" spans="1:55" s="41" customFormat="1" ht="3.95" customHeight="1">
      <c r="A26" s="43"/>
      <c r="B26" s="176"/>
      <c r="C26" s="35"/>
      <c r="D26" s="177"/>
      <c r="E26" s="177"/>
      <c r="F26" s="177"/>
      <c r="G26" s="177"/>
      <c r="H26" s="177"/>
      <c r="I26" s="178"/>
      <c r="J26" s="177"/>
      <c r="K26" s="177"/>
      <c r="L26" s="177"/>
      <c r="M26" s="177"/>
      <c r="N26" s="177"/>
      <c r="O26" s="178"/>
      <c r="P26" s="177"/>
      <c r="Q26" s="177"/>
      <c r="R26" s="177"/>
      <c r="S26" s="177"/>
      <c r="T26" s="177"/>
      <c r="U26" s="178"/>
      <c r="V26" s="177"/>
      <c r="W26" s="177"/>
      <c r="X26" s="177"/>
      <c r="Y26" s="177"/>
      <c r="Z26" s="179"/>
      <c r="AA26" s="180"/>
      <c r="AB26" s="179"/>
      <c r="AC26" s="179"/>
      <c r="AD26" s="179"/>
      <c r="AE26" s="179"/>
      <c r="AF26" s="179"/>
      <c r="AG26" s="180"/>
      <c r="AH26" s="179"/>
      <c r="AI26" s="180"/>
      <c r="AJ26" s="179"/>
      <c r="AK26" s="180"/>
      <c r="AL26" s="179"/>
      <c r="AM26" s="179"/>
    </row>
    <row r="27" spans="1:55" s="54" customFormat="1" ht="3.95" customHeight="1">
      <c r="A27" s="44"/>
      <c r="B27" s="45"/>
      <c r="C27" s="23"/>
      <c r="D27" s="66"/>
      <c r="E27" s="66"/>
      <c r="F27" s="66"/>
      <c r="G27" s="66"/>
      <c r="H27" s="57"/>
      <c r="I27" s="57"/>
      <c r="J27" s="66"/>
      <c r="K27" s="66"/>
      <c r="L27" s="66"/>
      <c r="M27" s="66"/>
      <c r="N27" s="57"/>
      <c r="O27" s="57"/>
      <c r="P27" s="66"/>
      <c r="Q27" s="66"/>
      <c r="R27" s="66"/>
      <c r="S27" s="66"/>
      <c r="T27" s="57"/>
      <c r="U27" s="71"/>
      <c r="V27" s="66"/>
      <c r="W27" s="66"/>
      <c r="X27" s="68"/>
      <c r="Y27" s="68"/>
      <c r="Z27" s="57"/>
      <c r="AA27" s="71"/>
      <c r="AB27" s="68"/>
      <c r="AC27" s="68"/>
      <c r="AD27" s="68"/>
      <c r="AE27" s="68"/>
      <c r="AF27" s="57"/>
      <c r="AG27" s="71"/>
      <c r="AH27" s="58"/>
      <c r="AI27" s="72"/>
      <c r="AJ27" s="58"/>
    </row>
    <row r="28" spans="1:55" s="54" customFormat="1" ht="14.25" customHeight="1">
      <c r="A28" s="44"/>
      <c r="B28" s="161" t="s">
        <v>357</v>
      </c>
      <c r="C28" s="186"/>
      <c r="D28" s="187"/>
      <c r="E28" s="187"/>
      <c r="F28" s="187"/>
      <c r="G28" s="187"/>
      <c r="H28" s="188"/>
      <c r="I28" s="188"/>
      <c r="J28" s="187"/>
      <c r="K28" s="187"/>
      <c r="L28" s="187"/>
      <c r="M28" s="187"/>
      <c r="N28" s="188"/>
      <c r="O28" s="188"/>
      <c r="P28" s="187"/>
      <c r="Q28" s="187"/>
      <c r="R28" s="187"/>
      <c r="S28" s="187"/>
      <c r="T28" s="188"/>
      <c r="U28" s="189"/>
      <c r="V28" s="187"/>
      <c r="W28" s="187"/>
      <c r="X28" s="190"/>
      <c r="Y28" s="190"/>
      <c r="Z28" s="188"/>
      <c r="AA28" s="189"/>
      <c r="AB28" s="190"/>
      <c r="AC28" s="190"/>
      <c r="AD28" s="190"/>
      <c r="AE28" s="190"/>
      <c r="AF28" s="188"/>
      <c r="AG28" s="189"/>
      <c r="AH28" s="191"/>
      <c r="AI28" s="192"/>
      <c r="AJ28" s="191"/>
      <c r="AK28" s="193"/>
      <c r="AL28" s="193"/>
      <c r="AM28" s="193"/>
    </row>
    <row r="29" spans="1:55" s="54" customFormat="1" ht="3.95" customHeight="1">
      <c r="A29" s="44"/>
      <c r="B29" s="194"/>
      <c r="C29" s="36"/>
      <c r="D29" s="195"/>
      <c r="E29" s="195"/>
      <c r="F29" s="195"/>
      <c r="G29" s="195"/>
      <c r="H29" s="196"/>
      <c r="I29" s="196"/>
      <c r="J29" s="195"/>
      <c r="K29" s="195"/>
      <c r="L29" s="195"/>
      <c r="M29" s="195"/>
      <c r="N29" s="196"/>
      <c r="O29" s="196"/>
      <c r="P29" s="195"/>
      <c r="Q29" s="195"/>
      <c r="R29" s="195"/>
      <c r="S29" s="195"/>
      <c r="T29" s="196"/>
      <c r="U29" s="197"/>
      <c r="V29" s="195"/>
      <c r="W29" s="195"/>
      <c r="X29" s="198"/>
      <c r="Y29" s="198"/>
      <c r="Z29" s="196"/>
      <c r="AA29" s="197"/>
      <c r="AB29" s="198"/>
      <c r="AC29" s="198"/>
      <c r="AD29" s="198"/>
      <c r="AE29" s="198"/>
      <c r="AF29" s="196"/>
      <c r="AG29" s="197"/>
      <c r="AH29" s="199"/>
      <c r="AI29" s="200"/>
      <c r="AJ29" s="199"/>
      <c r="AK29" s="201"/>
      <c r="AL29" s="201"/>
      <c r="AM29" s="201"/>
    </row>
    <row r="30" spans="1:55" s="54" customFormat="1" ht="3.95" customHeight="1">
      <c r="A30" s="44"/>
      <c r="B30" s="45"/>
      <c r="C30" s="23"/>
      <c r="D30" s="66"/>
      <c r="E30" s="66"/>
      <c r="F30" s="66"/>
      <c r="G30" s="66"/>
      <c r="H30" s="57"/>
      <c r="I30" s="57"/>
      <c r="J30" s="66"/>
      <c r="K30" s="66"/>
      <c r="L30" s="66"/>
      <c r="M30" s="66"/>
      <c r="N30" s="57"/>
      <c r="O30" s="57"/>
      <c r="P30" s="66"/>
      <c r="Q30" s="66"/>
      <c r="R30" s="66"/>
      <c r="S30" s="66"/>
      <c r="T30" s="57"/>
      <c r="U30" s="49"/>
      <c r="V30" s="66"/>
      <c r="W30" s="66"/>
      <c r="X30" s="68"/>
      <c r="Y30" s="68"/>
      <c r="Z30" s="57"/>
      <c r="AA30" s="71"/>
      <c r="AB30" s="68"/>
      <c r="AC30" s="68"/>
      <c r="AD30" s="68"/>
      <c r="AE30" s="68"/>
      <c r="AF30" s="57"/>
      <c r="AG30" s="71"/>
      <c r="AH30" s="58"/>
      <c r="AI30" s="72"/>
      <c r="AJ30" s="58"/>
    </row>
    <row r="31" spans="1:55" s="54" customFormat="1" ht="14.25" customHeight="1">
      <c r="A31" s="44"/>
      <c r="B31" s="28" t="s">
        <v>355</v>
      </c>
      <c r="C31" s="23"/>
      <c r="D31" s="50">
        <f>IS!P18</f>
        <v>331704</v>
      </c>
      <c r="E31" s="50">
        <f>IS!Q18</f>
        <v>381723</v>
      </c>
      <c r="F31" s="50">
        <f>IS!R18</f>
        <v>477485</v>
      </c>
      <c r="G31" s="50">
        <f>IS!S18</f>
        <v>592964</v>
      </c>
      <c r="H31" s="58">
        <f>IS!T18</f>
        <v>1777159</v>
      </c>
      <c r="I31" s="57"/>
      <c r="J31" s="50">
        <f>IS!V18</f>
        <v>658344</v>
      </c>
      <c r="K31" s="50">
        <f>IS!W18</f>
        <v>801700</v>
      </c>
      <c r="L31" s="50">
        <f>IS!X18</f>
        <v>997493</v>
      </c>
      <c r="M31" s="50">
        <f>IS!Y18</f>
        <v>688680</v>
      </c>
      <c r="N31" s="58">
        <f>IS!Z18</f>
        <v>3146217</v>
      </c>
      <c r="O31" s="57"/>
      <c r="P31" s="50">
        <f>IS!AB18</f>
        <v>459344</v>
      </c>
      <c r="Q31" s="50">
        <f>IS!AC18</f>
        <v>523234</v>
      </c>
      <c r="R31" s="50">
        <f>IS!AD18</f>
        <v>703076</v>
      </c>
      <c r="S31" s="50">
        <f>IS!AE18</f>
        <v>640789</v>
      </c>
      <c r="T31" s="58">
        <f>IS!AF18</f>
        <v>2326443</v>
      </c>
      <c r="U31" s="49"/>
      <c r="V31" s="50">
        <f>IS!AH18</f>
        <v>785871</v>
      </c>
      <c r="W31" s="50">
        <f>IS!AI18</f>
        <v>954671</v>
      </c>
      <c r="X31" s="300">
        <f>X21</f>
        <v>1080111</v>
      </c>
      <c r="Y31" s="300">
        <f>Y21</f>
        <v>1172758</v>
      </c>
      <c r="Z31" s="57">
        <f>SUM(V31:Y31)</f>
        <v>3993411</v>
      </c>
      <c r="AA31" s="71"/>
      <c r="AB31" s="300">
        <f>AB21</f>
        <v>1299827</v>
      </c>
      <c r="AC31" s="300">
        <f>AC21</f>
        <v>1440665</v>
      </c>
      <c r="AD31" s="300">
        <f>AD21</f>
        <v>1596762</v>
      </c>
      <c r="AE31" s="300">
        <f>AE21</f>
        <v>1769773</v>
      </c>
      <c r="AF31" s="57">
        <f>SUM(AB31:AE31)</f>
        <v>6107027</v>
      </c>
      <c r="AG31" s="71"/>
      <c r="AH31" s="317">
        <f>AH21</f>
        <v>2670710</v>
      </c>
      <c r="AI31" s="72"/>
      <c r="AJ31" s="317">
        <f>AJ21</f>
        <v>4030286</v>
      </c>
      <c r="AL31" s="317">
        <f>AL21</f>
        <v>6081981</v>
      </c>
      <c r="AS31" s="312"/>
      <c r="AT31" s="312"/>
      <c r="AU31" s="312"/>
      <c r="AV31" s="312"/>
      <c r="AW31" s="312"/>
      <c r="AX31" s="312"/>
      <c r="AY31" s="312"/>
      <c r="AZ31" s="312"/>
    </row>
    <row r="32" spans="1:55" s="54" customFormat="1" ht="14.25" customHeight="1">
      <c r="A32" s="55"/>
      <c r="B32" s="31" t="s">
        <v>358</v>
      </c>
      <c r="C32" s="23"/>
      <c r="D32" s="305">
        <f>D31/IS!J18-1</f>
        <v>0.13293850031764243</v>
      </c>
      <c r="E32" s="305">
        <f>E31/IS!K18-1</f>
        <v>9.9027432283029349E-2</v>
      </c>
      <c r="F32" s="305">
        <f>F31/IS!L18-1</f>
        <v>0.3297454606215886</v>
      </c>
      <c r="G32" s="305">
        <f>G31/IS!M18-1</f>
        <v>0.69516120732537057</v>
      </c>
      <c r="H32" s="306">
        <f>H31/IS!N18-1</f>
        <v>0.31740261396143921</v>
      </c>
      <c r="I32" s="57"/>
      <c r="J32" s="305">
        <f>J31/IS!P18-1</f>
        <v>0.98473337674553219</v>
      </c>
      <c r="K32" s="305">
        <f>K31/IS!Q18-1</f>
        <v>1.100214029544984</v>
      </c>
      <c r="L32" s="305">
        <f>L31/IS!R18-1</f>
        <v>1.0890562007183471</v>
      </c>
      <c r="M32" s="305">
        <f>M31/IS!S18-1</f>
        <v>0.16141958027806069</v>
      </c>
      <c r="N32" s="306">
        <f>N31/H31-1</f>
        <v>0.77036325956203133</v>
      </c>
      <c r="O32" s="57"/>
      <c r="P32" s="305">
        <f>P31/IS!V18-1</f>
        <v>-0.30227358341535737</v>
      </c>
      <c r="Q32" s="305">
        <f>Q31/IS!W18-1</f>
        <v>-0.34734439316452537</v>
      </c>
      <c r="R32" s="305">
        <f>R31/IS!X18-1</f>
        <v>-0.29515695849494683</v>
      </c>
      <c r="S32" s="305">
        <f>S31/IS!Y18-1</f>
        <v>-6.9540279955857542E-2</v>
      </c>
      <c r="T32" s="306">
        <f>T31/N31-1</f>
        <v>-0.26055863279614855</v>
      </c>
      <c r="U32" s="49"/>
      <c r="V32" s="305">
        <f>V31/IS!AB18-1</f>
        <v>0.71085504545612865</v>
      </c>
      <c r="W32" s="305">
        <f>W31/IS!AC18-1</f>
        <v>0.82455841936877183</v>
      </c>
      <c r="X32" s="305">
        <f>X31/IS!AD18-1</f>
        <v>0.53626492726248665</v>
      </c>
      <c r="Y32" s="305">
        <f>Y31/IS!AE18-1</f>
        <v>0.83017810855055263</v>
      </c>
      <c r="Z32" s="306">
        <f>Z31/T31-1</f>
        <v>0.71653077251409125</v>
      </c>
      <c r="AA32" s="71"/>
      <c r="AB32" s="305">
        <f>AB31/IS!AH18-1</f>
        <v>0.65399537583140233</v>
      </c>
      <c r="AC32" s="305">
        <f>AC31/IS!AI18-1</f>
        <v>0.50906961665327644</v>
      </c>
      <c r="AD32" s="305">
        <f>AD31/IS!AJ18-1</f>
        <v>62.870480000000001</v>
      </c>
      <c r="AE32" s="305">
        <f>AE31/IS!AK18-1</f>
        <v>69.79092</v>
      </c>
      <c r="AF32" s="306">
        <f>AF31/Z31-1</f>
        <v>0.52927584964332497</v>
      </c>
      <c r="AG32" s="71"/>
      <c r="AH32" s="306">
        <f>AH31/AF31-1</f>
        <v>-0.56268246398779631</v>
      </c>
      <c r="AI32" s="72"/>
      <c r="AJ32" s="306">
        <f>AJ31/AH31-1</f>
        <v>0.50906912394082471</v>
      </c>
      <c r="AL32" s="306">
        <f>AL31/AJ31-1</f>
        <v>0.50906933155612277</v>
      </c>
    </row>
    <row r="33" spans="2:45" s="54" customFormat="1" ht="14.25" customHeight="1">
      <c r="B33" s="31"/>
      <c r="C33" s="23"/>
      <c r="D33" s="305"/>
      <c r="E33" s="305"/>
      <c r="F33" s="305"/>
      <c r="G33" s="305"/>
      <c r="H33" s="308"/>
      <c r="I33" s="48"/>
      <c r="J33" s="305"/>
      <c r="K33" s="305"/>
      <c r="L33" s="305"/>
      <c r="M33" s="305"/>
      <c r="N33" s="308"/>
      <c r="O33" s="71"/>
      <c r="P33" s="305"/>
      <c r="Q33" s="305"/>
      <c r="R33" s="305"/>
      <c r="S33" s="305"/>
      <c r="T33" s="308"/>
      <c r="U33" s="49"/>
      <c r="V33" s="305"/>
      <c r="W33" s="305"/>
      <c r="X33" s="50"/>
      <c r="Y33" s="50"/>
      <c r="Z33" s="66"/>
      <c r="AA33" s="71"/>
      <c r="AB33" s="50"/>
      <c r="AC33" s="50"/>
      <c r="AD33" s="50"/>
      <c r="AE33" s="50"/>
      <c r="AF33" s="66"/>
      <c r="AG33" s="71"/>
      <c r="AH33" s="68"/>
      <c r="AI33" s="72"/>
      <c r="AJ33" s="68"/>
    </row>
    <row r="34" spans="2:45" s="54" customFormat="1" ht="14.25" customHeight="1">
      <c r="B34" s="28" t="s">
        <v>359</v>
      </c>
      <c r="C34" s="23"/>
      <c r="D34" s="50">
        <f>IS!P21</f>
        <v>325059</v>
      </c>
      <c r="E34" s="50">
        <f>IS!Q21</f>
        <v>337976</v>
      </c>
      <c r="F34" s="50">
        <f>IS!R21</f>
        <v>385903</v>
      </c>
      <c r="G34" s="50">
        <f>IS!S21</f>
        <v>397879</v>
      </c>
      <c r="H34" s="58">
        <f>IS!T21</f>
        <v>1440100</v>
      </c>
      <c r="I34" s="57"/>
      <c r="J34" s="50">
        <f>IS!V21</f>
        <v>440854</v>
      </c>
      <c r="K34" s="50">
        <f>IS!W21</f>
        <v>483851</v>
      </c>
      <c r="L34" s="50">
        <f>IS!X21</f>
        <v>534467</v>
      </c>
      <c r="M34" s="50">
        <f>IS!Y21</f>
        <v>490588</v>
      </c>
      <c r="N34" s="58">
        <f>IS!Z21</f>
        <v>1949760</v>
      </c>
      <c r="O34" s="57"/>
      <c r="P34" s="50">
        <f>IS!AB21</f>
        <v>413911</v>
      </c>
      <c r="Q34" s="50">
        <f>IS!AC21</f>
        <v>432104</v>
      </c>
      <c r="R34" s="50">
        <f>IS!AD21</f>
        <v>484504</v>
      </c>
      <c r="S34" s="50">
        <f>IS!AE21</f>
        <v>454353</v>
      </c>
      <c r="T34" s="58">
        <f>IS!AF21</f>
        <v>1784872</v>
      </c>
      <c r="U34" s="49"/>
      <c r="V34" s="50">
        <f>IS!AH21</f>
        <v>538653</v>
      </c>
      <c r="W34" s="50">
        <f>IS!AI21</f>
        <v>598629</v>
      </c>
      <c r="X34" s="46">
        <f>(X35+Sensitivity!$U$39)*X$31</f>
        <v>682954.18530000001</v>
      </c>
      <c r="Y34" s="46">
        <f>(Y35+Sensitivity!$U$39)*Y$31</f>
        <v>799586.4044</v>
      </c>
      <c r="Z34" s="57">
        <f>SUM(V34:Y34)</f>
        <v>2619822.5896999999</v>
      </c>
      <c r="AA34" s="71"/>
      <c r="AB34" s="46">
        <f>(AB35+Sensitivity!$U$39)*AB$31</f>
        <v>767937.7916</v>
      </c>
      <c r="AC34" s="46">
        <f>(AC35+Sensitivity!$U$39)*AC$31</f>
        <v>946805.03800000006</v>
      </c>
      <c r="AD34" s="46">
        <f>(AD35+Sensitivity!$U$39)*AD$31</f>
        <v>953107.2378</v>
      </c>
      <c r="AE34" s="46">
        <f>(AE35+Sensitivity!$U$39)*AE$31</f>
        <v>1143096.3807000001</v>
      </c>
      <c r="AF34" s="57">
        <f>SUM(AB34:AE34)</f>
        <v>3810946.4481000002</v>
      </c>
      <c r="AG34" s="71"/>
      <c r="AH34" s="57">
        <f>(AH35+Sensitivity!$U$39)*AH$31</f>
        <v>1568240.9120000002</v>
      </c>
      <c r="AI34" s="72"/>
      <c r="AJ34" s="57">
        <f>(AJ35+Sensitivity!$U$39)*AJ$31</f>
        <v>2223508.7862</v>
      </c>
      <c r="AL34" s="57">
        <f>(AL35+Sensitivity!$U$39)*AL$31</f>
        <v>3140126.7903</v>
      </c>
    </row>
    <row r="35" spans="2:45" s="54" customFormat="1" ht="14.25" customHeight="1">
      <c r="B35" s="31" t="s">
        <v>360</v>
      </c>
      <c r="C35" s="23"/>
      <c r="D35" s="305">
        <f>D34/D31</f>
        <v>0.97996707908255554</v>
      </c>
      <c r="E35" s="305">
        <f t="shared" ref="E35:H35" si="41">E34/E31</f>
        <v>0.88539595465822074</v>
      </c>
      <c r="F35" s="305">
        <f t="shared" si="41"/>
        <v>0.80819921044640142</v>
      </c>
      <c r="G35" s="305">
        <f t="shared" si="41"/>
        <v>0.6710002630851114</v>
      </c>
      <c r="H35" s="306">
        <f t="shared" si="41"/>
        <v>0.81033829837397775</v>
      </c>
      <c r="I35" s="57"/>
      <c r="J35" s="305">
        <f>J34/J31</f>
        <v>0.66964079569343682</v>
      </c>
      <c r="K35" s="305">
        <f t="shared" ref="K35:N35" si="42">K34/K31</f>
        <v>0.60353124610203313</v>
      </c>
      <c r="L35" s="305">
        <f t="shared" si="42"/>
        <v>0.53581027636284162</v>
      </c>
      <c r="M35" s="305">
        <f t="shared" si="42"/>
        <v>0.71235987686588842</v>
      </c>
      <c r="N35" s="306">
        <f t="shared" si="42"/>
        <v>0.61971567758994373</v>
      </c>
      <c r="O35" s="57"/>
      <c r="P35" s="305">
        <f>P34/P31</f>
        <v>0.90109155665470764</v>
      </c>
      <c r="Q35" s="305">
        <f t="shared" ref="Q35:T35" si="43">Q34/Q31</f>
        <v>0.82583318362338842</v>
      </c>
      <c r="R35" s="305">
        <f t="shared" si="43"/>
        <v>0.68912037958911976</v>
      </c>
      <c r="S35" s="305">
        <f t="shared" si="43"/>
        <v>0.70905243379646032</v>
      </c>
      <c r="T35" s="306">
        <f t="shared" si="43"/>
        <v>0.76721071610179148</v>
      </c>
      <c r="U35" s="49"/>
      <c r="V35" s="305">
        <f>V34/V31</f>
        <v>0.68542165317208548</v>
      </c>
      <c r="W35" s="305">
        <f t="shared" ref="W35" si="44">W34/W31</f>
        <v>0.62705267050114644</v>
      </c>
      <c r="X35" s="316">
        <v>0.63229999999999997</v>
      </c>
      <c r="Y35" s="316">
        <v>0.68179999999999996</v>
      </c>
      <c r="Z35" s="306">
        <f>Z34/Z31</f>
        <v>0.65603630322548812</v>
      </c>
      <c r="AA35" s="71"/>
      <c r="AB35" s="316">
        <v>0.59079999999999999</v>
      </c>
      <c r="AC35" s="316">
        <v>0.65720000000000001</v>
      </c>
      <c r="AD35" s="316">
        <v>0.59689999999999999</v>
      </c>
      <c r="AE35" s="316">
        <v>0.64590000000000003</v>
      </c>
      <c r="AF35" s="306">
        <f>AF34/AF31</f>
        <v>0.6240264613370794</v>
      </c>
      <c r="AG35" s="71"/>
      <c r="AH35" s="316">
        <v>0.58720000000000006</v>
      </c>
      <c r="AI35" s="72"/>
      <c r="AJ35" s="316">
        <v>0.55169999999999997</v>
      </c>
      <c r="AL35" s="316">
        <v>0.51629999999999998</v>
      </c>
    </row>
    <row r="36" spans="2:45" s="54" customFormat="1" ht="14.25" customHeight="1">
      <c r="B36" s="31"/>
      <c r="C36" s="23"/>
      <c r="D36" s="46"/>
      <c r="E36" s="46"/>
      <c r="F36" s="46"/>
      <c r="G36" s="46"/>
      <c r="H36" s="57"/>
      <c r="I36" s="57"/>
      <c r="J36" s="46"/>
      <c r="K36" s="46"/>
      <c r="L36" s="46"/>
      <c r="M36" s="46"/>
      <c r="N36" s="57"/>
      <c r="O36" s="57"/>
      <c r="P36" s="46"/>
      <c r="Q36" s="46"/>
      <c r="R36" s="46"/>
      <c r="S36" s="46"/>
      <c r="T36" s="57"/>
      <c r="U36" s="49"/>
      <c r="V36" s="46"/>
      <c r="W36" s="46"/>
      <c r="X36" s="50"/>
      <c r="Y36" s="50"/>
      <c r="Z36" s="57"/>
      <c r="AA36" s="71"/>
      <c r="AB36" s="50"/>
      <c r="AC36" s="50"/>
      <c r="AD36" s="50"/>
      <c r="AE36" s="50"/>
      <c r="AF36" s="57"/>
      <c r="AG36" s="71"/>
      <c r="AH36" s="58"/>
      <c r="AI36" s="72"/>
      <c r="AJ36" s="58"/>
    </row>
    <row r="37" spans="2:45" s="54" customFormat="1" ht="14.25" customHeight="1">
      <c r="B37" s="28" t="s">
        <v>361</v>
      </c>
      <c r="C37" s="23"/>
      <c r="D37" s="50">
        <f>IS!P22</f>
        <v>19340</v>
      </c>
      <c r="E37" s="50">
        <f>IS!Q22</f>
        <v>20054</v>
      </c>
      <c r="F37" s="50">
        <f>IS!R22</f>
        <v>19757</v>
      </c>
      <c r="G37" s="50">
        <f>IS!S22</f>
        <v>21090</v>
      </c>
      <c r="H37" s="58">
        <f>IS!T22</f>
        <v>80241</v>
      </c>
      <c r="I37" s="57"/>
      <c r="J37" s="50">
        <f>IS!V22</f>
        <v>22048</v>
      </c>
      <c r="K37" s="50">
        <f>IS!W22</f>
        <v>23770</v>
      </c>
      <c r="L37" s="50">
        <f>IS!X22</f>
        <v>0</v>
      </c>
      <c r="M37" s="50">
        <f>IS!Y22</f>
        <v>0</v>
      </c>
      <c r="N37" s="58">
        <f>IS!Z22</f>
        <v>45818</v>
      </c>
      <c r="O37" s="57"/>
      <c r="P37" s="50">
        <f>IS!AB22</f>
        <v>0</v>
      </c>
      <c r="Q37" s="50">
        <f>IS!AC22</f>
        <v>0</v>
      </c>
      <c r="R37" s="50">
        <f>IS!AD22</f>
        <v>0</v>
      </c>
      <c r="S37" s="50">
        <f>IS!AE22</f>
        <v>0</v>
      </c>
      <c r="T37" s="58">
        <f>IS!AF22</f>
        <v>0</v>
      </c>
      <c r="U37" s="49"/>
      <c r="V37" s="50">
        <f>IS!AH22</f>
        <v>0</v>
      </c>
      <c r="W37" s="50">
        <f>IS!AI22</f>
        <v>0</v>
      </c>
      <c r="X37" s="46">
        <f>X38*X34</f>
        <v>0</v>
      </c>
      <c r="Y37" s="46">
        <f>Y38*Y34</f>
        <v>0</v>
      </c>
      <c r="Z37" s="57">
        <f>SUM(V37:Y37)</f>
        <v>0</v>
      </c>
      <c r="AA37" s="71"/>
      <c r="AB37" s="46">
        <f t="shared" ref="AB37:AE37" si="45">AB38*AB34</f>
        <v>0</v>
      </c>
      <c r="AC37" s="46">
        <f t="shared" si="45"/>
        <v>0</v>
      </c>
      <c r="AD37" s="46">
        <f t="shared" si="45"/>
        <v>0</v>
      </c>
      <c r="AE37" s="46">
        <f t="shared" si="45"/>
        <v>0</v>
      </c>
      <c r="AF37" s="57">
        <f>SUM(AB37:AE37)</f>
        <v>0</v>
      </c>
      <c r="AG37" s="71"/>
      <c r="AH37" s="57">
        <f t="shared" ref="AH37:AL37" si="46">AH38*AH34</f>
        <v>0</v>
      </c>
      <c r="AI37" s="72"/>
      <c r="AJ37" s="57">
        <f t="shared" si="46"/>
        <v>0</v>
      </c>
      <c r="AL37" s="57">
        <f t="shared" si="46"/>
        <v>0</v>
      </c>
    </row>
    <row r="38" spans="2:45" s="54" customFormat="1" ht="14.25" customHeight="1">
      <c r="B38" s="31" t="s">
        <v>362</v>
      </c>
      <c r="C38" s="23"/>
      <c r="D38" s="307">
        <f>D37/D34</f>
        <v>5.949689133357329E-2</v>
      </c>
      <c r="E38" s="307">
        <f t="shared" ref="E38:H38" si="47">E37/E34</f>
        <v>5.9335574123606412E-2</v>
      </c>
      <c r="F38" s="307">
        <f t="shared" si="47"/>
        <v>5.1196803341772415E-2</v>
      </c>
      <c r="G38" s="307">
        <f t="shared" si="47"/>
        <v>5.300606465784824E-2</v>
      </c>
      <c r="H38" s="306">
        <f t="shared" si="47"/>
        <v>5.5719047288382749E-2</v>
      </c>
      <c r="I38" s="57"/>
      <c r="J38" s="307">
        <f>J37/J34</f>
        <v>5.001202212070209E-2</v>
      </c>
      <c r="K38" s="307">
        <f t="shared" ref="K38:N38" si="48">K37/K34</f>
        <v>4.9126693961570815E-2</v>
      </c>
      <c r="L38" s="307">
        <f t="shared" si="48"/>
        <v>0</v>
      </c>
      <c r="M38" s="307">
        <f t="shared" si="48"/>
        <v>0</v>
      </c>
      <c r="N38" s="306">
        <f t="shared" si="48"/>
        <v>2.3499302478253735E-2</v>
      </c>
      <c r="O38" s="57"/>
      <c r="P38" s="307">
        <f>P37/P34</f>
        <v>0</v>
      </c>
      <c r="Q38" s="307">
        <f t="shared" ref="Q38:T38" si="49">Q37/Q34</f>
        <v>0</v>
      </c>
      <c r="R38" s="307">
        <f t="shared" si="49"/>
        <v>0</v>
      </c>
      <c r="S38" s="307">
        <f t="shared" si="49"/>
        <v>0</v>
      </c>
      <c r="T38" s="306">
        <f t="shared" si="49"/>
        <v>0</v>
      </c>
      <c r="U38" s="49"/>
      <c r="V38" s="307">
        <f>V37/V34</f>
        <v>0</v>
      </c>
      <c r="W38" s="307">
        <f t="shared" ref="W38" si="50">W37/W34</f>
        <v>0</v>
      </c>
      <c r="X38" s="316"/>
      <c r="Y38" s="316"/>
      <c r="Z38" s="306"/>
      <c r="AA38" s="71"/>
      <c r="AB38" s="316"/>
      <c r="AC38" s="316"/>
      <c r="AD38" s="316"/>
      <c r="AE38" s="316"/>
      <c r="AF38" s="306"/>
      <c r="AG38" s="71"/>
      <c r="AH38" s="316"/>
      <c r="AI38" s="72"/>
      <c r="AJ38" s="316"/>
      <c r="AL38" s="316"/>
    </row>
    <row r="39" spans="2:45" s="54" customFormat="1" ht="14.25" customHeight="1">
      <c r="B39" s="31"/>
      <c r="C39" s="23"/>
      <c r="D39" s="60"/>
      <c r="E39" s="60"/>
      <c r="F39" s="60"/>
      <c r="G39" s="60"/>
      <c r="H39" s="181"/>
      <c r="I39" s="57"/>
      <c r="J39" s="60"/>
      <c r="K39" s="60"/>
      <c r="L39" s="60"/>
      <c r="M39" s="60"/>
      <c r="N39" s="181"/>
      <c r="O39" s="57"/>
      <c r="P39" s="60"/>
      <c r="Q39" s="60"/>
      <c r="R39" s="60"/>
      <c r="S39" s="60"/>
      <c r="T39" s="181"/>
      <c r="U39" s="49"/>
      <c r="V39" s="60"/>
      <c r="W39" s="60"/>
      <c r="X39" s="62"/>
      <c r="Y39" s="62"/>
      <c r="Z39" s="181"/>
      <c r="AA39" s="71"/>
      <c r="AB39" s="62"/>
      <c r="AC39" s="62"/>
      <c r="AD39" s="62"/>
      <c r="AE39" s="62"/>
      <c r="AF39" s="181"/>
      <c r="AG39" s="71"/>
      <c r="AH39" s="182"/>
      <c r="AI39" s="72"/>
      <c r="AJ39" s="182"/>
    </row>
    <row r="40" spans="2:45" s="54" customFormat="1" ht="14.25" customHeight="1">
      <c r="B40" s="28" t="s">
        <v>363</v>
      </c>
      <c r="C40" s="23"/>
      <c r="D40" s="50">
        <f>IS!P24</f>
        <v>6645</v>
      </c>
      <c r="E40" s="50">
        <f>IS!Q24</f>
        <v>43747</v>
      </c>
      <c r="F40" s="50">
        <f>IS!R24</f>
        <v>91582</v>
      </c>
      <c r="G40" s="50">
        <f>IS!S24</f>
        <v>195085</v>
      </c>
      <c r="H40" s="58">
        <f>IS!T24</f>
        <v>337059</v>
      </c>
      <c r="I40" s="57"/>
      <c r="J40" s="50">
        <f>IS!V24</f>
        <v>217490</v>
      </c>
      <c r="K40" s="50">
        <f>IS!W24</f>
        <v>317849</v>
      </c>
      <c r="L40" s="50">
        <f>IS!X24</f>
        <v>463026</v>
      </c>
      <c r="M40" s="50">
        <f>IS!Y24</f>
        <v>198092</v>
      </c>
      <c r="N40" s="58">
        <f>IS!Z24</f>
        <v>1196457</v>
      </c>
      <c r="O40" s="57"/>
      <c r="P40" s="50">
        <f>IS!AB24</f>
        <v>45433</v>
      </c>
      <c r="Q40" s="50">
        <f>IS!AC24</f>
        <v>91130</v>
      </c>
      <c r="R40" s="50">
        <f>IS!AD24</f>
        <v>218572</v>
      </c>
      <c r="S40" s="50">
        <f>IS!AE24</f>
        <v>186436</v>
      </c>
      <c r="T40" s="58">
        <f>IS!AF24</f>
        <v>541571</v>
      </c>
      <c r="U40" s="49"/>
      <c r="V40" s="50">
        <f>IS!AH24</f>
        <v>247218</v>
      </c>
      <c r="W40" s="50">
        <f>IS!AI24</f>
        <v>356042</v>
      </c>
      <c r="X40" s="46">
        <f>X31-X34-X37</f>
        <v>397156.81469999999</v>
      </c>
      <c r="Y40" s="46">
        <f>Y31-Y34-Y37</f>
        <v>373171.5956</v>
      </c>
      <c r="Z40" s="57">
        <f>SUM(V40:Y40)</f>
        <v>1373588.4103000001</v>
      </c>
      <c r="AA40" s="71"/>
      <c r="AB40" s="46">
        <f t="shared" ref="AB40:AE40" si="51">AB31-AB34-AB37</f>
        <v>531889.2084</v>
      </c>
      <c r="AC40" s="46">
        <f t="shared" si="51"/>
        <v>493859.96199999994</v>
      </c>
      <c r="AD40" s="46">
        <f t="shared" si="51"/>
        <v>643654.7622</v>
      </c>
      <c r="AE40" s="46">
        <f t="shared" si="51"/>
        <v>626676.6192999999</v>
      </c>
      <c r="AF40" s="57">
        <f>SUM(AB40:AE40)</f>
        <v>2296080.5518999998</v>
      </c>
      <c r="AG40" s="57"/>
      <c r="AH40" s="57">
        <f t="shared" ref="AH40:AL40" si="52">AH31-AH34-AH37</f>
        <v>1102469.0879999998</v>
      </c>
      <c r="AI40" s="57"/>
      <c r="AJ40" s="57">
        <f t="shared" si="52"/>
        <v>1806777.2138</v>
      </c>
      <c r="AK40" s="57"/>
      <c r="AL40" s="57">
        <f t="shared" si="52"/>
        <v>2941854.2097</v>
      </c>
    </row>
    <row r="41" spans="2:45" s="54" customFormat="1" ht="14.25" customHeight="1">
      <c r="B41" s="31" t="s">
        <v>360</v>
      </c>
      <c r="C41" s="21"/>
      <c r="D41" s="305">
        <f>D40/D31</f>
        <v>2.003292091744447E-2</v>
      </c>
      <c r="E41" s="305">
        <f t="shared" ref="E41:H41" si="53">E40/E31</f>
        <v>0.11460404534177925</v>
      </c>
      <c r="F41" s="305">
        <f t="shared" si="53"/>
        <v>0.19180078955359856</v>
      </c>
      <c r="G41" s="305">
        <f t="shared" si="53"/>
        <v>0.3289997369148886</v>
      </c>
      <c r="H41" s="308">
        <f t="shared" si="53"/>
        <v>0.18966170162602219</v>
      </c>
      <c r="I41" s="48"/>
      <c r="J41" s="305">
        <f>J40/J31</f>
        <v>0.33035920430656313</v>
      </c>
      <c r="K41" s="305">
        <f t="shared" ref="K41:N41" si="54">K40/K31</f>
        <v>0.39646875389796682</v>
      </c>
      <c r="L41" s="305">
        <f t="shared" si="54"/>
        <v>0.46418972363715838</v>
      </c>
      <c r="M41" s="305">
        <f t="shared" si="54"/>
        <v>0.28764012313411164</v>
      </c>
      <c r="N41" s="308">
        <f t="shared" si="54"/>
        <v>0.38028432241005627</v>
      </c>
      <c r="O41" s="71"/>
      <c r="P41" s="305">
        <f>P40/P31</f>
        <v>9.8908443345292418E-2</v>
      </c>
      <c r="Q41" s="305">
        <f t="shared" ref="Q41:T41" si="55">Q40/Q31</f>
        <v>0.17416681637661161</v>
      </c>
      <c r="R41" s="305">
        <f t="shared" si="55"/>
        <v>0.31087962041088019</v>
      </c>
      <c r="S41" s="305">
        <f t="shared" si="55"/>
        <v>0.29094756620353968</v>
      </c>
      <c r="T41" s="308">
        <f t="shared" si="55"/>
        <v>0.23278928389820855</v>
      </c>
      <c r="U41" s="49"/>
      <c r="V41" s="305">
        <f>V40/V31</f>
        <v>0.31457834682791452</v>
      </c>
      <c r="W41" s="305">
        <f t="shared" ref="W41:AL41" si="56">W40/W31</f>
        <v>0.37294732949885351</v>
      </c>
      <c r="X41" s="305">
        <f t="shared" si="56"/>
        <v>0.36769999999999997</v>
      </c>
      <c r="Y41" s="305">
        <f t="shared" si="56"/>
        <v>0.31819999999999998</v>
      </c>
      <c r="Z41" s="306">
        <f>Z40/Z$31</f>
        <v>0.34396369677451183</v>
      </c>
      <c r="AA41" s="183"/>
      <c r="AB41" s="305">
        <f t="shared" si="56"/>
        <v>0.40920000000000001</v>
      </c>
      <c r="AC41" s="305">
        <f t="shared" si="56"/>
        <v>0.34279999999999994</v>
      </c>
      <c r="AD41" s="305">
        <f t="shared" si="56"/>
        <v>0.40310000000000001</v>
      </c>
      <c r="AE41" s="305">
        <f t="shared" si="56"/>
        <v>0.35409999999999997</v>
      </c>
      <c r="AF41" s="306">
        <f>AF40/AF$31</f>
        <v>0.37597353866292055</v>
      </c>
      <c r="AG41" s="183"/>
      <c r="AH41" s="308">
        <f t="shared" si="56"/>
        <v>0.41279999999999989</v>
      </c>
      <c r="AI41" s="184"/>
      <c r="AJ41" s="308">
        <f t="shared" si="56"/>
        <v>0.44830000000000003</v>
      </c>
      <c r="AL41" s="308">
        <f t="shared" si="56"/>
        <v>0.48370000000000002</v>
      </c>
    </row>
    <row r="42" spans="2:45" s="54" customFormat="1" ht="14.25" customHeight="1">
      <c r="B42" s="28"/>
      <c r="C42" s="23"/>
      <c r="D42" s="60"/>
      <c r="E42" s="60"/>
      <c r="F42" s="60"/>
      <c r="G42" s="60"/>
      <c r="H42" s="66"/>
      <c r="I42" s="48"/>
      <c r="J42" s="60"/>
      <c r="K42" s="60"/>
      <c r="L42" s="60"/>
      <c r="M42" s="60"/>
      <c r="N42" s="66"/>
      <c r="O42" s="71"/>
      <c r="P42" s="60"/>
      <c r="Q42" s="60"/>
      <c r="R42" s="60"/>
      <c r="S42" s="60"/>
      <c r="T42" s="66"/>
      <c r="U42" s="49"/>
      <c r="V42" s="60"/>
      <c r="W42" s="60"/>
      <c r="X42" s="50"/>
      <c r="Y42" s="50"/>
      <c r="Z42" s="66"/>
      <c r="AA42" s="71"/>
      <c r="AB42" s="50"/>
      <c r="AC42" s="50"/>
      <c r="AD42" s="50"/>
      <c r="AE42" s="50"/>
      <c r="AF42" s="66"/>
      <c r="AG42" s="71"/>
      <c r="AH42" s="68"/>
      <c r="AI42" s="72"/>
      <c r="AJ42" s="68"/>
    </row>
    <row r="43" spans="2:45" s="54" customFormat="1" ht="14.25" customHeight="1">
      <c r="B43" s="28" t="s">
        <v>364</v>
      </c>
      <c r="C43" s="21"/>
      <c r="D43" s="62">
        <f>IS!P27</f>
        <v>46525</v>
      </c>
      <c r="E43" s="62">
        <f>IS!Q27</f>
        <v>47780</v>
      </c>
      <c r="F43" s="62">
        <f>IS!R27</f>
        <v>52686</v>
      </c>
      <c r="G43" s="62">
        <f>IS!S27</f>
        <v>51640</v>
      </c>
      <c r="H43" s="68">
        <f>IS!T27</f>
        <v>198631</v>
      </c>
      <c r="I43" s="48"/>
      <c r="J43" s="62">
        <f>IS!V27</f>
        <v>53607</v>
      </c>
      <c r="K43" s="62">
        <f>IS!W27</f>
        <v>57952</v>
      </c>
      <c r="L43" s="62">
        <f>IS!X27</f>
        <v>58489</v>
      </c>
      <c r="M43" s="62">
        <f>IS!Y27</f>
        <v>62159</v>
      </c>
      <c r="N43" s="68">
        <f>IS!Z27</f>
        <v>232207</v>
      </c>
      <c r="O43" s="71"/>
      <c r="P43" s="62">
        <f>IS!AB27</f>
        <v>52246</v>
      </c>
      <c r="Q43" s="62">
        <f>IS!AC27</f>
        <v>76578</v>
      </c>
      <c r="R43" s="62">
        <f>IS!AD27</f>
        <v>66020</v>
      </c>
      <c r="S43" s="62">
        <f>IS!AE27</f>
        <v>57781</v>
      </c>
      <c r="T43" s="68">
        <f>IS!AF27</f>
        <v>252625</v>
      </c>
      <c r="U43" s="49"/>
      <c r="V43" s="62">
        <f>IS!AH27</f>
        <v>61932</v>
      </c>
      <c r="W43" s="62">
        <f>IS!AI27</f>
        <v>77633</v>
      </c>
      <c r="X43" s="46">
        <f>(X44+Sensitivity!$U$40)*X$31</f>
        <v>85004.735700000005</v>
      </c>
      <c r="Y43" s="46">
        <f>(Y44+Sensitivity!$U$40)*Y$31</f>
        <v>102616.325</v>
      </c>
      <c r="Z43" s="57">
        <f>SUM(V43:Y43)</f>
        <v>327186.06070000003</v>
      </c>
      <c r="AA43" s="71"/>
      <c r="AB43" s="46">
        <f>(AB44+Sensitivity!$U$40)*AB$31</f>
        <v>102686.333</v>
      </c>
      <c r="AC43" s="46">
        <f>(AC44+Sensitivity!$U$40)*AC$31</f>
        <v>125049.72200000001</v>
      </c>
      <c r="AD43" s="46">
        <f>(AD44+Sensitivity!$U$40)*AD$31</f>
        <v>116882.97840000001</v>
      </c>
      <c r="AE43" s="46">
        <f>(AE44+Sensitivity!$U$40)*AE$31</f>
        <v>144944.4087</v>
      </c>
      <c r="AF43" s="57">
        <f>SUM(AB43:AE43)</f>
        <v>489563.44209999999</v>
      </c>
      <c r="AG43" s="57"/>
      <c r="AH43" s="57">
        <f>(AH44+Sensitivity!$U$40)*AH$31</f>
        <v>199502.03700000001</v>
      </c>
      <c r="AI43" s="57"/>
      <c r="AJ43" s="57">
        <f>(AJ44+Sensitivity!$U$40)*AJ$31</f>
        <v>278895.79119999998</v>
      </c>
      <c r="AK43" s="57"/>
      <c r="AL43" s="57">
        <f>(AL44+Sensitivity!$U$40)*AL$31</f>
        <v>387422.18970000005</v>
      </c>
    </row>
    <row r="44" spans="2:45" s="54" customFormat="1" ht="14.25" customHeight="1">
      <c r="B44" s="31" t="s">
        <v>360</v>
      </c>
      <c r="C44" s="23"/>
      <c r="D44" s="305">
        <f>D43/D31</f>
        <v>0.1402605937824084</v>
      </c>
      <c r="E44" s="305">
        <f t="shared" ref="E44:H44" si="57">E43/E31</f>
        <v>0.1251692981559927</v>
      </c>
      <c r="F44" s="305">
        <f t="shared" si="57"/>
        <v>0.11034063897295203</v>
      </c>
      <c r="G44" s="305">
        <f t="shared" si="57"/>
        <v>8.7087917647614352E-2</v>
      </c>
      <c r="H44" s="308">
        <f t="shared" si="57"/>
        <v>0.11176884004188709</v>
      </c>
      <c r="I44" s="48"/>
      <c r="J44" s="305">
        <f>J43/J31</f>
        <v>8.1427035106266629E-2</v>
      </c>
      <c r="K44" s="305">
        <f t="shared" ref="K44:N44" si="58">K43/K31</f>
        <v>7.2286391418236243E-2</v>
      </c>
      <c r="L44" s="305">
        <f t="shared" si="58"/>
        <v>5.8636000453136015E-2</v>
      </c>
      <c r="M44" s="305">
        <f t="shared" si="58"/>
        <v>9.0258175059534179E-2</v>
      </c>
      <c r="N44" s="308">
        <f t="shared" si="58"/>
        <v>7.3805144400402131E-2</v>
      </c>
      <c r="O44" s="71"/>
      <c r="P44" s="305">
        <f>P43/P31</f>
        <v>0.11374046466264934</v>
      </c>
      <c r="Q44" s="305">
        <f t="shared" ref="Q44:T44" si="59">Q43/Q31</f>
        <v>0.14635516805100585</v>
      </c>
      <c r="R44" s="305">
        <f t="shared" si="59"/>
        <v>9.3901655013113802E-2</v>
      </c>
      <c r="S44" s="305">
        <f t="shared" si="59"/>
        <v>9.017164776548911E-2</v>
      </c>
      <c r="T44" s="308">
        <f t="shared" si="59"/>
        <v>0.10858851903958103</v>
      </c>
      <c r="U44" s="49"/>
      <c r="V44" s="305">
        <f>V43/V31</f>
        <v>7.8806827074672556E-2</v>
      </c>
      <c r="W44" s="305">
        <f t="shared" ref="W44" si="60">W43/W31</f>
        <v>8.1319114124132813E-2</v>
      </c>
      <c r="X44" s="316">
        <v>7.8700000000000006E-2</v>
      </c>
      <c r="Y44" s="316">
        <v>8.7499999999999994E-2</v>
      </c>
      <c r="Z44" s="306"/>
      <c r="AA44" s="71"/>
      <c r="AB44" s="316">
        <v>7.9000000000000001E-2</v>
      </c>
      <c r="AC44" s="316">
        <v>8.6800000000000002E-2</v>
      </c>
      <c r="AD44" s="316">
        <v>7.3200000000000001E-2</v>
      </c>
      <c r="AE44" s="316">
        <v>8.1900000000000001E-2</v>
      </c>
      <c r="AF44" s="306"/>
      <c r="AG44" s="71"/>
      <c r="AH44" s="316">
        <v>7.4700000000000003E-2</v>
      </c>
      <c r="AI44" s="72"/>
      <c r="AJ44" s="316">
        <v>6.9199999999999998E-2</v>
      </c>
      <c r="AL44" s="316">
        <v>6.3700000000000007E-2</v>
      </c>
    </row>
    <row r="45" spans="2:45" s="54" customFormat="1" ht="14.25" customHeight="1">
      <c r="B45" s="29"/>
      <c r="C45" s="21"/>
      <c r="D45" s="46"/>
      <c r="E45" s="46"/>
      <c r="F45" s="46"/>
      <c r="G45" s="46"/>
      <c r="H45" s="66"/>
      <c r="I45" s="48"/>
      <c r="J45" s="46"/>
      <c r="K45" s="46"/>
      <c r="L45" s="46"/>
      <c r="M45" s="46"/>
      <c r="N45" s="66"/>
      <c r="O45" s="71"/>
      <c r="P45" s="46"/>
      <c r="Q45" s="46"/>
      <c r="R45" s="46"/>
      <c r="S45" s="46"/>
      <c r="T45" s="66"/>
      <c r="U45" s="49"/>
      <c r="V45" s="46"/>
      <c r="W45" s="46"/>
      <c r="X45" s="50"/>
      <c r="Y45" s="50"/>
      <c r="Z45" s="66"/>
      <c r="AA45" s="71"/>
      <c r="AB45" s="50"/>
      <c r="AC45" s="50"/>
      <c r="AD45" s="50"/>
      <c r="AE45" s="50"/>
      <c r="AF45" s="66"/>
      <c r="AG45" s="71"/>
      <c r="AH45" s="68"/>
      <c r="AI45" s="72"/>
      <c r="AJ45" s="68"/>
    </row>
    <row r="46" spans="2:45" s="54" customFormat="1" ht="14.25" customHeight="1">
      <c r="B46" s="28" t="s">
        <v>365</v>
      </c>
      <c r="C46" s="23"/>
      <c r="D46" s="50">
        <f>IS!P29</f>
        <v>0</v>
      </c>
      <c r="E46" s="50">
        <f>IS!Q29</f>
        <v>0</v>
      </c>
      <c r="F46" s="50">
        <f>IS!R29</f>
        <v>0</v>
      </c>
      <c r="G46" s="50">
        <f>IS!S29</f>
        <v>0</v>
      </c>
      <c r="H46" s="68">
        <f>IS!T29</f>
        <v>0</v>
      </c>
      <c r="I46" s="48"/>
      <c r="J46" s="50">
        <f>IS!V29</f>
        <v>0</v>
      </c>
      <c r="K46" s="50">
        <f>IS!W29</f>
        <v>0</v>
      </c>
      <c r="L46" s="50">
        <f>IS!X29</f>
        <v>0</v>
      </c>
      <c r="M46" s="50">
        <f>IS!Y29</f>
        <v>0</v>
      </c>
      <c r="N46" s="68">
        <f>IS!Z29</f>
        <v>0</v>
      </c>
      <c r="O46" s="71"/>
      <c r="P46" s="50">
        <f>IS!AB29</f>
        <v>0</v>
      </c>
      <c r="Q46" s="50">
        <f>IS!AC29</f>
        <v>0</v>
      </c>
      <c r="R46" s="50">
        <f>IS!AD29</f>
        <v>0</v>
      </c>
      <c r="S46" s="50">
        <f>IS!AE29</f>
        <v>0</v>
      </c>
      <c r="T46" s="68">
        <f>IS!AF29</f>
        <v>0</v>
      </c>
      <c r="U46" s="49"/>
      <c r="V46" s="50">
        <f>IS!AH29</f>
        <v>0</v>
      </c>
      <c r="W46" s="50">
        <f>IS!AI29</f>
        <v>0</v>
      </c>
      <c r="X46" s="46">
        <f>X47*X40</f>
        <v>0</v>
      </c>
      <c r="Y46" s="46">
        <f>Y47*Y40</f>
        <v>0</v>
      </c>
      <c r="Z46" s="57">
        <f>SUM(V46:Y46)</f>
        <v>0</v>
      </c>
      <c r="AA46" s="71"/>
      <c r="AB46" s="46">
        <f t="shared" ref="AB46:AE46" si="61">AB47*AB40</f>
        <v>0</v>
      </c>
      <c r="AC46" s="46">
        <f t="shared" si="61"/>
        <v>0</v>
      </c>
      <c r="AD46" s="46">
        <f t="shared" si="61"/>
        <v>0</v>
      </c>
      <c r="AE46" s="46">
        <f t="shared" si="61"/>
        <v>0</v>
      </c>
      <c r="AF46" s="57">
        <f>SUM(AB46:AE46)</f>
        <v>0</v>
      </c>
      <c r="AG46" s="71"/>
      <c r="AH46" s="57">
        <f t="shared" ref="AH46:AJ46" si="62">AH47*AH40</f>
        <v>0</v>
      </c>
      <c r="AI46" s="72"/>
      <c r="AJ46" s="57">
        <f t="shared" si="62"/>
        <v>0</v>
      </c>
      <c r="AL46" s="57">
        <f>AL47*AL40</f>
        <v>0</v>
      </c>
      <c r="AS46" s="312"/>
    </row>
    <row r="47" spans="2:45" s="54" customFormat="1" ht="14.25" customHeight="1">
      <c r="B47" s="31" t="s">
        <v>366</v>
      </c>
      <c r="C47" s="21"/>
      <c r="D47" s="305">
        <f>D46/D40</f>
        <v>0</v>
      </c>
      <c r="E47" s="305">
        <f t="shared" ref="E47:G47" si="63">E46/E40</f>
        <v>0</v>
      </c>
      <c r="F47" s="305">
        <f t="shared" si="63"/>
        <v>0</v>
      </c>
      <c r="G47" s="305">
        <f t="shared" si="63"/>
        <v>0</v>
      </c>
      <c r="H47" s="308">
        <f>H46/H40</f>
        <v>0</v>
      </c>
      <c r="I47" s="48"/>
      <c r="J47" s="305">
        <f>J46/J40</f>
        <v>0</v>
      </c>
      <c r="K47" s="305">
        <f t="shared" ref="K47" si="64">K46/K40</f>
        <v>0</v>
      </c>
      <c r="L47" s="305">
        <f t="shared" ref="L47" si="65">L46/L40</f>
        <v>0</v>
      </c>
      <c r="M47" s="305">
        <f t="shared" ref="M47" si="66">M46/M40</f>
        <v>0</v>
      </c>
      <c r="N47" s="308">
        <f>N46/N40</f>
        <v>0</v>
      </c>
      <c r="O47" s="86"/>
      <c r="P47" s="305">
        <f>P46/P40</f>
        <v>0</v>
      </c>
      <c r="Q47" s="305">
        <f t="shared" ref="Q47" si="67">Q46/Q40</f>
        <v>0</v>
      </c>
      <c r="R47" s="305">
        <f t="shared" ref="R47" si="68">R46/R40</f>
        <v>0</v>
      </c>
      <c r="S47" s="305">
        <f t="shared" ref="S47" si="69">S46/S40</f>
        <v>0</v>
      </c>
      <c r="T47" s="308">
        <f>T46/T40</f>
        <v>0</v>
      </c>
      <c r="U47" s="82"/>
      <c r="V47" s="305">
        <f>V46/V40</f>
        <v>0</v>
      </c>
      <c r="W47" s="305">
        <f t="shared" ref="W47" si="70">W46/W40</f>
        <v>0</v>
      </c>
      <c r="X47" s="316"/>
      <c r="Y47" s="316"/>
      <c r="Z47" s="306">
        <f>Z46/Z$40</f>
        <v>0</v>
      </c>
      <c r="AA47" s="71"/>
      <c r="AB47" s="316"/>
      <c r="AC47" s="316"/>
      <c r="AD47" s="316"/>
      <c r="AE47" s="316"/>
      <c r="AF47" s="306">
        <f>AF46/AF$40</f>
        <v>0</v>
      </c>
      <c r="AG47" s="71"/>
      <c r="AH47" s="316"/>
      <c r="AI47" s="72"/>
      <c r="AJ47" s="316"/>
      <c r="AL47" s="316"/>
    </row>
    <row r="48" spans="2:45" s="54" customFormat="1" ht="14.25" customHeight="1">
      <c r="B48" s="31"/>
      <c r="C48" s="23"/>
      <c r="D48" s="305"/>
      <c r="E48" s="305"/>
      <c r="F48" s="305"/>
      <c r="G48" s="305"/>
      <c r="H48" s="308"/>
      <c r="I48" s="48"/>
      <c r="J48" s="305"/>
      <c r="K48" s="305"/>
      <c r="L48" s="305"/>
      <c r="M48" s="305"/>
      <c r="N48" s="308"/>
      <c r="O48" s="71"/>
      <c r="P48" s="305"/>
      <c r="Q48" s="305"/>
      <c r="R48" s="305"/>
      <c r="S48" s="305"/>
      <c r="T48" s="308"/>
      <c r="U48" s="49"/>
      <c r="V48" s="305"/>
      <c r="W48" s="305"/>
      <c r="X48" s="50"/>
      <c r="Y48" s="50"/>
      <c r="Z48" s="66"/>
      <c r="AA48" s="71"/>
      <c r="AB48" s="50"/>
      <c r="AC48" s="50"/>
      <c r="AD48" s="50"/>
      <c r="AE48" s="50"/>
      <c r="AF48" s="66"/>
      <c r="AG48" s="71"/>
      <c r="AH48" s="68"/>
      <c r="AI48" s="72"/>
      <c r="AJ48" s="68"/>
    </row>
    <row r="49" spans="2:38" s="54" customFormat="1" ht="14.25" customHeight="1">
      <c r="B49" s="28" t="s">
        <v>367</v>
      </c>
      <c r="C49" s="21"/>
      <c r="D49" s="50">
        <f>IS!P28</f>
        <v>19340</v>
      </c>
      <c r="E49" s="50">
        <f>IS!Q28</f>
        <v>20054</v>
      </c>
      <c r="F49" s="50">
        <f>IS!R28</f>
        <v>19757</v>
      </c>
      <c r="G49" s="50">
        <f>IS!S28</f>
        <v>21090</v>
      </c>
      <c r="H49" s="68">
        <f>IS!T28</f>
        <v>80241</v>
      </c>
      <c r="I49" s="48"/>
      <c r="J49" s="50">
        <f>IS!V28</f>
        <v>22048</v>
      </c>
      <c r="K49" s="50">
        <f>IS!W28</f>
        <v>23770</v>
      </c>
      <c r="L49" s="50">
        <f>IS!X28</f>
        <v>0</v>
      </c>
      <c r="M49" s="50">
        <f>IS!Y28</f>
        <v>0</v>
      </c>
      <c r="N49" s="68">
        <f>IS!Z28</f>
        <v>45818</v>
      </c>
      <c r="O49" s="86"/>
      <c r="P49" s="50">
        <f>IS!AB28</f>
        <v>0</v>
      </c>
      <c r="Q49" s="50">
        <f>IS!AC28</f>
        <v>0</v>
      </c>
      <c r="R49" s="50">
        <f>IS!AD28</f>
        <v>0</v>
      </c>
      <c r="S49" s="50">
        <f>IS!AE28</f>
        <v>0</v>
      </c>
      <c r="T49" s="68">
        <f>IS!AF28</f>
        <v>0</v>
      </c>
      <c r="U49" s="82"/>
      <c r="V49" s="50">
        <f>IS!AH28</f>
        <v>0</v>
      </c>
      <c r="W49" s="50">
        <f>IS!AI28</f>
        <v>0</v>
      </c>
      <c r="X49" s="46">
        <f>X52+X55</f>
        <v>0</v>
      </c>
      <c r="Y49" s="46">
        <f>Y52+Y55</f>
        <v>0</v>
      </c>
      <c r="Z49" s="57">
        <f>SUM(V49:Y49)</f>
        <v>0</v>
      </c>
      <c r="AA49" s="185"/>
      <c r="AB49" s="46">
        <f t="shared" ref="AB49:AE49" si="71">AB52+AB55</f>
        <v>0</v>
      </c>
      <c r="AC49" s="46">
        <f t="shared" si="71"/>
        <v>0</v>
      </c>
      <c r="AD49" s="46">
        <f t="shared" si="71"/>
        <v>0</v>
      </c>
      <c r="AE49" s="46">
        <f t="shared" si="71"/>
        <v>0</v>
      </c>
      <c r="AF49" s="57">
        <f>SUM(AB49:AE49)</f>
        <v>0</v>
      </c>
      <c r="AG49" s="185"/>
      <c r="AH49" s="66">
        <f>AH52+AH55</f>
        <v>0</v>
      </c>
      <c r="AI49" s="185"/>
      <c r="AJ49" s="66">
        <f>AJ52+AJ55</f>
        <v>0</v>
      </c>
      <c r="AK49" s="66"/>
      <c r="AL49" s="66">
        <f>AL52+AL55</f>
        <v>0</v>
      </c>
    </row>
    <row r="50" spans="2:38" s="54" customFormat="1" ht="14.25" customHeight="1">
      <c r="B50" s="31" t="s">
        <v>368</v>
      </c>
      <c r="C50" s="23"/>
      <c r="D50" s="305">
        <f>D49/(D79+D82)</f>
        <v>2.6356458149923819E-2</v>
      </c>
      <c r="E50" s="305">
        <f>E49/(E79+E82)</f>
        <v>2.738525069234677E-2</v>
      </c>
      <c r="F50" s="305">
        <f>F49/(F79+F82)</f>
        <v>2.68568135043948E-2</v>
      </c>
      <c r="G50" s="305">
        <f>G49/(G79+G82)</f>
        <v>2.8449674831952668E-2</v>
      </c>
      <c r="H50" s="308">
        <f>H49/(H79+H82)</f>
        <v>0.10824231191041793</v>
      </c>
      <c r="I50" s="48"/>
      <c r="J50" s="305">
        <f>J49/(J79+J82)</f>
        <v>2.9387380807033351E-2</v>
      </c>
      <c r="K50" s="305">
        <f>K49/(K79+K82)</f>
        <v>3.1074941987776581E-2</v>
      </c>
      <c r="L50" s="305">
        <f>L49/(L79+L82)</f>
        <v>0</v>
      </c>
      <c r="M50" s="305">
        <f>M49/(M79+M82)</f>
        <v>0</v>
      </c>
      <c r="N50" s="308">
        <f>N49/(N79+N82)</f>
        <v>5.6956179617449587E-2</v>
      </c>
      <c r="O50" s="71"/>
      <c r="P50" s="305">
        <f>P49/(P79+P82)</f>
        <v>0</v>
      </c>
      <c r="Q50" s="305">
        <f>Q49/(Q79+Q82)</f>
        <v>0</v>
      </c>
      <c r="R50" s="305">
        <f>R49/(R79+R82)</f>
        <v>0</v>
      </c>
      <c r="S50" s="305">
        <f>S49/(S79+S82)</f>
        <v>0</v>
      </c>
      <c r="T50" s="308">
        <f>T49/(T79+T82)</f>
        <v>0</v>
      </c>
      <c r="U50" s="49"/>
      <c r="V50" s="305">
        <f>V49/(V79+V82)</f>
        <v>0</v>
      </c>
      <c r="W50" s="305">
        <f>W49/(W79+W82)</f>
        <v>0</v>
      </c>
      <c r="X50" s="305">
        <f>X49/( X79+X82)</f>
        <v>0</v>
      </c>
      <c r="Y50" s="305">
        <f>Y49/( Y79+Y82)</f>
        <v>0</v>
      </c>
      <c r="Z50" s="308">
        <f>Z49/( Z79+Z82)</f>
        <v>0</v>
      </c>
      <c r="AA50" s="71"/>
      <c r="AB50" s="305">
        <f t="shared" ref="AB50:AE50" si="72">AB49/( AB79+AB82)</f>
        <v>0</v>
      </c>
      <c r="AC50" s="305">
        <f t="shared" si="72"/>
        <v>0</v>
      </c>
      <c r="AD50" s="305">
        <f t="shared" si="72"/>
        <v>0</v>
      </c>
      <c r="AE50" s="305">
        <f t="shared" si="72"/>
        <v>0</v>
      </c>
      <c r="AF50" s="308">
        <f>AF49/( AF79+AF82)</f>
        <v>0</v>
      </c>
      <c r="AG50" s="71"/>
      <c r="AH50" s="308">
        <f>AH49/( AH79+AH82)</f>
        <v>0</v>
      </c>
      <c r="AI50" s="72"/>
      <c r="AJ50" s="308">
        <f>AJ49/( AJ79+AJ82)</f>
        <v>0</v>
      </c>
      <c r="AL50" s="308">
        <f>AL49/( AL79+AL82)</f>
        <v>0</v>
      </c>
    </row>
    <row r="51" spans="2:38" s="54" customFormat="1" ht="14.25" customHeight="1">
      <c r="B51" s="31"/>
      <c r="C51" s="23"/>
      <c r="D51" s="305"/>
      <c r="E51" s="305"/>
      <c r="F51" s="305"/>
      <c r="G51" s="305"/>
      <c r="H51" s="308"/>
      <c r="I51" s="48"/>
      <c r="J51" s="305"/>
      <c r="K51" s="305"/>
      <c r="L51" s="305"/>
      <c r="M51" s="305"/>
      <c r="N51" s="308"/>
      <c r="O51" s="71"/>
      <c r="P51" s="305"/>
      <c r="Q51" s="305"/>
      <c r="R51" s="305"/>
      <c r="S51" s="305"/>
      <c r="T51" s="308"/>
      <c r="U51" s="49"/>
      <c r="V51" s="305"/>
      <c r="W51" s="305"/>
      <c r="X51" s="50"/>
      <c r="Y51" s="50"/>
      <c r="Z51" s="66"/>
      <c r="AA51" s="71"/>
      <c r="AB51" s="50"/>
      <c r="AC51" s="50"/>
      <c r="AD51" s="50"/>
      <c r="AE51" s="50"/>
      <c r="AF51" s="66"/>
      <c r="AG51" s="71"/>
      <c r="AH51" s="68"/>
      <c r="AI51" s="72"/>
      <c r="AJ51" s="68"/>
    </row>
    <row r="52" spans="2:38" s="54" customFormat="1" ht="14.25" customHeight="1">
      <c r="B52" s="301" t="s">
        <v>369</v>
      </c>
      <c r="C52" s="23"/>
      <c r="D52" s="50">
        <f>IS!P64</f>
        <v>9670</v>
      </c>
      <c r="E52" s="50">
        <f>IS!Q64</f>
        <v>10027</v>
      </c>
      <c r="F52" s="50">
        <f>IS!R64</f>
        <v>9878.5</v>
      </c>
      <c r="G52" s="50">
        <f>IS!S64</f>
        <v>10545</v>
      </c>
      <c r="H52" s="68">
        <f>IS!T64</f>
        <v>40120.5</v>
      </c>
      <c r="I52" s="48"/>
      <c r="J52" s="50">
        <f>IS!V64</f>
        <v>11024</v>
      </c>
      <c r="K52" s="50">
        <f>IS!W64</f>
        <v>11885</v>
      </c>
      <c r="L52" s="50">
        <f>IS!X64</f>
        <v>0</v>
      </c>
      <c r="M52" s="50">
        <f>IS!Y64</f>
        <v>0</v>
      </c>
      <c r="N52" s="68">
        <f>IS!Z64</f>
        <v>22909</v>
      </c>
      <c r="O52" s="71"/>
      <c r="P52" s="50">
        <f>IS!AB64</f>
        <v>0</v>
      </c>
      <c r="Q52" s="50">
        <f>IS!AC64</f>
        <v>0</v>
      </c>
      <c r="R52" s="50">
        <f>IS!AD64</f>
        <v>0</v>
      </c>
      <c r="S52" s="50">
        <f>IS!AE64</f>
        <v>0</v>
      </c>
      <c r="T52" s="68">
        <f>IS!AF64</f>
        <v>0</v>
      </c>
      <c r="U52" s="49"/>
      <c r="V52" s="50">
        <f>IS!AH64</f>
        <v>0</v>
      </c>
      <c r="W52" s="50">
        <f>IS!AI64</f>
        <v>0</v>
      </c>
      <c r="X52" s="46">
        <f>X53*W79</f>
        <v>0</v>
      </c>
      <c r="Y52" s="46">
        <f>Y53*X79</f>
        <v>0</v>
      </c>
      <c r="Z52" s="57">
        <f>SUM(V52:Y52)</f>
        <v>0</v>
      </c>
      <c r="AA52" s="71"/>
      <c r="AB52" s="46">
        <f>AB53*Y79</f>
        <v>0</v>
      </c>
      <c r="AC52" s="46">
        <f>AC53*AB79</f>
        <v>0</v>
      </c>
      <c r="AD52" s="46">
        <f t="shared" ref="AD52:AE52" si="73">AD53*AC79</f>
        <v>0</v>
      </c>
      <c r="AE52" s="46">
        <f t="shared" si="73"/>
        <v>0</v>
      </c>
      <c r="AF52" s="57">
        <f>SUM(AB52:AE52)</f>
        <v>0</v>
      </c>
      <c r="AG52" s="71"/>
      <c r="AH52" s="57">
        <f>AH53*AF79</f>
        <v>0</v>
      </c>
      <c r="AI52" s="72"/>
      <c r="AJ52" s="57">
        <f>AJ53*AH79</f>
        <v>0</v>
      </c>
      <c r="AL52" s="57">
        <f>AL53*AJ79</f>
        <v>0</v>
      </c>
    </row>
    <row r="53" spans="2:38" s="54" customFormat="1" ht="14.25" customHeight="1">
      <c r="B53" s="302" t="s">
        <v>370</v>
      </c>
      <c r="C53" s="23"/>
      <c r="D53" s="305">
        <f>D52/D79</f>
        <v>1.4433223579140932E-2</v>
      </c>
      <c r="E53" s="305">
        <f>E52/E79</f>
        <v>1.4987033757071647E-2</v>
      </c>
      <c r="F53" s="305">
        <f>F52/F79</f>
        <v>1.4679396686232261E-2</v>
      </c>
      <c r="G53" s="305">
        <f>G52/G79</f>
        <v>1.5526258444105469E-2</v>
      </c>
      <c r="H53" s="308">
        <f>H52/H79</f>
        <v>5.9072664950851922E-2</v>
      </c>
      <c r="I53" s="48"/>
      <c r="J53" s="305">
        <f>J52/J79</f>
        <v>1.6007992379359216E-2</v>
      </c>
      <c r="K53" s="305">
        <f>K52/K79</f>
        <v>1.6884932417649549E-2</v>
      </c>
      <c r="L53" s="305">
        <f>L52/L79</f>
        <v>0</v>
      </c>
      <c r="M53" s="305">
        <f>M52/M79</f>
        <v>0</v>
      </c>
      <c r="N53" s="308">
        <f>N52/N79</f>
        <v>3.0769334085475594E-2</v>
      </c>
      <c r="O53" s="71"/>
      <c r="P53" s="305">
        <f>P52/P79</f>
        <v>0</v>
      </c>
      <c r="Q53" s="305">
        <f>Q52/Q79</f>
        <v>0</v>
      </c>
      <c r="R53" s="305">
        <f>R52/R79</f>
        <v>0</v>
      </c>
      <c r="S53" s="305">
        <f>S52/S79</f>
        <v>0</v>
      </c>
      <c r="T53" s="308">
        <f>T52/T79</f>
        <v>0</v>
      </c>
      <c r="U53" s="49"/>
      <c r="V53" s="305">
        <f>V52/V79</f>
        <v>0</v>
      </c>
      <c r="W53" s="305">
        <f>W52/W79</f>
        <v>0</v>
      </c>
      <c r="X53" s="316"/>
      <c r="Y53" s="316"/>
      <c r="Z53" s="306">
        <f>Z52/Z79</f>
        <v>0</v>
      </c>
      <c r="AA53" s="71"/>
      <c r="AB53" s="316"/>
      <c r="AC53" s="316"/>
      <c r="AD53" s="316"/>
      <c r="AE53" s="316"/>
      <c r="AF53" s="306">
        <f>AF52/AF79</f>
        <v>0</v>
      </c>
      <c r="AG53" s="71"/>
      <c r="AH53" s="316"/>
      <c r="AI53" s="72"/>
      <c r="AJ53" s="316"/>
      <c r="AL53" s="316"/>
    </row>
    <row r="54" spans="2:38" s="54" customFormat="1" ht="14.25" customHeight="1">
      <c r="B54" s="31"/>
      <c r="C54" s="23"/>
      <c r="D54" s="305"/>
      <c r="E54" s="305"/>
      <c r="F54" s="305"/>
      <c r="G54" s="305"/>
      <c r="H54" s="308"/>
      <c r="I54" s="48"/>
      <c r="J54" s="305"/>
      <c r="K54" s="305"/>
      <c r="L54" s="305"/>
      <c r="M54" s="305"/>
      <c r="N54" s="308"/>
      <c r="O54" s="71"/>
      <c r="P54" s="305"/>
      <c r="Q54" s="305"/>
      <c r="R54" s="305"/>
      <c r="S54" s="305"/>
      <c r="T54" s="308"/>
      <c r="U54" s="49"/>
      <c r="V54" s="305"/>
      <c r="W54" s="305"/>
      <c r="X54" s="50"/>
      <c r="Y54" s="50"/>
      <c r="Z54" s="66"/>
      <c r="AA54" s="71"/>
      <c r="AB54" s="50"/>
      <c r="AC54" s="50"/>
      <c r="AD54" s="50"/>
      <c r="AE54" s="50"/>
      <c r="AF54" s="66"/>
      <c r="AG54" s="71"/>
      <c r="AH54" s="68"/>
      <c r="AI54" s="72"/>
      <c r="AJ54" s="68"/>
    </row>
    <row r="55" spans="2:38" s="54" customFormat="1" ht="14.25" customHeight="1">
      <c r="B55" s="301" t="s">
        <v>371</v>
      </c>
      <c r="C55" s="23"/>
      <c r="D55" s="50">
        <f>IS!P65</f>
        <v>9670</v>
      </c>
      <c r="E55" s="50">
        <f>IS!Q65</f>
        <v>10027</v>
      </c>
      <c r="F55" s="50">
        <f>IS!R65</f>
        <v>9878.5</v>
      </c>
      <c r="G55" s="50">
        <f>IS!S65</f>
        <v>10545</v>
      </c>
      <c r="H55" s="68">
        <f>IS!T65</f>
        <v>40120.5</v>
      </c>
      <c r="I55" s="48"/>
      <c r="J55" s="50">
        <f>IS!V65</f>
        <v>11024</v>
      </c>
      <c r="K55" s="50">
        <f>IS!W65</f>
        <v>11885</v>
      </c>
      <c r="L55" s="50">
        <f>IS!X65</f>
        <v>0</v>
      </c>
      <c r="M55" s="50">
        <f>IS!Y65</f>
        <v>0</v>
      </c>
      <c r="N55" s="68">
        <f>IS!Z65</f>
        <v>22909</v>
      </c>
      <c r="O55" s="71"/>
      <c r="P55" s="50">
        <f>IS!AB65</f>
        <v>0</v>
      </c>
      <c r="Q55" s="50">
        <f>IS!AC65</f>
        <v>0</v>
      </c>
      <c r="R55" s="50">
        <f>IS!AD65</f>
        <v>0</v>
      </c>
      <c r="S55" s="50">
        <f>IS!AE65</f>
        <v>0</v>
      </c>
      <c r="T55" s="68">
        <f>IS!AF65</f>
        <v>0</v>
      </c>
      <c r="U55" s="49"/>
      <c r="V55" s="50">
        <f>IS!AH65</f>
        <v>0</v>
      </c>
      <c r="W55" s="50">
        <f>IS!AI65</f>
        <v>0</v>
      </c>
      <c r="X55" s="46">
        <f>X56*W82</f>
        <v>0</v>
      </c>
      <c r="Y55" s="46">
        <f>Y56*X82</f>
        <v>0</v>
      </c>
      <c r="Z55" s="57">
        <f>SUM(V55:Y55)</f>
        <v>0</v>
      </c>
      <c r="AA55" s="71"/>
      <c r="AB55" s="46">
        <f>AB56*Y82</f>
        <v>0</v>
      </c>
      <c r="AC55" s="46">
        <f t="shared" ref="AC55:AE55" si="74">AC56*AB82</f>
        <v>0</v>
      </c>
      <c r="AD55" s="46">
        <f t="shared" si="74"/>
        <v>0</v>
      </c>
      <c r="AE55" s="46">
        <f t="shared" si="74"/>
        <v>0</v>
      </c>
      <c r="AF55" s="57">
        <f>SUM(AB55:AE55)</f>
        <v>0</v>
      </c>
      <c r="AG55" s="71"/>
      <c r="AH55" s="57">
        <f>AH56*AF82</f>
        <v>0</v>
      </c>
      <c r="AI55" s="72"/>
      <c r="AJ55" s="57">
        <f>AJ56*AH82</f>
        <v>0</v>
      </c>
      <c r="AL55" s="57">
        <f>AL56*AJ82</f>
        <v>0</v>
      </c>
    </row>
    <row r="56" spans="2:38" s="54" customFormat="1" ht="14.25" customHeight="1">
      <c r="B56" s="302" t="s">
        <v>372</v>
      </c>
      <c r="C56" s="23"/>
      <c r="D56" s="305">
        <f>D55/D82</f>
        <v>0.15155789605667355</v>
      </c>
      <c r="E56" s="305">
        <f>E55/E82</f>
        <v>0.15853716381804669</v>
      </c>
      <c r="F56" s="305">
        <f>F55/F82</f>
        <v>0.15757193900338162</v>
      </c>
      <c r="G56" s="305">
        <f>G55/G82</f>
        <v>0.16970565041762556</v>
      </c>
      <c r="H56" s="308">
        <f>H55/H82</f>
        <v>0.64567809839548096</v>
      </c>
      <c r="I56" s="48"/>
      <c r="J56" s="305">
        <f>J55/J82</f>
        <v>0.17896684957303807</v>
      </c>
      <c r="K56" s="305">
        <f>K55/K82</f>
        <v>0.19469881886538998</v>
      </c>
      <c r="L56" s="305">
        <f>L55/L82</f>
        <v>0</v>
      </c>
      <c r="M56" s="305">
        <f>M55/M82</f>
        <v>0</v>
      </c>
      <c r="N56" s="308">
        <f>N55/N82</f>
        <v>0.38243493648064369</v>
      </c>
      <c r="O56" s="71"/>
      <c r="P56" s="305">
        <f>P55/P82</f>
        <v>0</v>
      </c>
      <c r="Q56" s="305">
        <f>Q55/Q82</f>
        <v>0</v>
      </c>
      <c r="R56" s="305">
        <f>R55/R82</f>
        <v>0</v>
      </c>
      <c r="S56" s="305">
        <f>S55/S82</f>
        <v>0</v>
      </c>
      <c r="T56" s="308">
        <f>T55/T82</f>
        <v>0</v>
      </c>
      <c r="U56" s="49"/>
      <c r="V56" s="305">
        <f>V55/V82</f>
        <v>0</v>
      </c>
      <c r="W56" s="305">
        <f>W55/W82</f>
        <v>0</v>
      </c>
      <c r="X56" s="316"/>
      <c r="Y56" s="316"/>
      <c r="Z56" s="306">
        <f>Z55/Z82</f>
        <v>0</v>
      </c>
      <c r="AA56" s="71"/>
      <c r="AB56" s="316"/>
      <c r="AC56" s="316"/>
      <c r="AD56" s="316"/>
      <c r="AE56" s="316"/>
      <c r="AF56" s="306">
        <f>AF55/AF82</f>
        <v>0</v>
      </c>
      <c r="AG56" s="71"/>
      <c r="AH56" s="316"/>
      <c r="AI56" s="72"/>
      <c r="AJ56" s="316"/>
      <c r="AL56" s="316"/>
    </row>
    <row r="57" spans="2:38" s="54" customFormat="1" ht="14.25" customHeight="1">
      <c r="B57" s="31"/>
      <c r="C57" s="23"/>
      <c r="D57" s="46"/>
      <c r="E57" s="46"/>
      <c r="F57" s="46"/>
      <c r="G57" s="46"/>
      <c r="H57" s="66"/>
      <c r="I57" s="48"/>
      <c r="J57" s="46"/>
      <c r="K57" s="46"/>
      <c r="L57" s="46"/>
      <c r="M57" s="46"/>
      <c r="N57" s="66"/>
      <c r="O57" s="71"/>
      <c r="P57" s="46"/>
      <c r="Q57" s="46"/>
      <c r="R57" s="46"/>
      <c r="S57" s="46"/>
      <c r="T57" s="66"/>
      <c r="U57" s="49"/>
      <c r="V57" s="46"/>
      <c r="W57" s="46"/>
      <c r="X57" s="50"/>
      <c r="Y57" s="50"/>
      <c r="Z57" s="66"/>
      <c r="AA57" s="71"/>
      <c r="AB57" s="50"/>
      <c r="AC57" s="50"/>
      <c r="AD57" s="50"/>
      <c r="AE57" s="50"/>
      <c r="AF57" s="66"/>
      <c r="AG57" s="71"/>
      <c r="AH57" s="68"/>
      <c r="AI57" s="72"/>
      <c r="AJ57" s="68"/>
    </row>
    <row r="58" spans="2:38" s="54" customFormat="1" ht="14.25" customHeight="1">
      <c r="B58" s="39" t="s">
        <v>373</v>
      </c>
      <c r="C58" s="23"/>
      <c r="D58" s="50">
        <f>IS!P30+IS!P32</f>
        <v>0</v>
      </c>
      <c r="E58" s="50">
        <f>IS!Q30+IS!Q32</f>
        <v>0</v>
      </c>
      <c r="F58" s="50">
        <f>IS!R30+IS!R32</f>
        <v>0</v>
      </c>
      <c r="G58" s="50">
        <f>IS!S30+IS!S32</f>
        <v>0</v>
      </c>
      <c r="H58" s="68">
        <f>IS!T30+IS!T32</f>
        <v>0</v>
      </c>
      <c r="I58" s="48"/>
      <c r="J58" s="50">
        <f>IS!V30+IS!V32</f>
        <v>0</v>
      </c>
      <c r="K58" s="50">
        <f>IS!W30+IS!W32</f>
        <v>0</v>
      </c>
      <c r="L58" s="50">
        <f>IS!X30+IS!X32</f>
        <v>0</v>
      </c>
      <c r="M58" s="50">
        <f>IS!Y30+IS!Y32</f>
        <v>0</v>
      </c>
      <c r="N58" s="68">
        <f>IS!Z30+IS!Z32</f>
        <v>0</v>
      </c>
      <c r="O58" s="71"/>
      <c r="P58" s="50">
        <f>IS!AB30+IS!AB32</f>
        <v>0</v>
      </c>
      <c r="Q58" s="50">
        <f>IS!AC30+IS!AC32</f>
        <v>0</v>
      </c>
      <c r="R58" s="50">
        <f>IS!AD30+IS!AD32</f>
        <v>0</v>
      </c>
      <c r="S58" s="50">
        <f>IS!AE30+IS!AE32</f>
        <v>0</v>
      </c>
      <c r="T58" s="68">
        <f>IS!AF30+IS!AF32</f>
        <v>0</v>
      </c>
      <c r="U58" s="49"/>
      <c r="V58" s="50">
        <f>IS!AH30+IS!AH32</f>
        <v>146</v>
      </c>
      <c r="W58" s="50">
        <f>IS!AI30+IS!AI32</f>
        <v>0</v>
      </c>
      <c r="X58" s="46">
        <f>X59*X$31</f>
        <v>0</v>
      </c>
      <c r="Y58" s="46">
        <f>Y59*Y$31</f>
        <v>0</v>
      </c>
      <c r="Z58" s="57">
        <f>SUM(V58:Y58)</f>
        <v>146</v>
      </c>
      <c r="AA58" s="71"/>
      <c r="AB58" s="46">
        <f>AB59*AB$31</f>
        <v>0</v>
      </c>
      <c r="AC58" s="46">
        <f>AC59*AC$31</f>
        <v>0</v>
      </c>
      <c r="AD58" s="46">
        <f>AD59*AD$31</f>
        <v>0</v>
      </c>
      <c r="AE58" s="46">
        <f>AE59*AE$31</f>
        <v>0</v>
      </c>
      <c r="AF58" s="57">
        <f>SUM(AB58:AE58)</f>
        <v>0</v>
      </c>
      <c r="AG58" s="71"/>
      <c r="AH58" s="57">
        <f>AH59*AH$31</f>
        <v>0</v>
      </c>
      <c r="AI58" s="72"/>
      <c r="AJ58" s="57">
        <f>AJ59*AJ$31</f>
        <v>0</v>
      </c>
      <c r="AL58" s="57">
        <f>AL59*AL$31</f>
        <v>0</v>
      </c>
    </row>
    <row r="59" spans="2:38" s="54" customFormat="1" ht="14.25" customHeight="1">
      <c r="B59" s="31" t="s">
        <v>360</v>
      </c>
      <c r="C59" s="21"/>
      <c r="D59" s="305">
        <f>D58/D31</f>
        <v>0</v>
      </c>
      <c r="E59" s="305">
        <f>E58/E31</f>
        <v>0</v>
      </c>
      <c r="F59" s="305">
        <f>F58/F31</f>
        <v>0</v>
      </c>
      <c r="G59" s="305">
        <f>G58/G31</f>
        <v>0</v>
      </c>
      <c r="H59" s="308">
        <f>H58/H31</f>
        <v>0</v>
      </c>
      <c r="I59" s="48"/>
      <c r="J59" s="305">
        <f>J58/J31</f>
        <v>0</v>
      </c>
      <c r="K59" s="305">
        <f>K58/K31</f>
        <v>0</v>
      </c>
      <c r="L59" s="305">
        <f>L58/L31</f>
        <v>0</v>
      </c>
      <c r="M59" s="305">
        <f>M58/M31</f>
        <v>0</v>
      </c>
      <c r="N59" s="308">
        <f>N58/N31</f>
        <v>0</v>
      </c>
      <c r="O59" s="86"/>
      <c r="P59" s="305">
        <f>P58/P31</f>
        <v>0</v>
      </c>
      <c r="Q59" s="305">
        <f>Q58/Q31</f>
        <v>0</v>
      </c>
      <c r="R59" s="305">
        <f>R58/R31</f>
        <v>0</v>
      </c>
      <c r="S59" s="305">
        <f>S58/S31</f>
        <v>0</v>
      </c>
      <c r="T59" s="308">
        <f>T58/T31</f>
        <v>0</v>
      </c>
      <c r="U59" s="82"/>
      <c r="V59" s="305">
        <f>V58/V31</f>
        <v>1.8578112692795636E-4</v>
      </c>
      <c r="W59" s="305">
        <f>W58/W31</f>
        <v>0</v>
      </c>
      <c r="X59" s="316"/>
      <c r="Y59" s="316"/>
      <c r="Z59" s="306">
        <f>Z58/Z$31</f>
        <v>3.6560223828701832E-5</v>
      </c>
      <c r="AA59" s="71"/>
      <c r="AB59" s="316"/>
      <c r="AC59" s="316"/>
      <c r="AD59" s="316"/>
      <c r="AE59" s="316"/>
      <c r="AF59" s="306">
        <f>AF58/AF$31</f>
        <v>0</v>
      </c>
      <c r="AG59" s="71"/>
      <c r="AH59" s="316"/>
      <c r="AI59" s="72"/>
      <c r="AJ59" s="316"/>
      <c r="AL59" s="316"/>
    </row>
    <row r="60" spans="2:38" s="54" customFormat="1" ht="14.25" customHeight="1">
      <c r="B60" s="39"/>
      <c r="C60" s="23"/>
      <c r="D60" s="46"/>
      <c r="E60" s="46"/>
      <c r="F60" s="46"/>
      <c r="G60" s="46"/>
      <c r="H60" s="66"/>
      <c r="I60" s="48"/>
      <c r="J60" s="46"/>
      <c r="K60" s="46"/>
      <c r="L60" s="46"/>
      <c r="M60" s="46"/>
      <c r="N60" s="66"/>
      <c r="O60" s="71"/>
      <c r="P60" s="46"/>
      <c r="Q60" s="46"/>
      <c r="R60" s="46"/>
      <c r="S60" s="46"/>
      <c r="T60" s="66"/>
      <c r="U60" s="49"/>
      <c r="V60" s="46"/>
      <c r="W60" s="46"/>
      <c r="X60" s="50"/>
      <c r="Y60" s="50"/>
      <c r="Z60" s="66"/>
      <c r="AA60" s="71"/>
      <c r="AB60" s="50"/>
      <c r="AC60" s="50"/>
      <c r="AD60" s="50"/>
      <c r="AE60" s="50"/>
      <c r="AF60" s="66"/>
      <c r="AG60" s="71"/>
      <c r="AH60" s="68"/>
      <c r="AI60" s="72"/>
      <c r="AJ60" s="68"/>
    </row>
    <row r="61" spans="2:38" s="54" customFormat="1" ht="14.25" customHeight="1">
      <c r="B61" s="28" t="s">
        <v>374</v>
      </c>
      <c r="C61" s="23"/>
      <c r="D61" s="50">
        <f>IS!P33</f>
        <v>-39880</v>
      </c>
      <c r="E61" s="50">
        <f>IS!Q33</f>
        <v>-4033</v>
      </c>
      <c r="F61" s="50">
        <f>IS!R33</f>
        <v>38896</v>
      </c>
      <c r="G61" s="50">
        <f>IS!S33</f>
        <v>143445</v>
      </c>
      <c r="H61" s="68">
        <f>IS!T33</f>
        <v>138428</v>
      </c>
      <c r="I61" s="48"/>
      <c r="J61" s="50">
        <f>IS!V33</f>
        <v>163883</v>
      </c>
      <c r="K61" s="50">
        <f>IS!W33</f>
        <v>259897</v>
      </c>
      <c r="L61" s="50">
        <f>IS!X33</f>
        <v>404537</v>
      </c>
      <c r="M61" s="50">
        <f>IS!Y33</f>
        <v>135933</v>
      </c>
      <c r="N61" s="68">
        <f>IS!Z33</f>
        <v>964250</v>
      </c>
      <c r="O61" s="71"/>
      <c r="P61" s="50">
        <f>IS!AB33</f>
        <v>-6813</v>
      </c>
      <c r="Q61" s="50">
        <f>IS!AC33</f>
        <v>14552</v>
      </c>
      <c r="R61" s="50">
        <f>IS!AD33</f>
        <v>152552</v>
      </c>
      <c r="S61" s="50">
        <f>IS!AE33</f>
        <v>128655</v>
      </c>
      <c r="T61" s="68">
        <f>IS!AF33</f>
        <v>288946</v>
      </c>
      <c r="U61" s="49"/>
      <c r="V61" s="50">
        <f>IS!AH33</f>
        <v>185140</v>
      </c>
      <c r="W61" s="50">
        <f>IS!AI33</f>
        <v>278409</v>
      </c>
      <c r="X61" s="46">
        <f>X40-X43-X46-X49-X58</f>
        <v>312152.07899999997</v>
      </c>
      <c r="Y61" s="46">
        <f>Y40-Y43-Y46-Y49-Y58</f>
        <v>270555.27059999999</v>
      </c>
      <c r="Z61" s="66">
        <f>SUM(V61:Y61)</f>
        <v>1046256.3495999998</v>
      </c>
      <c r="AA61" s="71"/>
      <c r="AB61" s="46">
        <f t="shared" ref="AB61:AE61" si="75">AB40-AB43-AB46-AB49-AB58</f>
        <v>429202.87540000002</v>
      </c>
      <c r="AC61" s="46">
        <f t="shared" si="75"/>
        <v>368810.23999999993</v>
      </c>
      <c r="AD61" s="46">
        <f t="shared" si="75"/>
        <v>526771.78379999998</v>
      </c>
      <c r="AE61" s="46">
        <f t="shared" si="75"/>
        <v>481732.21059999987</v>
      </c>
      <c r="AF61" s="66">
        <f>SUM(AB61:AE61)</f>
        <v>1806517.1097999997</v>
      </c>
      <c r="AG61" s="71"/>
      <c r="AH61" s="54">
        <f>AH40-AH43-AH46-AH49-AH58</f>
        <v>902967.05099999974</v>
      </c>
      <c r="AI61" s="72"/>
      <c r="AJ61" s="54">
        <f>AJ40-AJ43-AJ46-AJ49-AJ58</f>
        <v>1527881.4226000002</v>
      </c>
      <c r="AL61" s="54">
        <f>AL40-AL43-AL46-AL49-AL58</f>
        <v>2554432.02</v>
      </c>
    </row>
    <row r="62" spans="2:38" s="54" customFormat="1" ht="14.25" customHeight="1">
      <c r="B62" s="31" t="s">
        <v>360</v>
      </c>
      <c r="C62" s="23"/>
      <c r="D62" s="305">
        <f>D61/D31</f>
        <v>-0.12022767286496394</v>
      </c>
      <c r="E62" s="305">
        <f>E61/E31</f>
        <v>-1.0565252814213447E-2</v>
      </c>
      <c r="F62" s="305">
        <f>F61/F31</f>
        <v>8.1460150580646512E-2</v>
      </c>
      <c r="G62" s="305">
        <f>G61/G31</f>
        <v>0.24191181926727423</v>
      </c>
      <c r="H62" s="308">
        <f>H61/H31</f>
        <v>7.7892861584135123E-2</v>
      </c>
      <c r="I62" s="48"/>
      <c r="J62" s="305">
        <f>J61/J31</f>
        <v>0.24893216920029651</v>
      </c>
      <c r="K62" s="305">
        <f>K61/K31</f>
        <v>0.32418236247973059</v>
      </c>
      <c r="L62" s="305">
        <f>L61/L31</f>
        <v>0.40555372318402233</v>
      </c>
      <c r="M62" s="305">
        <f>M61/M31</f>
        <v>0.19738194807457746</v>
      </c>
      <c r="N62" s="308">
        <f>N61/N31</f>
        <v>0.30647917800965413</v>
      </c>
      <c r="O62" s="71"/>
      <c r="P62" s="305">
        <f>P61/P31</f>
        <v>-1.4832021317356926E-2</v>
      </c>
      <c r="Q62" s="305">
        <f>Q61/Q31</f>
        <v>2.7811648325605752E-2</v>
      </c>
      <c r="R62" s="305">
        <f>R61/R31</f>
        <v>0.2169779653977664</v>
      </c>
      <c r="S62" s="305">
        <f>S61/S31</f>
        <v>0.20077591843805059</v>
      </c>
      <c r="T62" s="308">
        <f>T61/T31</f>
        <v>0.12420076485862752</v>
      </c>
      <c r="U62" s="49"/>
      <c r="V62" s="305">
        <f>V61/V31</f>
        <v>0.23558573862631399</v>
      </c>
      <c r="W62" s="305">
        <f>W61/W31</f>
        <v>0.29162821537472072</v>
      </c>
      <c r="X62" s="307">
        <f t="shared" ref="X62:Y62" si="76">X61/X$31</f>
        <v>0.28899999999999998</v>
      </c>
      <c r="Y62" s="307">
        <f t="shared" si="76"/>
        <v>0.23069999999999999</v>
      </c>
      <c r="Z62" s="306">
        <f>Z61/Z$31</f>
        <v>0.26199565975052402</v>
      </c>
      <c r="AA62" s="71"/>
      <c r="AB62" s="307">
        <f t="shared" ref="AB62" si="77">AB61/AB$31</f>
        <v>0.33019999999999999</v>
      </c>
      <c r="AC62" s="307">
        <f t="shared" ref="AC62" si="78">AC61/AC$31</f>
        <v>0.25599999999999995</v>
      </c>
      <c r="AD62" s="307">
        <f t="shared" ref="AD62" si="79">AD61/AD$31</f>
        <v>0.32989999999999997</v>
      </c>
      <c r="AE62" s="307">
        <f t="shared" ref="AE62" si="80">AE61/AE$31</f>
        <v>0.27219999999999994</v>
      </c>
      <c r="AF62" s="306">
        <f>AF61/AF$31</f>
        <v>0.2958095829279942</v>
      </c>
      <c r="AG62" s="71"/>
      <c r="AH62" s="306">
        <f>AH61/AH$31</f>
        <v>0.3380999999999999</v>
      </c>
      <c r="AI62" s="72"/>
      <c r="AJ62" s="306">
        <f>AJ61/AJ$31</f>
        <v>0.37910000000000005</v>
      </c>
      <c r="AL62" s="306">
        <f>AL61/AL$31</f>
        <v>0.42</v>
      </c>
    </row>
    <row r="63" spans="2:38" s="54" customFormat="1" ht="14.25" customHeight="1">
      <c r="B63" s="31"/>
      <c r="C63" s="23"/>
      <c r="D63" s="46"/>
      <c r="E63" s="46"/>
      <c r="F63" s="46"/>
      <c r="G63" s="46"/>
      <c r="H63" s="66"/>
      <c r="I63" s="48"/>
      <c r="J63" s="46"/>
      <c r="K63" s="46"/>
      <c r="L63" s="46"/>
      <c r="M63" s="46"/>
      <c r="N63" s="66"/>
      <c r="O63" s="71"/>
      <c r="P63" s="46"/>
      <c r="Q63" s="46"/>
      <c r="R63" s="46"/>
      <c r="S63" s="46"/>
      <c r="T63" s="66"/>
      <c r="U63" s="49"/>
      <c r="V63" s="46"/>
      <c r="W63" s="46"/>
      <c r="X63" s="50"/>
      <c r="Y63" s="50"/>
      <c r="Z63" s="66"/>
      <c r="AA63" s="71"/>
      <c r="AB63" s="50"/>
      <c r="AC63" s="50"/>
      <c r="AD63" s="50"/>
      <c r="AE63" s="50"/>
      <c r="AF63" s="66"/>
      <c r="AG63" s="71"/>
      <c r="AH63" s="68"/>
      <c r="AI63" s="72"/>
      <c r="AJ63" s="68"/>
    </row>
    <row r="64" spans="2:38" s="54" customFormat="1" ht="14.25" customHeight="1">
      <c r="B64" s="28" t="s">
        <v>375</v>
      </c>
      <c r="C64" s="23"/>
      <c r="D64" s="320">
        <f>IS!P59</f>
        <v>48858</v>
      </c>
      <c r="E64" s="320">
        <f>IS!Q59</f>
        <v>48857</v>
      </c>
      <c r="F64" s="320">
        <f>IS!R59</f>
        <v>48886</v>
      </c>
      <c r="G64" s="320">
        <f>IS!S59</f>
        <v>48622</v>
      </c>
      <c r="H64" s="330">
        <f>IS!T59</f>
        <v>48581</v>
      </c>
      <c r="I64" s="331"/>
      <c r="J64" s="320">
        <f>IS!V59</f>
        <v>48623</v>
      </c>
      <c r="K64" s="320">
        <f>IS!W59</f>
        <v>48624</v>
      </c>
      <c r="L64" s="320">
        <f>IS!X59</f>
        <v>48653</v>
      </c>
      <c r="M64" s="320">
        <f>IS!Y59</f>
        <v>48689</v>
      </c>
      <c r="N64" s="330">
        <f>IS!Z59</f>
        <v>48648</v>
      </c>
      <c r="O64" s="334"/>
      <c r="P64" s="320">
        <f>IS!AB59</f>
        <v>48690</v>
      </c>
      <c r="Q64" s="320">
        <f>IS!AC59</f>
        <v>48690</v>
      </c>
      <c r="R64" s="320">
        <f>IS!AD59</f>
        <v>48727</v>
      </c>
      <c r="S64" s="320">
        <f>IS!AE59</f>
        <v>48761</v>
      </c>
      <c r="T64" s="330">
        <f>IS!AF59</f>
        <v>48717</v>
      </c>
      <c r="U64" s="335"/>
      <c r="V64" s="320">
        <f>IS!AH59</f>
        <v>48761</v>
      </c>
      <c r="W64" s="320">
        <f>IS!AI59</f>
        <v>48765</v>
      </c>
      <c r="X64" s="320">
        <f>W64+X101</f>
        <v>48766.082892542974</v>
      </c>
      <c r="Y64" s="320">
        <f>X64+Y101</f>
        <v>48767.127153579277</v>
      </c>
      <c r="Z64" s="330">
        <f>AVERAGE(V64:Y64)</f>
        <v>48764.802511530565</v>
      </c>
      <c r="AA64" s="71"/>
      <c r="AB64" s="320">
        <f>Y64+AB101</f>
        <v>48768.052992962213</v>
      </c>
      <c r="AC64" s="320">
        <f t="shared" ref="AC64:AE64" si="81">AB64+AC101</f>
        <v>48769.070749584331</v>
      </c>
      <c r="AD64" s="320">
        <f t="shared" si="81"/>
        <v>48769.932858148859</v>
      </c>
      <c r="AE64" s="320">
        <f t="shared" si="81"/>
        <v>48770.897447667412</v>
      </c>
      <c r="AF64" s="330">
        <f>AVERAGE(AB64:AE64)</f>
        <v>48769.488512090698</v>
      </c>
      <c r="AG64" s="71"/>
      <c r="AH64" s="330">
        <f>AE64+AH101</f>
        <v>48773.933436033527</v>
      </c>
      <c r="AI64" s="72"/>
      <c r="AJ64" s="330">
        <f>AF64+AJ101</f>
        <v>48772.301142252174</v>
      </c>
      <c r="AL64" s="330">
        <f>AH64+AL101</f>
        <v>48776.522432352496</v>
      </c>
    </row>
    <row r="65" spans="2:38" s="54" customFormat="1" ht="14.25" customHeight="1">
      <c r="B65" s="28" t="s">
        <v>376</v>
      </c>
      <c r="C65" s="23"/>
      <c r="D65" s="320">
        <f>IS!P60</f>
        <v>48858</v>
      </c>
      <c r="E65" s="320">
        <f>IS!Q60</f>
        <v>49016</v>
      </c>
      <c r="F65" s="320">
        <f>IS!R60</f>
        <v>49036</v>
      </c>
      <c r="G65" s="320">
        <f>IS!S60</f>
        <v>48791</v>
      </c>
      <c r="H65" s="330">
        <f>IS!T60</f>
        <v>48734</v>
      </c>
      <c r="I65" s="331"/>
      <c r="J65" s="320">
        <f>IS!V60</f>
        <v>48811</v>
      </c>
      <c r="K65" s="320">
        <f>IS!W60</f>
        <v>48840</v>
      </c>
      <c r="L65" s="320">
        <f>IS!X60</f>
        <v>48842</v>
      </c>
      <c r="M65" s="320">
        <f>IS!Y60</f>
        <v>48838</v>
      </c>
      <c r="N65" s="330">
        <f>IS!Z60</f>
        <v>48834</v>
      </c>
      <c r="O65" s="334"/>
      <c r="P65" s="320">
        <f>IS!AB60</f>
        <v>48840</v>
      </c>
      <c r="Q65" s="320">
        <f>IS!AC60</f>
        <v>48866</v>
      </c>
      <c r="R65" s="320">
        <f>IS!AD60</f>
        <v>48884</v>
      </c>
      <c r="S65" s="320">
        <f>IS!AE60</f>
        <v>48902</v>
      </c>
      <c r="T65" s="330">
        <f>IS!AF60</f>
        <v>48873</v>
      </c>
      <c r="U65" s="335"/>
      <c r="V65" s="320">
        <f>IS!AH60</f>
        <v>48932</v>
      </c>
      <c r="W65" s="320">
        <f>IS!AI60</f>
        <v>48970</v>
      </c>
      <c r="X65" s="320">
        <f>W65</f>
        <v>48970</v>
      </c>
      <c r="Y65" s="320">
        <f>X65</f>
        <v>48970</v>
      </c>
      <c r="Z65" s="330">
        <f>AVERAGE(V65:Y65)</f>
        <v>48960.5</v>
      </c>
      <c r="AA65" s="71"/>
      <c r="AB65" s="320">
        <f>Y65</f>
        <v>48970</v>
      </c>
      <c r="AC65" s="320">
        <f t="shared" ref="AC65:AE65" si="82">AB65</f>
        <v>48970</v>
      </c>
      <c r="AD65" s="320">
        <f t="shared" si="82"/>
        <v>48970</v>
      </c>
      <c r="AE65" s="320">
        <f t="shared" si="82"/>
        <v>48970</v>
      </c>
      <c r="AF65" s="330">
        <f>AVERAGE(AB65:AE65)</f>
        <v>48970</v>
      </c>
      <c r="AG65" s="71"/>
      <c r="AH65" s="330">
        <f>AF65</f>
        <v>48970</v>
      </c>
      <c r="AI65" s="72"/>
      <c r="AJ65" s="330">
        <f>AH65</f>
        <v>48970</v>
      </c>
      <c r="AL65" s="330">
        <f>AJ65</f>
        <v>48970</v>
      </c>
    </row>
    <row r="66" spans="2:38" ht="14.25" customHeight="1">
      <c r="U66" s="205"/>
    </row>
    <row r="67" spans="2:38" s="55" customFormat="1" ht="14.25" customHeight="1">
      <c r="B67" s="161" t="s">
        <v>377</v>
      </c>
      <c r="C67" s="32"/>
      <c r="D67" s="359" t="s">
        <v>378</v>
      </c>
      <c r="E67" s="359" t="s">
        <v>379</v>
      </c>
      <c r="F67" s="359" t="s">
        <v>380</v>
      </c>
      <c r="G67" s="359" t="s">
        <v>381</v>
      </c>
      <c r="H67" s="359" t="s">
        <v>382</v>
      </c>
      <c r="I67" s="37"/>
      <c r="J67" s="359" t="s">
        <v>383</v>
      </c>
      <c r="K67" s="359" t="s">
        <v>384</v>
      </c>
      <c r="L67" s="359" t="s">
        <v>385</v>
      </c>
      <c r="M67" s="359" t="s">
        <v>386</v>
      </c>
      <c r="N67" s="359" t="s">
        <v>387</v>
      </c>
      <c r="O67" s="37"/>
      <c r="P67" s="359" t="s">
        <v>388</v>
      </c>
      <c r="Q67" s="359" t="s">
        <v>389</v>
      </c>
      <c r="R67" s="359" t="s">
        <v>390</v>
      </c>
      <c r="S67" s="359" t="s">
        <v>391</v>
      </c>
      <c r="T67" s="359" t="s">
        <v>392</v>
      </c>
      <c r="U67" s="37"/>
      <c r="V67" s="359" t="s">
        <v>393</v>
      </c>
      <c r="W67" s="359" t="s">
        <v>394</v>
      </c>
      <c r="X67" s="359" t="s">
        <v>395</v>
      </c>
      <c r="Y67" s="359" t="s">
        <v>396</v>
      </c>
      <c r="Z67" s="359" t="s">
        <v>397</v>
      </c>
      <c r="AA67" s="37"/>
      <c r="AB67" s="359" t="s">
        <v>398</v>
      </c>
      <c r="AC67" s="359" t="s">
        <v>399</v>
      </c>
      <c r="AD67" s="359" t="s">
        <v>400</v>
      </c>
      <c r="AE67" s="359" t="s">
        <v>401</v>
      </c>
      <c r="AF67" s="359" t="s">
        <v>402</v>
      </c>
      <c r="AG67" s="37"/>
      <c r="AH67" s="359" t="s">
        <v>403</v>
      </c>
      <c r="AI67" s="37"/>
      <c r="AJ67" s="359" t="s">
        <v>404</v>
      </c>
      <c r="AK67" s="359"/>
      <c r="AL67" s="359" t="s">
        <v>405</v>
      </c>
    </row>
    <row r="68" spans="2:38" ht="3.95" customHeight="1">
      <c r="B68" s="288"/>
      <c r="C68" s="36"/>
      <c r="D68" s="288"/>
      <c r="E68" s="288"/>
      <c r="F68" s="288"/>
      <c r="G68" s="288"/>
      <c r="H68" s="288"/>
      <c r="I68" s="36"/>
      <c r="J68" s="288"/>
      <c r="K68" s="288"/>
      <c r="L68" s="288"/>
      <c r="M68" s="288"/>
      <c r="N68" s="288"/>
      <c r="O68" s="36"/>
      <c r="P68" s="288"/>
      <c r="Q68" s="288"/>
      <c r="R68" s="288"/>
      <c r="S68" s="288"/>
      <c r="T68" s="288"/>
      <c r="U68" s="36"/>
      <c r="V68" s="288"/>
      <c r="W68" s="288"/>
      <c r="X68" s="288"/>
      <c r="Y68" s="288"/>
      <c r="Z68" s="288"/>
      <c r="AA68" s="36"/>
      <c r="AB68" s="288"/>
      <c r="AC68" s="288"/>
      <c r="AD68" s="288"/>
      <c r="AE68" s="288"/>
      <c r="AF68" s="288"/>
      <c r="AG68" s="36"/>
      <c r="AH68" s="288"/>
      <c r="AI68" s="36"/>
      <c r="AJ68" s="289"/>
      <c r="AK68" s="288"/>
      <c r="AL68" s="288"/>
    </row>
    <row r="69" spans="2:38" ht="3.95" customHeight="1">
      <c r="U69" s="205"/>
    </row>
    <row r="70" spans="2:38" ht="14.25" customHeight="1">
      <c r="B70" s="28" t="s">
        <v>406</v>
      </c>
      <c r="D70" s="50">
        <f>BS!P18</f>
        <v>134400</v>
      </c>
      <c r="E70" s="50">
        <f>BS!Q18</f>
        <v>152958</v>
      </c>
      <c r="F70" s="50">
        <f>BS!R18</f>
        <v>138654</v>
      </c>
      <c r="G70" s="50">
        <f>BS!S18</f>
        <v>169109</v>
      </c>
      <c r="H70" s="68">
        <f>BS!T18</f>
        <v>169109</v>
      </c>
      <c r="J70" s="50">
        <f>BS!V18</f>
        <v>178217</v>
      </c>
      <c r="K70" s="50">
        <f>BS!W18</f>
        <v>262964</v>
      </c>
      <c r="L70" s="50">
        <f>BS!X18</f>
        <v>206920</v>
      </c>
      <c r="M70" s="50">
        <f>BS!Y18</f>
        <v>110980</v>
      </c>
      <c r="N70" s="68">
        <f>BS!Z18</f>
        <v>110980</v>
      </c>
      <c r="P70" s="50">
        <f>BS!AB18</f>
        <v>125363</v>
      </c>
      <c r="Q70" s="50">
        <f>BS!AC18</f>
        <v>165391</v>
      </c>
      <c r="R70" s="50">
        <f>BS!AD18</f>
        <v>212851</v>
      </c>
      <c r="S70" s="50">
        <f>BS!AE18</f>
        <v>138550</v>
      </c>
      <c r="T70" s="68">
        <f>BS!AF18</f>
        <v>138550</v>
      </c>
      <c r="U70" s="205"/>
      <c r="V70" s="50">
        <f>BS!AH18</f>
        <v>272092</v>
      </c>
      <c r="W70" s="50">
        <f>BS!AI18</f>
        <v>307292</v>
      </c>
      <c r="X70" s="46">
        <f>X31*X71/92</f>
        <v>220718.3347826087</v>
      </c>
      <c r="Y70" s="46">
        <f>Y31*Y71/92</f>
        <v>275343.18260869564</v>
      </c>
      <c r="Z70" s="312">
        <f>Y70</f>
        <v>275343.18260869564</v>
      </c>
      <c r="AB70" s="46">
        <f>AB31*AB71/90</f>
        <v>314846.98444444448</v>
      </c>
      <c r="AC70" s="46">
        <f>AC31*AC71/91</f>
        <v>368873.56593406596</v>
      </c>
      <c r="AD70" s="46">
        <f t="shared" ref="AD70:AE70" si="83">AD31*AD71/92</f>
        <v>296789.4586956522</v>
      </c>
      <c r="AE70" s="46">
        <f t="shared" si="83"/>
        <v>380885.92826086952</v>
      </c>
      <c r="AF70" s="312">
        <f>AE70</f>
        <v>380885.92826086952</v>
      </c>
      <c r="AH70" s="312">
        <f>AH31*AH71/365</f>
        <v>136828.15616438357</v>
      </c>
      <c r="AJ70" s="312">
        <f>AJ31*AJ71/366</f>
        <v>187199.07650273223</v>
      </c>
      <c r="AL70" s="312">
        <f>AL31*AL71/365</f>
        <v>253277.01698630137</v>
      </c>
    </row>
    <row r="71" spans="2:38" ht="14.25" customHeight="1">
      <c r="B71" s="31" t="s">
        <v>407</v>
      </c>
      <c r="D71" s="323">
        <f>D70/D31*90</f>
        <v>36.466247015411334</v>
      </c>
      <c r="E71" s="323">
        <f>E70/E31*91</f>
        <v>36.464079974222145</v>
      </c>
      <c r="F71" s="323">
        <f>F70/F31*92</f>
        <v>26.715327183052871</v>
      </c>
      <c r="G71" s="323">
        <f>G70/G31*92</f>
        <v>26.237727754130098</v>
      </c>
      <c r="H71" s="324">
        <f>H70/H31*365</f>
        <v>34.732280566904819</v>
      </c>
      <c r="I71" s="325"/>
      <c r="J71" s="323">
        <f>J70/J31*90</f>
        <v>24.363448288432796</v>
      </c>
      <c r="K71" s="323">
        <f>K70/K31*91</f>
        <v>29.848726456280403</v>
      </c>
      <c r="L71" s="323">
        <f>L70/L31*92</f>
        <v>19.08448480340213</v>
      </c>
      <c r="M71" s="323">
        <f>M70/M31*92</f>
        <v>14.825695533484348</v>
      </c>
      <c r="N71" s="324">
        <f>N70/N31*365</f>
        <v>12.875049623087028</v>
      </c>
      <c r="O71" s="325"/>
      <c r="P71" s="323">
        <f>P70/P31*90</f>
        <v>24.562571841582781</v>
      </c>
      <c r="Q71" s="323">
        <f>Q70/Q31*91</f>
        <v>28.764531739145394</v>
      </c>
      <c r="R71" s="323">
        <f>R70/R31*92</f>
        <v>27.852311841109639</v>
      </c>
      <c r="S71" s="323">
        <f>S70/S31*92</f>
        <v>19.89203934524469</v>
      </c>
      <c r="T71" s="324">
        <f>T70/T31*365</f>
        <v>21.737369022150983</v>
      </c>
      <c r="U71" s="326"/>
      <c r="V71" s="323">
        <f>V70/V31*90</f>
        <v>31.160686677584486</v>
      </c>
      <c r="W71" s="323">
        <f>W70/W31*91</f>
        <v>29.29131816091617</v>
      </c>
      <c r="X71" s="327">
        <v>18.8</v>
      </c>
      <c r="Y71" s="327">
        <v>21.6</v>
      </c>
      <c r="Z71" s="324">
        <f>Z70/Z31*365</f>
        <v>25.166520964702581</v>
      </c>
      <c r="AA71" s="325"/>
      <c r="AB71" s="327">
        <v>21.8</v>
      </c>
      <c r="AC71" s="327">
        <v>23.3</v>
      </c>
      <c r="AD71" s="327">
        <v>17.100000000000001</v>
      </c>
      <c r="AE71" s="327">
        <v>19.8</v>
      </c>
      <c r="AF71" s="324">
        <f>AF70/AF31*365</f>
        <v>22.764491431791175</v>
      </c>
      <c r="AG71" s="325"/>
      <c r="AH71" s="327">
        <v>18.7</v>
      </c>
      <c r="AI71" s="325"/>
      <c r="AJ71" s="327">
        <v>17</v>
      </c>
      <c r="AK71" s="324"/>
      <c r="AL71" s="327">
        <v>15.2</v>
      </c>
    </row>
    <row r="72" spans="2:38" ht="14.25" customHeight="1">
      <c r="B72" s="28"/>
      <c r="D72" s="46"/>
      <c r="E72" s="46"/>
      <c r="F72" s="46"/>
      <c r="G72" s="46"/>
      <c r="J72" s="46"/>
      <c r="K72" s="46"/>
      <c r="L72" s="46"/>
      <c r="M72" s="46"/>
      <c r="P72" s="46"/>
      <c r="Q72" s="46"/>
      <c r="R72" s="46"/>
      <c r="S72" s="46"/>
      <c r="U72" s="205"/>
      <c r="V72" s="46"/>
      <c r="W72" s="46"/>
      <c r="X72" s="46"/>
      <c r="Y72" s="46"/>
      <c r="AB72" s="46"/>
      <c r="AC72" s="46"/>
      <c r="AD72" s="46"/>
      <c r="AE72" s="46"/>
    </row>
    <row r="73" spans="2:38" ht="14.25" customHeight="1">
      <c r="B73" s="28" t="s">
        <v>408</v>
      </c>
      <c r="D73" s="50">
        <f>BS!P19</f>
        <v>226470</v>
      </c>
      <c r="E73" s="50">
        <f>BS!Q19</f>
        <v>236201</v>
      </c>
      <c r="F73" s="50">
        <f>BS!R19</f>
        <v>240087</v>
      </c>
      <c r="G73" s="50">
        <f>BS!S19</f>
        <v>263316</v>
      </c>
      <c r="H73" s="68">
        <f>BS!T19</f>
        <v>263316</v>
      </c>
      <c r="J73" s="50">
        <f>BS!V19</f>
        <v>265754</v>
      </c>
      <c r="K73" s="50">
        <f>BS!W19</f>
        <v>280582</v>
      </c>
      <c r="L73" s="50">
        <f>BS!X19</f>
        <v>290869</v>
      </c>
      <c r="M73" s="50">
        <f>BS!Y19</f>
        <v>284418</v>
      </c>
      <c r="N73" s="68">
        <f>BS!Z19</f>
        <v>284418</v>
      </c>
      <c r="P73" s="50">
        <f>BS!AB19</f>
        <v>280801</v>
      </c>
      <c r="Q73" s="50">
        <f>BS!AC19</f>
        <v>287270</v>
      </c>
      <c r="R73" s="50">
        <f>BS!AD19</f>
        <v>269244</v>
      </c>
      <c r="S73" s="50">
        <f>BS!AE19</f>
        <v>261782</v>
      </c>
      <c r="T73" s="68">
        <f>BS!AF19</f>
        <v>261782</v>
      </c>
      <c r="U73" s="205"/>
      <c r="V73" s="50">
        <f>BS!AH19</f>
        <v>293182</v>
      </c>
      <c r="W73" s="50">
        <f>BS!AI19</f>
        <v>299365</v>
      </c>
      <c r="X73" s="46">
        <f>X74*X34/92</f>
        <v>356323.92276521737</v>
      </c>
      <c r="Y73" s="46">
        <f>Y74*Y34/92</f>
        <v>417175.51533913048</v>
      </c>
      <c r="Z73" s="312">
        <f>Y73</f>
        <v>417175.51533913048</v>
      </c>
      <c r="AB73" s="46">
        <f t="shared" ref="AB73:AE73" si="84">AB74*AB34/92</f>
        <v>392316.04570869566</v>
      </c>
      <c r="AC73" s="46">
        <f t="shared" si="84"/>
        <v>473402.51900000003</v>
      </c>
      <c r="AD73" s="46">
        <f t="shared" si="84"/>
        <v>466193.75761956518</v>
      </c>
      <c r="AE73" s="46">
        <f t="shared" si="84"/>
        <v>559123.22969021741</v>
      </c>
      <c r="AF73" s="312">
        <f>AE73</f>
        <v>559123.22969021741</v>
      </c>
      <c r="AH73" s="312">
        <f>AH74*AH34/365</f>
        <v>184751.66908493152</v>
      </c>
      <c r="AJ73" s="312">
        <f>AJ74*AJ34/366</f>
        <v>243006.42472131149</v>
      </c>
      <c r="AL73" s="312">
        <f>AL74*AL34/365</f>
        <v>309711.13548164384</v>
      </c>
    </row>
    <row r="74" spans="2:38" ht="14.25" customHeight="1">
      <c r="B74" s="31" t="s">
        <v>409</v>
      </c>
      <c r="D74" s="323">
        <f>D73/D34*90</f>
        <v>62.703386154513481</v>
      </c>
      <c r="E74" s="323">
        <f>E73/E34*91</f>
        <v>63.597092692972282</v>
      </c>
      <c r="F74" s="323">
        <f>F73/F34*92</f>
        <v>57.237191729527879</v>
      </c>
      <c r="G74" s="323">
        <f>G73/G34*92</f>
        <v>60.885525498958231</v>
      </c>
      <c r="H74" s="324">
        <f>H73/H34*365</f>
        <v>66.738657037705721</v>
      </c>
      <c r="I74" s="325"/>
      <c r="J74" s="323">
        <f>J73/J34*90</f>
        <v>54.253471670893312</v>
      </c>
      <c r="K74" s="323">
        <f>K73/K34*91</f>
        <v>52.770299121010396</v>
      </c>
      <c r="L74" s="323">
        <f>L73/L34*92</f>
        <v>50.068475696347946</v>
      </c>
      <c r="M74" s="323">
        <f>M73/M34*92</f>
        <v>53.33692630068407</v>
      </c>
      <c r="N74" s="324">
        <f>N73/N34*365</f>
        <v>53.243768463810937</v>
      </c>
      <c r="O74" s="325"/>
      <c r="P74" s="323">
        <f>P73/P34*90</f>
        <v>61.05682139397117</v>
      </c>
      <c r="Q74" s="323">
        <f>Q73/Q34*91</f>
        <v>60.498329105955975</v>
      </c>
      <c r="R74" s="323">
        <f>R73/R34*92</f>
        <v>51.125373577927121</v>
      </c>
      <c r="S74" s="323">
        <f>S73/S34*92</f>
        <v>53.007120014614195</v>
      </c>
      <c r="T74" s="324">
        <f>T73/T34*365</f>
        <v>53.533491477259993</v>
      </c>
      <c r="U74" s="326"/>
      <c r="V74" s="323">
        <f>V73/V34*90</f>
        <v>48.985859170931938</v>
      </c>
      <c r="W74" s="323">
        <f>W73/W34*91</f>
        <v>45.50767670794432</v>
      </c>
      <c r="X74" s="327">
        <v>48</v>
      </c>
      <c r="Y74" s="327">
        <v>48</v>
      </c>
      <c r="Z74" s="324">
        <f>Z73/Z34*365</f>
        <v>58.121898672619352</v>
      </c>
      <c r="AA74" s="325"/>
      <c r="AB74" s="327">
        <v>47</v>
      </c>
      <c r="AC74" s="327">
        <v>46</v>
      </c>
      <c r="AD74" s="327">
        <v>45</v>
      </c>
      <c r="AE74" s="327">
        <v>45</v>
      </c>
      <c r="AF74" s="324">
        <f>AF73/AF34*365</f>
        <v>53.550996220027237</v>
      </c>
      <c r="AG74" s="325"/>
      <c r="AH74" s="327">
        <v>43</v>
      </c>
      <c r="AI74" s="325"/>
      <c r="AJ74" s="327">
        <v>40</v>
      </c>
      <c r="AK74" s="324"/>
      <c r="AL74" s="327">
        <v>36</v>
      </c>
    </row>
    <row r="75" spans="2:38" ht="14.25" customHeight="1">
      <c r="B75" s="28"/>
      <c r="D75" s="46"/>
      <c r="E75" s="46"/>
      <c r="F75" s="46"/>
      <c r="G75" s="46"/>
      <c r="J75" s="46"/>
      <c r="K75" s="46"/>
      <c r="L75" s="46"/>
      <c r="M75" s="46"/>
      <c r="P75" s="46"/>
      <c r="Q75" s="46"/>
      <c r="R75" s="46"/>
      <c r="S75" s="46"/>
      <c r="U75" s="205"/>
      <c r="V75" s="46"/>
      <c r="W75" s="46"/>
      <c r="X75" s="46"/>
      <c r="Y75" s="46"/>
      <c r="AB75" s="46"/>
      <c r="AC75" s="46"/>
      <c r="AD75" s="46"/>
      <c r="AE75" s="46"/>
    </row>
    <row r="76" spans="2:38" ht="14.25" customHeight="1">
      <c r="B76" s="28" t="s">
        <v>410</v>
      </c>
      <c r="D76" s="50">
        <f>BS!P20</f>
        <v>9249</v>
      </c>
      <c r="E76" s="50">
        <f>BS!Q20</f>
        <v>6814</v>
      </c>
      <c r="F76" s="50">
        <f>BS!R20</f>
        <v>47255</v>
      </c>
      <c r="G76" s="50">
        <f>BS!S20</f>
        <v>54581</v>
      </c>
      <c r="H76" s="68">
        <f>BS!T20</f>
        <v>54581</v>
      </c>
      <c r="J76" s="50">
        <f>BS!V20</f>
        <v>53112</v>
      </c>
      <c r="K76" s="50">
        <f>BS!W20</f>
        <v>51115</v>
      </c>
      <c r="L76" s="50">
        <f>BS!X20</f>
        <v>50546</v>
      </c>
      <c r="M76" s="50">
        <f>BS!Y20</f>
        <v>81613</v>
      </c>
      <c r="N76" s="68">
        <f>BS!Z20</f>
        <v>81613</v>
      </c>
      <c r="P76" s="50">
        <f>BS!AB20</f>
        <v>47932</v>
      </c>
      <c r="Q76" s="50">
        <f>BS!AC20</f>
        <v>43444</v>
      </c>
      <c r="R76" s="50">
        <f>BS!AD20</f>
        <v>40654</v>
      </c>
      <c r="S76" s="50">
        <f>BS!AE20</f>
        <v>29130</v>
      </c>
      <c r="T76" s="68">
        <f>BS!AF20</f>
        <v>29130</v>
      </c>
      <c r="U76" s="205"/>
      <c r="V76" s="50">
        <f>BS!AH20</f>
        <v>24615</v>
      </c>
      <c r="W76" s="50">
        <f>BS!AI20</f>
        <v>20755</v>
      </c>
      <c r="X76" s="46">
        <f>X77*X$31</f>
        <v>31323.219000000001</v>
      </c>
      <c r="Y76" s="46">
        <f>Y77*Y$31</f>
        <v>66847.206000000006</v>
      </c>
      <c r="Z76" s="312">
        <f>Y76</f>
        <v>66847.206000000006</v>
      </c>
      <c r="AB76" s="46">
        <f t="shared" ref="AB76:AE76" si="85">AB77*AB$31</f>
        <v>66291.176999999996</v>
      </c>
      <c r="AC76" s="46">
        <f t="shared" si="85"/>
        <v>51863.939999999995</v>
      </c>
      <c r="AD76" s="46">
        <f t="shared" si="85"/>
        <v>38322.288</v>
      </c>
      <c r="AE76" s="46">
        <f t="shared" si="85"/>
        <v>92028.195999999996</v>
      </c>
      <c r="AF76" s="312">
        <f>AE76</f>
        <v>92028.195999999996</v>
      </c>
      <c r="AH76" s="57">
        <f>AH77*AH$31</f>
        <v>93474.85</v>
      </c>
      <c r="AJ76" s="57">
        <f>AJ77*AJ$31</f>
        <v>120908.58</v>
      </c>
      <c r="AL76" s="57">
        <f>AL77*AL$31</f>
        <v>152049.52499999999</v>
      </c>
    </row>
    <row r="77" spans="2:38" ht="14.25" customHeight="1">
      <c r="B77" s="31" t="s">
        <v>360</v>
      </c>
      <c r="D77" s="305">
        <f>D76/D31</f>
        <v>2.788329353881774E-2</v>
      </c>
      <c r="E77" s="305">
        <f>E76/E31</f>
        <v>1.7850640385829515E-2</v>
      </c>
      <c r="F77" s="305">
        <f>F76/F31</f>
        <v>9.8966459679361657E-2</v>
      </c>
      <c r="G77" s="305">
        <f>G76/G31</f>
        <v>9.2047746574834222E-2</v>
      </c>
      <c r="H77" s="308">
        <f>H76/H31</f>
        <v>3.0712502370356283E-2</v>
      </c>
      <c r="J77" s="305">
        <f>J76/J31</f>
        <v>8.0675148554555071E-2</v>
      </c>
      <c r="K77" s="305">
        <f>K76/K31</f>
        <v>6.3758263689659478E-2</v>
      </c>
      <c r="L77" s="305">
        <f>L76/L31</f>
        <v>5.0673037304522439E-2</v>
      </c>
      <c r="M77" s="305">
        <f>M76/M31</f>
        <v>0.11850641807515827</v>
      </c>
      <c r="N77" s="308">
        <f>N76/N31</f>
        <v>2.5940041643662849E-2</v>
      </c>
      <c r="P77" s="305">
        <f>P76/P31</f>
        <v>0.1043488104775506</v>
      </c>
      <c r="Q77" s="305">
        <f>Q76/Q31</f>
        <v>8.3029772530072585E-2</v>
      </c>
      <c r="R77" s="305">
        <f>R76/R31</f>
        <v>5.7823051846457564E-2</v>
      </c>
      <c r="S77" s="305">
        <f>S76/S31</f>
        <v>4.5459581859239158E-2</v>
      </c>
      <c r="T77" s="308">
        <f>T76/T31</f>
        <v>1.2521260998012847E-2</v>
      </c>
      <c r="U77" s="205"/>
      <c r="V77" s="305">
        <f>V76/V31</f>
        <v>3.1321934515970179E-2</v>
      </c>
      <c r="W77" s="305">
        <f>W76/W31</f>
        <v>2.1740473943379447E-2</v>
      </c>
      <c r="X77" s="316">
        <v>2.9000000000000001E-2</v>
      </c>
      <c r="Y77" s="316">
        <v>5.7000000000000002E-2</v>
      </c>
      <c r="Z77" s="306">
        <f>Z76/Z$31</f>
        <v>1.6739375436187261E-2</v>
      </c>
      <c r="AB77" s="316">
        <v>5.0999999999999997E-2</v>
      </c>
      <c r="AC77" s="316">
        <v>3.5999999999999997E-2</v>
      </c>
      <c r="AD77" s="316">
        <v>2.4E-2</v>
      </c>
      <c r="AE77" s="316">
        <v>5.1999999999999998E-2</v>
      </c>
      <c r="AF77" s="306">
        <f>AF76/AF$31</f>
        <v>1.5069230249022968E-2</v>
      </c>
      <c r="AH77" s="316">
        <v>3.5000000000000003E-2</v>
      </c>
      <c r="AJ77" s="316">
        <v>0.03</v>
      </c>
      <c r="AL77" s="316">
        <v>2.5000000000000001E-2</v>
      </c>
    </row>
    <row r="78" spans="2:38" ht="14.25" customHeight="1">
      <c r="B78" s="28"/>
      <c r="D78" s="46"/>
      <c r="E78" s="46"/>
      <c r="F78" s="46"/>
      <c r="G78" s="46"/>
      <c r="J78" s="46"/>
      <c r="K78" s="46"/>
      <c r="L78" s="46"/>
      <c r="M78" s="46"/>
      <c r="P78" s="46"/>
      <c r="Q78" s="46"/>
      <c r="R78" s="46"/>
      <c r="S78" s="46"/>
      <c r="U78" s="205"/>
      <c r="V78" s="46"/>
      <c r="W78" s="46"/>
      <c r="X78" s="46"/>
      <c r="Y78" s="46"/>
      <c r="AB78" s="46"/>
      <c r="AC78" s="46"/>
      <c r="AD78" s="46"/>
      <c r="AE78" s="46"/>
    </row>
    <row r="79" spans="2:38" ht="14.25" customHeight="1">
      <c r="B79" s="28" t="s">
        <v>411</v>
      </c>
      <c r="D79" s="50">
        <f>BS!P24</f>
        <v>669982</v>
      </c>
      <c r="E79" s="50">
        <f>BS!Q24</f>
        <v>669045</v>
      </c>
      <c r="F79" s="50">
        <f>BS!R24</f>
        <v>672950</v>
      </c>
      <c r="G79" s="50">
        <f>BS!S24</f>
        <v>679172</v>
      </c>
      <c r="H79" s="68">
        <f>BS!T24</f>
        <v>679172</v>
      </c>
      <c r="J79" s="50">
        <f>BS!V24</f>
        <v>688656</v>
      </c>
      <c r="K79" s="50">
        <f>BS!W24</f>
        <v>703882</v>
      </c>
      <c r="L79" s="50">
        <f>BS!X24</f>
        <v>712512</v>
      </c>
      <c r="M79" s="50">
        <f>BS!Y24</f>
        <v>744540</v>
      </c>
      <c r="N79" s="68">
        <f>BS!Z24</f>
        <v>744540</v>
      </c>
      <c r="P79" s="50">
        <f>BS!AB24</f>
        <v>752580</v>
      </c>
      <c r="Q79" s="50">
        <f>BS!AC24</f>
        <v>815468</v>
      </c>
      <c r="R79" s="50">
        <f>BS!AD24</f>
        <v>826573</v>
      </c>
      <c r="S79" s="50">
        <f>BS!AE24</f>
        <v>857234</v>
      </c>
      <c r="T79" s="68">
        <f>BS!AF24</f>
        <v>857234</v>
      </c>
      <c r="U79" s="205"/>
      <c r="V79" s="50">
        <f>BS!AH24</f>
        <v>960070</v>
      </c>
      <c r="W79" s="50">
        <f>BS!AI24</f>
        <v>975603</v>
      </c>
      <c r="X79" s="46">
        <f>W79-X80*X106-X109-X52-X37</f>
        <v>977994.79779840005</v>
      </c>
      <c r="Y79" s="46">
        <f>X79-Y80*Y106-Y109-Y52-Y37</f>
        <v>978645.05692666001</v>
      </c>
      <c r="Z79" s="57">
        <f>Y79</f>
        <v>978645.05692666001</v>
      </c>
      <c r="AB79" s="46">
        <f>Y79-AB80*AB106-AB109-AB52-AB37</f>
        <v>982180.84633206006</v>
      </c>
      <c r="AC79" s="46">
        <f>AB79-AC80*AC106-AC109-AC52-AC37</f>
        <v>983275.46359906008</v>
      </c>
      <c r="AD79" s="46">
        <f>AC79-AD80*AD106-AD109-AD52-AD37</f>
        <v>984718.77677086007</v>
      </c>
      <c r="AE79" s="46">
        <f>AD79-AE80*AE106-AE109-AE52-AE37</f>
        <v>984718.77677086007</v>
      </c>
      <c r="AF79" s="57">
        <f>AE79</f>
        <v>984718.77677086007</v>
      </c>
      <c r="AH79" s="57">
        <f>AF79-AH80*AH106-AH109-AH52-AH37</f>
        <v>986275.53362986003</v>
      </c>
      <c r="AI79" s="72"/>
      <c r="AJ79" s="57">
        <f>AH79-AJ80*AJ106-AJ109-AJ52-AJ37</f>
        <v>987436.25599785999</v>
      </c>
      <c r="AK79" s="54"/>
      <c r="AL79" s="57">
        <f>AJ79-AL80*AL106-AL109-AL52-AL37</f>
        <v>987898.48655386001</v>
      </c>
    </row>
    <row r="80" spans="2:38" ht="14.25" customHeight="1">
      <c r="B80" s="31" t="s">
        <v>412</v>
      </c>
      <c r="D80" s="305"/>
      <c r="E80" s="305"/>
      <c r="F80" s="305"/>
      <c r="G80" s="305"/>
      <c r="H80" s="308"/>
      <c r="J80" s="305"/>
      <c r="K80" s="305"/>
      <c r="L80" s="305"/>
      <c r="M80" s="305"/>
      <c r="N80" s="308"/>
      <c r="P80" s="305"/>
      <c r="Q80" s="305"/>
      <c r="R80" s="305"/>
      <c r="S80" s="305"/>
      <c r="T80" s="308"/>
      <c r="U80" s="205"/>
      <c r="V80" s="305"/>
      <c r="W80" s="305"/>
      <c r="X80" s="316"/>
      <c r="Y80" s="316"/>
      <c r="Z80" s="319" t="e">
        <f>AVERAGE(V80:Y80)</f>
        <v>#DIV/0!</v>
      </c>
      <c r="AB80" s="316"/>
      <c r="AC80" s="316"/>
      <c r="AD80" s="316"/>
      <c r="AE80" s="316"/>
      <c r="AF80" s="319" t="e">
        <f>AVERAGE(AB80:AE80)</f>
        <v>#DIV/0!</v>
      </c>
      <c r="AH80" s="316"/>
      <c r="AJ80" s="316"/>
      <c r="AL80" s="316"/>
    </row>
    <row r="81" spans="2:38" ht="14.25" customHeight="1">
      <c r="D81" s="46"/>
      <c r="E81" s="46"/>
      <c r="F81" s="46"/>
      <c r="G81" s="46"/>
      <c r="J81" s="46"/>
      <c r="K81" s="46"/>
      <c r="L81" s="46"/>
      <c r="M81" s="46"/>
      <c r="P81" s="46"/>
      <c r="Q81" s="46"/>
      <c r="R81" s="46"/>
      <c r="S81" s="46"/>
      <c r="U81" s="205"/>
      <c r="V81" s="46"/>
      <c r="W81" s="46"/>
      <c r="X81" s="46"/>
      <c r="Y81" s="46"/>
      <c r="AB81" s="46"/>
      <c r="AC81" s="46"/>
      <c r="AD81" s="46"/>
      <c r="AE81" s="46"/>
    </row>
    <row r="82" spans="2:38" ht="14.25" customHeight="1">
      <c r="B82" s="28" t="s">
        <v>413</v>
      </c>
      <c r="D82" s="50">
        <f>IF($B$82="Intangibles excl. Goodwill",BS!P29,BS!P27)</f>
        <v>63804</v>
      </c>
      <c r="E82" s="50">
        <f>IF($B$82="Intangibles excl. Goodwill",BS!Q29,BS!Q27)</f>
        <v>63247</v>
      </c>
      <c r="F82" s="50">
        <f>IF($B$82="Intangibles excl. Goodwill",BS!R29,BS!R27)</f>
        <v>62692</v>
      </c>
      <c r="G82" s="50">
        <f>IF($B$82="Intangibles excl. Goodwill",BS!S29,BS!S27)</f>
        <v>62137</v>
      </c>
      <c r="H82" s="68">
        <f>IF($B$82="Intangibles excl. Goodwill",BS!T29,BS!T27)</f>
        <v>62137</v>
      </c>
      <c r="J82" s="50">
        <f>IF($B$82="Intangibles excl. Goodwill",BS!V29,BS!V27)</f>
        <v>61598</v>
      </c>
      <c r="K82" s="50">
        <f>IF($B$82="Intangibles excl. Goodwill",BS!W29,BS!W27)</f>
        <v>61043</v>
      </c>
      <c r="L82" s="50">
        <f>IF($B$82="Intangibles excl. Goodwill",BS!X29,BS!X27)</f>
        <v>60490</v>
      </c>
      <c r="M82" s="50">
        <f>IF($B$82="Intangibles excl. Goodwill",BS!Y29,BS!Y27)</f>
        <v>59903</v>
      </c>
      <c r="N82" s="68">
        <f>IF($B$82="Intangibles excl. Goodwill",BS!Z29,BS!Z27)</f>
        <v>59903</v>
      </c>
      <c r="P82" s="50">
        <f>IF($B$82="Intangibles excl. Goodwill",BS!AB29,BS!AB27)</f>
        <v>59353</v>
      </c>
      <c r="Q82" s="50">
        <f>IF($B$82="Intangibles excl. Goodwill",BS!AC29,BS!AC27)</f>
        <v>62850</v>
      </c>
      <c r="R82" s="50">
        <f>IF($B$82="Intangibles excl. Goodwill",BS!AD29,BS!AD27)</f>
        <v>62310</v>
      </c>
      <c r="S82" s="50">
        <f>IF($B$82="Intangibles excl. Goodwill",BS!AE29,BS!AE27)</f>
        <v>61772</v>
      </c>
      <c r="T82" s="68">
        <f>IF($B$82="Intangibles excl. Goodwill",BS!AF29,BS!AF27)</f>
        <v>61772</v>
      </c>
      <c r="U82" s="205"/>
      <c r="V82" s="50">
        <f>IF($B$82="Intangibles excl. Goodwill",BS!AH29,BS!AH27)</f>
        <v>61951</v>
      </c>
      <c r="W82" s="50">
        <f>IF($B$82="Intangibles excl. Goodwill",BS!AI29,BS!AI27)</f>
        <v>61986</v>
      </c>
      <c r="X82" s="46">
        <f>W82-(1-X80)*X106-X55+X83*X46</f>
        <v>131113.10399999999</v>
      </c>
      <c r="Y82" s="46">
        <f>X82-(1-Y80)*Y106-Y55+Y83*Y46</f>
        <v>204175.92739999999</v>
      </c>
      <c r="Z82" s="57">
        <f>Y82</f>
        <v>204175.92739999999</v>
      </c>
      <c r="AB82" s="46">
        <f>Y82-(1-AB80)*AB106-AB55+AB83*AB46</f>
        <v>279565.8934</v>
      </c>
      <c r="AC82" s="46">
        <f>AB82-(1-AC80)*AC106-AC55+AC83*AC46</f>
        <v>363124.46340000001</v>
      </c>
      <c r="AD82" s="46">
        <f t="shared" ref="AD82:AE82" si="86">AC82-(1-AD80)*AD106-AD55+AD83*AD46</f>
        <v>473301.04139999999</v>
      </c>
      <c r="AE82" s="46">
        <f t="shared" si="86"/>
        <v>591875.83239999996</v>
      </c>
      <c r="AF82" s="57">
        <f>AE82</f>
        <v>591875.83239999996</v>
      </c>
      <c r="AH82" s="57">
        <f>AF82-(1-AH80)*AH106-AH55+AH83*AH46</f>
        <v>770813.40240000002</v>
      </c>
      <c r="AJ82" s="57">
        <f>AH82-(1-AJ80)*AJ106-AJ55+AJ83*AJ46</f>
        <v>1060993.9944</v>
      </c>
      <c r="AL82" s="57">
        <f>AJ82-(1-AL80)*AL106-AL55+AL83*AL46</f>
        <v>1523224.5504000001</v>
      </c>
    </row>
    <row r="83" spans="2:38" ht="14.25" customHeight="1">
      <c r="B83" s="31" t="s">
        <v>414</v>
      </c>
      <c r="D83" s="305">
        <f>IFERROR(BS!P57/FCFF!D82,"")</f>
        <v>0</v>
      </c>
      <c r="E83" s="305">
        <f>IFERROR(BS!Q57/FCFF!E82,"")</f>
        <v>0</v>
      </c>
      <c r="F83" s="305">
        <f>IFERROR(BS!R57/FCFF!F82,"")</f>
        <v>0</v>
      </c>
      <c r="G83" s="305">
        <f>IFERROR(BS!S57/FCFF!G82,"")</f>
        <v>0</v>
      </c>
      <c r="H83" s="308">
        <f>IFERROR(BS!T57/FCFF!H82,"")</f>
        <v>0</v>
      </c>
      <c r="J83" s="305">
        <f>IFERROR(BS!V57/FCFF!J82,"")</f>
        <v>0</v>
      </c>
      <c r="K83" s="305">
        <f>IFERROR(BS!W57/FCFF!K82,"")</f>
        <v>0</v>
      </c>
      <c r="L83" s="305">
        <f>IFERROR(BS!X57/FCFF!L82,"")</f>
        <v>0</v>
      </c>
      <c r="M83" s="305">
        <f>IFERROR(BS!Y57/FCFF!M82,"")</f>
        <v>0</v>
      </c>
      <c r="N83" s="308">
        <f>IFERROR(BS!Z57/FCFF!N82,"")</f>
        <v>0</v>
      </c>
      <c r="P83" s="305">
        <f>IFERROR(BS!AB57/FCFF!P82,"")</f>
        <v>0</v>
      </c>
      <c r="Q83" s="305">
        <f>IFERROR(BS!AC57/FCFF!Q82,"")</f>
        <v>0</v>
      </c>
      <c r="R83" s="305">
        <f>IFERROR(BS!AD57/FCFF!R82,"")</f>
        <v>0</v>
      </c>
      <c r="S83" s="305">
        <f>IFERROR(BS!AE57/FCFF!S82,"")</f>
        <v>0</v>
      </c>
      <c r="T83" s="308">
        <f>IFERROR(BS!AF57/FCFF!T82,"")</f>
        <v>0</v>
      </c>
      <c r="U83" s="205"/>
      <c r="V83" s="305">
        <f>IFERROR(BS!AH57/FCFF!V82,"")</f>
        <v>0</v>
      </c>
      <c r="W83" s="305">
        <f>IFERROR(BS!AI57/FCFF!W82,"")</f>
        <v>0</v>
      </c>
      <c r="X83" s="316"/>
      <c r="Y83" s="316"/>
      <c r="Z83" s="319">
        <f>AVERAGE(V83:Y83)</f>
        <v>0</v>
      </c>
      <c r="AB83" s="316"/>
      <c r="AC83" s="316"/>
      <c r="AD83" s="316"/>
      <c r="AE83" s="316"/>
      <c r="AF83" s="319" t="e">
        <f>AVERAGE(AB83:AE83)</f>
        <v>#DIV/0!</v>
      </c>
      <c r="AH83" s="316"/>
      <c r="AJ83" s="316"/>
      <c r="AL83" s="316"/>
    </row>
    <row r="84" spans="2:38" ht="14.25" customHeight="1">
      <c r="D84" s="46"/>
      <c r="E84" s="46"/>
      <c r="F84" s="46"/>
      <c r="G84" s="46"/>
      <c r="J84" s="46"/>
      <c r="K84" s="46"/>
      <c r="L84" s="46"/>
      <c r="M84" s="46"/>
      <c r="P84" s="46"/>
      <c r="Q84" s="46"/>
      <c r="R84" s="46"/>
      <c r="S84" s="46"/>
      <c r="U84" s="205"/>
      <c r="V84" s="46"/>
      <c r="W84" s="46"/>
      <c r="X84" s="46"/>
      <c r="Y84" s="46"/>
      <c r="AB84" s="46"/>
      <c r="AC84" s="46"/>
      <c r="AD84" s="46"/>
      <c r="AE84" s="46"/>
    </row>
    <row r="85" spans="2:38" ht="14.25" customHeight="1">
      <c r="B85" s="28" t="s">
        <v>415</v>
      </c>
      <c r="D85" s="50">
        <f>BS!P37</f>
        <v>96709</v>
      </c>
      <c r="E85" s="50">
        <f>BS!Q37</f>
        <v>115619</v>
      </c>
      <c r="F85" s="50">
        <f>BS!R37</f>
        <v>120665</v>
      </c>
      <c r="G85" s="50">
        <f>BS!S37</f>
        <v>183978</v>
      </c>
      <c r="H85" s="68">
        <f>BS!T37</f>
        <v>183978</v>
      </c>
      <c r="J85" s="50">
        <f>BS!V37</f>
        <v>230431</v>
      </c>
      <c r="K85" s="50">
        <f>BS!W37</f>
        <v>306549</v>
      </c>
      <c r="L85" s="50">
        <f>BS!X37</f>
        <v>313060</v>
      </c>
      <c r="M85" s="50">
        <f>BS!Y37</f>
        <v>182731</v>
      </c>
      <c r="N85" s="68">
        <f>BS!Z37</f>
        <v>182731</v>
      </c>
      <c r="P85" s="50">
        <f>BS!AB37</f>
        <v>126382</v>
      </c>
      <c r="Q85" s="50">
        <f>BS!AC37</f>
        <v>153787</v>
      </c>
      <c r="R85" s="50">
        <f>BS!AD37</f>
        <v>215689</v>
      </c>
      <c r="S85" s="50">
        <f>BS!AE37</f>
        <v>227743</v>
      </c>
      <c r="T85" s="68">
        <f>BS!AF37</f>
        <v>227743</v>
      </c>
      <c r="U85" s="205"/>
      <c r="V85" s="50">
        <f>BS!AH37</f>
        <v>325415</v>
      </c>
      <c r="W85" s="50">
        <f>BS!AI37</f>
        <v>260751</v>
      </c>
      <c r="X85" s="46">
        <f>X86*X34/92</f>
        <v>334053.67759239132</v>
      </c>
      <c r="Y85" s="46">
        <f>Y86*Y34/92</f>
        <v>399793.2022</v>
      </c>
      <c r="Z85" s="312">
        <f>Y85</f>
        <v>399793.2022</v>
      </c>
      <c r="AB85" s="46">
        <f>AB86*AB34/90</f>
        <v>443697.39070222218</v>
      </c>
      <c r="AC85" s="46">
        <f>AC86*AC34/91</f>
        <v>468200.29351648351</v>
      </c>
      <c r="AD85" s="46">
        <f t="shared" ref="AD85:AE85" si="87">AD86*AD34/92</f>
        <v>497273.34146086953</v>
      </c>
      <c r="AE85" s="46">
        <f t="shared" si="87"/>
        <v>596398.11166956532</v>
      </c>
      <c r="AF85" s="312">
        <f>AE85</f>
        <v>596398.11166956532</v>
      </c>
      <c r="AH85" s="57">
        <f>AH86*AH34/365</f>
        <v>214827.52219178085</v>
      </c>
      <c r="AJ85" s="57">
        <f>AJ86*AJ34/366</f>
        <v>321983.5127557377</v>
      </c>
      <c r="AL85" s="57">
        <f>AL86*AL34/365</f>
        <v>473169.79031917814</v>
      </c>
    </row>
    <row r="86" spans="2:38" ht="14.25" customHeight="1">
      <c r="B86" s="31" t="s">
        <v>416</v>
      </c>
      <c r="D86" s="323">
        <f>D85/D34*90</f>
        <v>26.776092955432706</v>
      </c>
      <c r="E86" s="323">
        <f>E85/E34*91</f>
        <v>31.130402750491161</v>
      </c>
      <c r="F86" s="323">
        <f>F85/F34*92</f>
        <v>28.766762632060388</v>
      </c>
      <c r="G86" s="323">
        <f>G85/G34*92</f>
        <v>42.540511059895096</v>
      </c>
      <c r="H86" s="324">
        <f>H85/H34*365</f>
        <v>46.630074300395805</v>
      </c>
      <c r="I86" s="325"/>
      <c r="J86" s="323">
        <f>J85/J34*90</f>
        <v>47.042308791572722</v>
      </c>
      <c r="K86" s="323">
        <f>K85/K34*91</f>
        <v>57.654027789546781</v>
      </c>
      <c r="L86" s="323">
        <f>L85/L34*92</f>
        <v>53.888303674501884</v>
      </c>
      <c r="M86" s="323">
        <f>M85/M34*92</f>
        <v>34.267556483240519</v>
      </c>
      <c r="N86" s="324">
        <f>N85/N34*365</f>
        <v>34.207705050878054</v>
      </c>
      <c r="O86" s="325"/>
      <c r="P86" s="323">
        <f>P85/P34*90</f>
        <v>27.480255417227376</v>
      </c>
      <c r="Q86" s="323">
        <f>Q85/Q34*91</f>
        <v>32.387149852813209</v>
      </c>
      <c r="R86" s="323">
        <f>R85/R34*92</f>
        <v>40.956087049848918</v>
      </c>
      <c r="S86" s="323">
        <f>S85/S34*92</f>
        <v>46.114708167438089</v>
      </c>
      <c r="T86" s="324">
        <f>T85/T34*365</f>
        <v>46.572636581222625</v>
      </c>
      <c r="U86" s="326"/>
      <c r="V86" s="323">
        <f>V85/V34*90</f>
        <v>54.371459919465785</v>
      </c>
      <c r="W86" s="323">
        <f>W85/W34*91</f>
        <v>39.637807389885886</v>
      </c>
      <c r="X86" s="327">
        <v>45</v>
      </c>
      <c r="Y86" s="327">
        <v>46</v>
      </c>
      <c r="Z86" s="324">
        <f>Z85/Z34*365</f>
        <v>55.700152894593543</v>
      </c>
      <c r="AA86" s="325"/>
      <c r="AB86" s="327">
        <v>52</v>
      </c>
      <c r="AC86" s="327">
        <v>45</v>
      </c>
      <c r="AD86" s="327">
        <v>48</v>
      </c>
      <c r="AE86" s="327">
        <v>48</v>
      </c>
      <c r="AF86" s="324">
        <f>AF85/AF34*365</f>
        <v>57.12106263469574</v>
      </c>
      <c r="AG86" s="325"/>
      <c r="AH86" s="327">
        <v>50</v>
      </c>
      <c r="AI86" s="325"/>
      <c r="AJ86" s="327">
        <v>53</v>
      </c>
      <c r="AK86" s="324"/>
      <c r="AL86" s="327">
        <v>55</v>
      </c>
    </row>
    <row r="87" spans="2:38" ht="14.25" customHeight="1">
      <c r="B87" s="28"/>
      <c r="D87" s="46"/>
      <c r="E87" s="46"/>
      <c r="F87" s="46"/>
      <c r="G87" s="46"/>
      <c r="J87" s="46"/>
      <c r="K87" s="46"/>
      <c r="L87" s="46"/>
      <c r="M87" s="46"/>
      <c r="P87" s="46"/>
      <c r="Q87" s="46"/>
      <c r="R87" s="46"/>
      <c r="S87" s="46"/>
      <c r="U87" s="205"/>
      <c r="V87" s="46"/>
      <c r="W87" s="46"/>
      <c r="X87" s="46"/>
      <c r="Y87" s="46"/>
      <c r="AB87" s="46"/>
      <c r="AC87" s="46"/>
      <c r="AD87" s="46"/>
      <c r="AE87" s="46"/>
    </row>
    <row r="88" spans="2:38" ht="14.25" customHeight="1">
      <c r="B88" s="28" t="s">
        <v>417</v>
      </c>
      <c r="D88" s="50">
        <f>BS!P40</f>
        <v>0</v>
      </c>
      <c r="E88" s="50">
        <f>BS!Q40</f>
        <v>0</v>
      </c>
      <c r="F88" s="50">
        <f>BS!R40</f>
        <v>0</v>
      </c>
      <c r="G88" s="50">
        <f>BS!S40</f>
        <v>0</v>
      </c>
      <c r="H88" s="68">
        <f>BS!T40</f>
        <v>0</v>
      </c>
      <c r="J88" s="50">
        <f>BS!V40</f>
        <v>0</v>
      </c>
      <c r="K88" s="50">
        <f>BS!W40</f>
        <v>0</v>
      </c>
      <c r="L88" s="50">
        <f>BS!X40</f>
        <v>0</v>
      </c>
      <c r="M88" s="50">
        <f>BS!Y40</f>
        <v>0</v>
      </c>
      <c r="N88" s="68">
        <f>BS!Z40</f>
        <v>0</v>
      </c>
      <c r="P88" s="50">
        <f>BS!AB40</f>
        <v>0</v>
      </c>
      <c r="Q88" s="50">
        <f>BS!AC40</f>
        <v>0</v>
      </c>
      <c r="R88" s="50">
        <f>BS!AD40</f>
        <v>0</v>
      </c>
      <c r="S88" s="50">
        <f>BS!AE40</f>
        <v>0</v>
      </c>
      <c r="T88" s="68">
        <f>BS!AF40</f>
        <v>0</v>
      </c>
      <c r="U88" s="205"/>
      <c r="V88" s="50">
        <f>BS!AH40</f>
        <v>0</v>
      </c>
      <c r="W88" s="50">
        <f>BS!AI40</f>
        <v>0</v>
      </c>
      <c r="X88" s="46">
        <f>X89*X43</f>
        <v>0</v>
      </c>
      <c r="Y88" s="46">
        <f t="shared" ref="Y88" si="88">Y89*Y43</f>
        <v>0</v>
      </c>
      <c r="Z88" s="312">
        <f>Y88</f>
        <v>0</v>
      </c>
      <c r="AB88" s="46">
        <f t="shared" ref="AB88" si="89">AB89*AB43</f>
        <v>0</v>
      </c>
      <c r="AC88" s="46">
        <f t="shared" ref="AC88" si="90">AC89*AC43</f>
        <v>0</v>
      </c>
      <c r="AD88" s="46">
        <f t="shared" ref="AD88" si="91">AD89*AD43</f>
        <v>0</v>
      </c>
      <c r="AE88" s="46">
        <f t="shared" ref="AE88" si="92">AE89*AE43</f>
        <v>0</v>
      </c>
      <c r="AF88" s="312">
        <f>AE88</f>
        <v>0</v>
      </c>
      <c r="AH88" s="57">
        <f t="shared" ref="AH88:AL88" si="93">AH89*AH43</f>
        <v>0</v>
      </c>
      <c r="AJ88" s="57">
        <f t="shared" si="93"/>
        <v>0</v>
      </c>
      <c r="AL88" s="57">
        <f t="shared" si="93"/>
        <v>0</v>
      </c>
    </row>
    <row r="89" spans="2:38" ht="14.25" customHeight="1">
      <c r="B89" s="31" t="s">
        <v>418</v>
      </c>
      <c r="D89" s="305">
        <f>D88/D43</f>
        <v>0</v>
      </c>
      <c r="E89" s="305">
        <f>E88/E43</f>
        <v>0</v>
      </c>
      <c r="F89" s="305">
        <f>F88/F43</f>
        <v>0</v>
      </c>
      <c r="G89" s="305">
        <f>G88/G43</f>
        <v>0</v>
      </c>
      <c r="H89" s="308">
        <f>H88/H43</f>
        <v>0</v>
      </c>
      <c r="J89" s="305">
        <f>J88/J43</f>
        <v>0</v>
      </c>
      <c r="K89" s="305">
        <f>K88/K43</f>
        <v>0</v>
      </c>
      <c r="L89" s="305">
        <f>L88/L43</f>
        <v>0</v>
      </c>
      <c r="M89" s="305">
        <f>M88/M43</f>
        <v>0</v>
      </c>
      <c r="N89" s="308">
        <f>N88/N43</f>
        <v>0</v>
      </c>
      <c r="P89" s="305">
        <f>P88/P43</f>
        <v>0</v>
      </c>
      <c r="Q89" s="305">
        <f>Q88/Q43</f>
        <v>0</v>
      </c>
      <c r="R89" s="305">
        <f>R88/R43</f>
        <v>0</v>
      </c>
      <c r="S89" s="305">
        <f>S88/S43</f>
        <v>0</v>
      </c>
      <c r="T89" s="308">
        <f>T88/T43</f>
        <v>0</v>
      </c>
      <c r="U89" s="205"/>
      <c r="V89" s="305">
        <f>V88/V43</f>
        <v>0</v>
      </c>
      <c r="W89" s="305">
        <f>W88/W43</f>
        <v>0</v>
      </c>
      <c r="X89" s="316">
        <v>0</v>
      </c>
      <c r="Y89" s="316">
        <v>0</v>
      </c>
      <c r="Z89" s="328">
        <f>Z88/Z43</f>
        <v>0</v>
      </c>
      <c r="AB89" s="316">
        <v>0</v>
      </c>
      <c r="AC89" s="316">
        <v>0</v>
      </c>
      <c r="AD89" s="316">
        <v>0</v>
      </c>
      <c r="AE89" s="316">
        <v>0</v>
      </c>
      <c r="AF89" s="328">
        <f>AF88/AF43</f>
        <v>0</v>
      </c>
      <c r="AH89" s="316">
        <v>0</v>
      </c>
      <c r="AJ89" s="316">
        <v>0</v>
      </c>
      <c r="AL89" s="316">
        <v>0</v>
      </c>
    </row>
    <row r="90" spans="2:38" ht="14.25" customHeight="1">
      <c r="U90" s="205"/>
    </row>
    <row r="91" spans="2:38" ht="14.25" customHeight="1">
      <c r="B91" s="161" t="s">
        <v>419</v>
      </c>
      <c r="C91" s="186"/>
      <c r="D91" s="359" t="s">
        <v>378</v>
      </c>
      <c r="E91" s="359" t="s">
        <v>379</v>
      </c>
      <c r="F91" s="359" t="s">
        <v>380</v>
      </c>
      <c r="G91" s="359" t="s">
        <v>381</v>
      </c>
      <c r="H91" s="359" t="s">
        <v>382</v>
      </c>
      <c r="I91" s="37"/>
      <c r="J91" s="359" t="s">
        <v>383</v>
      </c>
      <c r="K91" s="359" t="s">
        <v>384</v>
      </c>
      <c r="L91" s="359" t="s">
        <v>385</v>
      </c>
      <c r="M91" s="359" t="s">
        <v>386</v>
      </c>
      <c r="N91" s="359" t="s">
        <v>387</v>
      </c>
      <c r="O91" s="37"/>
      <c r="P91" s="359" t="s">
        <v>388</v>
      </c>
      <c r="Q91" s="359" t="s">
        <v>389</v>
      </c>
      <c r="R91" s="359" t="s">
        <v>390</v>
      </c>
      <c r="S91" s="359" t="s">
        <v>391</v>
      </c>
      <c r="T91" s="359" t="s">
        <v>392</v>
      </c>
      <c r="U91" s="37"/>
      <c r="V91" s="359" t="s">
        <v>393</v>
      </c>
      <c r="W91" s="359" t="s">
        <v>394</v>
      </c>
      <c r="X91" s="359" t="s">
        <v>395</v>
      </c>
      <c r="Y91" s="359" t="s">
        <v>396</v>
      </c>
      <c r="Z91" s="359" t="s">
        <v>397</v>
      </c>
      <c r="AA91" s="37"/>
      <c r="AB91" s="359" t="s">
        <v>398</v>
      </c>
      <c r="AC91" s="359" t="s">
        <v>399</v>
      </c>
      <c r="AD91" s="359" t="s">
        <v>400</v>
      </c>
      <c r="AE91" s="359" t="s">
        <v>401</v>
      </c>
      <c r="AF91" s="359" t="s">
        <v>402</v>
      </c>
      <c r="AG91" s="37"/>
      <c r="AH91" s="359" t="s">
        <v>403</v>
      </c>
      <c r="AI91" s="37"/>
      <c r="AJ91" s="359" t="s">
        <v>404</v>
      </c>
      <c r="AK91" s="359"/>
      <c r="AL91" s="359" t="s">
        <v>405</v>
      </c>
    </row>
    <row r="92" spans="2:38" ht="3.95" customHeight="1">
      <c r="B92" s="288"/>
      <c r="C92" s="36"/>
      <c r="D92" s="288"/>
      <c r="E92" s="288"/>
      <c r="F92" s="288"/>
      <c r="G92" s="288"/>
      <c r="H92" s="288"/>
      <c r="I92" s="36"/>
      <c r="J92" s="288"/>
      <c r="K92" s="288"/>
      <c r="L92" s="288"/>
      <c r="M92" s="288"/>
      <c r="N92" s="288"/>
      <c r="O92" s="36"/>
      <c r="P92" s="288"/>
      <c r="Q92" s="288"/>
      <c r="R92" s="288"/>
      <c r="S92" s="288"/>
      <c r="T92" s="288"/>
      <c r="U92" s="36"/>
      <c r="V92" s="288"/>
      <c r="W92" s="288"/>
      <c r="X92" s="288"/>
      <c r="Y92" s="288"/>
      <c r="Z92" s="288"/>
      <c r="AA92" s="36"/>
      <c r="AB92" s="288"/>
      <c r="AC92" s="288"/>
      <c r="AD92" s="288"/>
      <c r="AE92" s="288"/>
      <c r="AF92" s="288"/>
      <c r="AG92" s="36"/>
      <c r="AH92" s="288"/>
      <c r="AI92" s="36"/>
      <c r="AJ92" s="289"/>
      <c r="AK92" s="288"/>
      <c r="AL92" s="288"/>
    </row>
    <row r="93" spans="2:38" ht="3.95" customHeight="1">
      <c r="U93" s="205"/>
    </row>
    <row r="94" spans="2:38" ht="14.25" customHeight="1">
      <c r="B94" s="28" t="s">
        <v>367</v>
      </c>
      <c r="D94" s="50">
        <f>CF!P17</f>
        <v>17389</v>
      </c>
      <c r="E94" s="50">
        <f>CF!Q17</f>
        <v>16580</v>
      </c>
      <c r="F94" s="50">
        <f>CF!R17</f>
        <v>17027</v>
      </c>
      <c r="G94" s="50">
        <f>CF!S17</f>
        <v>17399</v>
      </c>
      <c r="H94" s="68">
        <f>CF!T17</f>
        <v>68395</v>
      </c>
      <c r="J94" s="50">
        <f>CF!V17</f>
        <v>17312</v>
      </c>
      <c r="K94" s="50">
        <f>CF!W17</f>
        <v>17417</v>
      </c>
      <c r="L94" s="50">
        <f>CF!X17</f>
        <v>18469</v>
      </c>
      <c r="M94" s="50">
        <f>CF!Y17</f>
        <v>19036</v>
      </c>
      <c r="N94" s="68">
        <f>CF!Z17</f>
        <v>72234</v>
      </c>
      <c r="P94" s="50">
        <f>CF!AB17</f>
        <v>19340</v>
      </c>
      <c r="Q94" s="50">
        <f>CF!AC17</f>
        <v>20054</v>
      </c>
      <c r="R94" s="50">
        <f>CF!AD17</f>
        <v>19757</v>
      </c>
      <c r="S94" s="50">
        <f>CF!AE17</f>
        <v>21090</v>
      </c>
      <c r="T94" s="68">
        <f>CF!AF17</f>
        <v>80241</v>
      </c>
      <c r="U94" s="205"/>
      <c r="V94" s="50">
        <f>CF!AH17</f>
        <v>22048</v>
      </c>
      <c r="W94" s="50">
        <f>CF!AI17</f>
        <v>23770</v>
      </c>
      <c r="X94" s="46">
        <f>X37+X49</f>
        <v>0</v>
      </c>
      <c r="Y94" s="46">
        <f>Y37+Y49</f>
        <v>0</v>
      </c>
      <c r="Z94" s="312">
        <f>SUM(V94:Y94)</f>
        <v>45818</v>
      </c>
      <c r="AB94" s="46">
        <f t="shared" ref="AB94:AE94" si="94">AB37+AB49</f>
        <v>0</v>
      </c>
      <c r="AC94" s="46">
        <f t="shared" si="94"/>
        <v>0</v>
      </c>
      <c r="AD94" s="46">
        <f t="shared" si="94"/>
        <v>0</v>
      </c>
      <c r="AE94" s="46">
        <f t="shared" si="94"/>
        <v>0</v>
      </c>
      <c r="AF94" s="312">
        <f>SUM(AB94:AE94)</f>
        <v>0</v>
      </c>
      <c r="AH94" s="57">
        <f>AH37+AH49</f>
        <v>0</v>
      </c>
      <c r="AJ94" s="57">
        <f>AJ37+AJ49</f>
        <v>0</v>
      </c>
      <c r="AL94" s="57">
        <f>AL37+AL49</f>
        <v>0</v>
      </c>
    </row>
    <row r="95" spans="2:38" ht="14.25" customHeight="1">
      <c r="B95" s="31" t="s">
        <v>368</v>
      </c>
      <c r="D95" s="305">
        <f>D94/(D82+D79)</f>
        <v>2.3697644817426335E-2</v>
      </c>
      <c r="E95" s="305">
        <f>E94/(E82+E79)</f>
        <v>2.2641241471981124E-2</v>
      </c>
      <c r="F95" s="305">
        <f>F94/(F82+F79)</f>
        <v>2.3145769273641256E-2</v>
      </c>
      <c r="G95" s="305">
        <f>G94/(G82+G79)</f>
        <v>2.3470644495075604E-2</v>
      </c>
      <c r="H95" s="308">
        <f>H94/(H82+H79)</f>
        <v>9.2262470845490885E-2</v>
      </c>
      <c r="J95" s="305">
        <f>J94/(J82+J79)</f>
        <v>2.3074851983461601E-2</v>
      </c>
      <c r="K95" s="305">
        <f>K94/(K82+K79)</f>
        <v>2.2769552570513447E-2</v>
      </c>
      <c r="L95" s="305">
        <f>L94/(L82+L79)</f>
        <v>2.3892564314193235E-2</v>
      </c>
      <c r="M95" s="305">
        <f>M94/(M82+M79)</f>
        <v>2.3663578401452931E-2</v>
      </c>
      <c r="N95" s="308">
        <f>N94/(N82+N79)</f>
        <v>8.9793807640814821E-2</v>
      </c>
      <c r="P95" s="305">
        <f>P94/(P82+P79)</f>
        <v>2.3819699408695053E-2</v>
      </c>
      <c r="Q95" s="305">
        <f>Q94/(Q82+Q79)</f>
        <v>2.283227714791226E-2</v>
      </c>
      <c r="R95" s="305">
        <f>R94/(R82+R79)</f>
        <v>2.2226772252366172E-2</v>
      </c>
      <c r="S95" s="305">
        <f>S94/(S82+S79)</f>
        <v>2.2948707625412675E-2</v>
      </c>
      <c r="T95" s="308">
        <f>T94/(T82+T79)</f>
        <v>8.731281406214976E-2</v>
      </c>
      <c r="U95" s="205"/>
      <c r="V95" s="305">
        <f>V94/(V82+V79)</f>
        <v>2.157294223895595E-2</v>
      </c>
      <c r="W95" s="305">
        <f>W94/(W82+W79)</f>
        <v>2.2908878178161101E-2</v>
      </c>
      <c r="X95" s="305">
        <f>X94/(X79+X82)</f>
        <v>0</v>
      </c>
      <c r="Y95" s="305">
        <f>Y94/(Y79+Y82)</f>
        <v>0</v>
      </c>
      <c r="Z95" s="328">
        <f>Z94/(Z79+Z82)</f>
        <v>3.8736208274223881E-2</v>
      </c>
      <c r="AB95" s="305">
        <f t="shared" ref="AB95:AL95" si="95">AB94/(AB79+AB82)</f>
        <v>0</v>
      </c>
      <c r="AC95" s="305">
        <f t="shared" si="95"/>
        <v>0</v>
      </c>
      <c r="AD95" s="305">
        <f t="shared" si="95"/>
        <v>0</v>
      </c>
      <c r="AE95" s="305">
        <f t="shared" si="95"/>
        <v>0</v>
      </c>
      <c r="AF95" s="328">
        <f t="shared" si="95"/>
        <v>0</v>
      </c>
      <c r="AH95" s="328">
        <f t="shared" si="95"/>
        <v>0</v>
      </c>
      <c r="AJ95" s="328">
        <f t="shared" si="95"/>
        <v>0</v>
      </c>
      <c r="AL95" s="328">
        <f t="shared" si="95"/>
        <v>0</v>
      </c>
    </row>
    <row r="96" spans="2:38" ht="14.25" customHeight="1">
      <c r="D96" s="46"/>
      <c r="E96" s="46"/>
      <c r="F96" s="46"/>
      <c r="G96" s="46"/>
      <c r="J96" s="46"/>
      <c r="K96" s="46"/>
      <c r="L96" s="46"/>
      <c r="M96" s="46"/>
      <c r="P96" s="46"/>
      <c r="Q96" s="46"/>
      <c r="R96" s="46"/>
      <c r="S96" s="46"/>
      <c r="U96" s="205"/>
      <c r="V96" s="46"/>
      <c r="W96" s="46"/>
      <c r="X96" s="46"/>
      <c r="Y96" s="46"/>
      <c r="AB96" s="46"/>
      <c r="AC96" s="46"/>
      <c r="AD96" s="46"/>
      <c r="AE96" s="46"/>
    </row>
    <row r="97" spans="2:38" ht="14.25" customHeight="1">
      <c r="B97" s="28" t="s">
        <v>420</v>
      </c>
      <c r="D97" s="50">
        <f>CF!P18</f>
        <v>0</v>
      </c>
      <c r="E97" s="50">
        <f>CF!Q18</f>
        <v>0</v>
      </c>
      <c r="F97" s="50">
        <f>CF!R18</f>
        <v>0</v>
      </c>
      <c r="G97" s="50">
        <f>CF!S18</f>
        <v>0</v>
      </c>
      <c r="H97" s="68">
        <f>CF!T18</f>
        <v>4063</v>
      </c>
      <c r="J97" s="50">
        <f>CF!V18</f>
        <v>0</v>
      </c>
      <c r="K97" s="50">
        <f>CF!W18</f>
        <v>0</v>
      </c>
      <c r="L97" s="50">
        <f>CF!X18</f>
        <v>0</v>
      </c>
      <c r="M97" s="50">
        <f>CF!Y18</f>
        <v>0</v>
      </c>
      <c r="N97" s="68">
        <f>CF!Z18</f>
        <v>4205</v>
      </c>
      <c r="P97" s="50">
        <f>CF!AB18</f>
        <v>0</v>
      </c>
      <c r="Q97" s="50">
        <f>CF!AC18</f>
        <v>0</v>
      </c>
      <c r="R97" s="50">
        <f>CF!AD18</f>
        <v>0</v>
      </c>
      <c r="S97" s="50">
        <f>CF!AE18</f>
        <v>0</v>
      </c>
      <c r="T97" s="68">
        <f>CF!AF18</f>
        <v>4358</v>
      </c>
      <c r="U97" s="205"/>
      <c r="V97" s="50">
        <f>CF!AH18</f>
        <v>0</v>
      </c>
      <c r="W97" s="50">
        <f>CF!AI18</f>
        <v>0</v>
      </c>
      <c r="X97" s="46">
        <f>X98*X43</f>
        <v>361.27012672500007</v>
      </c>
      <c r="Y97" s="46">
        <f>Y98*Y43</f>
        <v>410.46530000000001</v>
      </c>
      <c r="Z97" s="312">
        <f>SUM(V97:Y97)</f>
        <v>771.73542672500002</v>
      </c>
      <c r="AB97" s="46">
        <f t="shared" ref="AB97:AE97" si="96">AB98*AB43</f>
        <v>410.74533200000002</v>
      </c>
      <c r="AC97" s="46">
        <f t="shared" si="96"/>
        <v>500.19888800000007</v>
      </c>
      <c r="AD97" s="46">
        <f t="shared" si="96"/>
        <v>467.53191360000005</v>
      </c>
      <c r="AE97" s="46">
        <f t="shared" si="96"/>
        <v>579.77763479999999</v>
      </c>
      <c r="AF97" s="312">
        <f>SUM(AB97:AE97)</f>
        <v>1958.2537684000001</v>
      </c>
      <c r="AH97" s="66">
        <f t="shared" ref="AH97:AL97" si="97">AH98*AH43</f>
        <v>798.00814800000001</v>
      </c>
      <c r="AJ97" s="66">
        <f t="shared" si="97"/>
        <v>1115.5831647999998</v>
      </c>
      <c r="AL97" s="66">
        <f t="shared" si="97"/>
        <v>1549.6887588000002</v>
      </c>
    </row>
    <row r="98" spans="2:38" ht="14.25" customHeight="1">
      <c r="B98" s="31" t="s">
        <v>418</v>
      </c>
      <c r="D98" s="305">
        <f>D97/D43</f>
        <v>0</v>
      </c>
      <c r="E98" s="305">
        <f>E97/E43</f>
        <v>0</v>
      </c>
      <c r="F98" s="305">
        <f>F97/F43</f>
        <v>0</v>
      </c>
      <c r="G98" s="305">
        <f>G97/G43</f>
        <v>0</v>
      </c>
      <c r="H98" s="308">
        <f>H97/H43</f>
        <v>2.0455014574764261E-2</v>
      </c>
      <c r="J98" s="305">
        <f>J97/J43</f>
        <v>0</v>
      </c>
      <c r="K98" s="305">
        <f>K97/K43</f>
        <v>0</v>
      </c>
      <c r="L98" s="305">
        <f>L97/L43</f>
        <v>0</v>
      </c>
      <c r="M98" s="305">
        <f>M97/M43</f>
        <v>0</v>
      </c>
      <c r="N98" s="308">
        <f>N97/N43</f>
        <v>1.8108842541353188E-2</v>
      </c>
      <c r="P98" s="305">
        <f>P97/P43</f>
        <v>0</v>
      </c>
      <c r="Q98" s="305">
        <f>Q97/Q43</f>
        <v>0</v>
      </c>
      <c r="R98" s="305">
        <f>R97/R43</f>
        <v>0</v>
      </c>
      <c r="S98" s="305">
        <f>S97/S43</f>
        <v>0</v>
      </c>
      <c r="T98" s="308">
        <f>T97/T43</f>
        <v>1.7250865907966352E-2</v>
      </c>
      <c r="U98" s="205"/>
      <c r="V98" s="305">
        <f>V97/V43</f>
        <v>0</v>
      </c>
      <c r="W98" s="305">
        <f>W97/W43</f>
        <v>0</v>
      </c>
      <c r="X98" s="316">
        <v>4.2500000000000003E-3</v>
      </c>
      <c r="Y98" s="316">
        <v>4.0000000000000001E-3</v>
      </c>
      <c r="Z98" s="328">
        <f>Z97/Z43</f>
        <v>2.3587050899231661E-3</v>
      </c>
      <c r="AB98" s="316">
        <v>4.0000000000000001E-3</v>
      </c>
      <c r="AC98" s="316">
        <v>4.0000000000000001E-3</v>
      </c>
      <c r="AD98" s="316">
        <v>4.0000000000000001E-3</v>
      </c>
      <c r="AE98" s="316">
        <v>4.0000000000000001E-3</v>
      </c>
      <c r="AF98" s="338">
        <f>AF97/AF43</f>
        <v>4.0000000000000001E-3</v>
      </c>
      <c r="AH98" s="316">
        <v>4.0000000000000001E-3</v>
      </c>
      <c r="AJ98" s="316">
        <v>4.0000000000000001E-3</v>
      </c>
      <c r="AL98" s="316">
        <v>4.0000000000000001E-3</v>
      </c>
    </row>
    <row r="99" spans="2:38" ht="14.25" customHeight="1">
      <c r="B99" s="31" t="s">
        <v>421</v>
      </c>
      <c r="D99" s="305"/>
      <c r="E99" s="305"/>
      <c r="F99" s="305"/>
      <c r="G99" s="305"/>
      <c r="H99" s="308"/>
      <c r="J99" s="305"/>
      <c r="K99" s="305"/>
      <c r="L99" s="305"/>
      <c r="M99" s="305"/>
      <c r="N99" s="308"/>
      <c r="P99" s="305"/>
      <c r="Q99" s="305"/>
      <c r="R99" s="305"/>
      <c r="S99" s="305"/>
      <c r="T99" s="308"/>
      <c r="U99" s="205"/>
      <c r="V99" s="305"/>
      <c r="W99" s="305"/>
      <c r="X99" s="329">
        <v>4.7</v>
      </c>
      <c r="Y99" s="329">
        <v>4.8</v>
      </c>
      <c r="Z99" s="336">
        <f>AVERAGE(V99:Y99)</f>
        <v>4.75</v>
      </c>
      <c r="AB99" s="329">
        <v>4.8</v>
      </c>
      <c r="AC99" s="329">
        <v>4.8</v>
      </c>
      <c r="AD99" s="329">
        <v>4.8</v>
      </c>
      <c r="AE99" s="329">
        <v>4.8</v>
      </c>
      <c r="AF99" s="336">
        <f>AVERAGE(AB99:AE99)</f>
        <v>4.8</v>
      </c>
      <c r="AH99" s="329">
        <v>4.8</v>
      </c>
      <c r="AI99" s="329">
        <f t="shared" ref="AI99:AK99" si="98">AI31*1.02</f>
        <v>0</v>
      </c>
      <c r="AJ99" s="329">
        <v>4.8</v>
      </c>
      <c r="AK99" s="329">
        <f t="shared" si="98"/>
        <v>0</v>
      </c>
      <c r="AL99" s="329">
        <v>4.8</v>
      </c>
    </row>
    <row r="100" spans="2:38" ht="14.25" customHeight="1">
      <c r="B100" s="31" t="s">
        <v>422</v>
      </c>
      <c r="D100" s="46"/>
      <c r="E100" s="46"/>
      <c r="F100" s="46"/>
      <c r="G100" s="46"/>
      <c r="J100" s="46"/>
      <c r="K100" s="46"/>
      <c r="L100" s="46"/>
      <c r="M100" s="46"/>
      <c r="P100" s="46"/>
      <c r="Q100" s="46"/>
      <c r="R100" s="46"/>
      <c r="S100" s="46"/>
      <c r="U100" s="205"/>
      <c r="V100" s="46"/>
      <c r="W100" s="46"/>
      <c r="X100" s="532">
        <f>X99*(X31+W31+V31+S31)/W64</f>
        <v>333.61585973546602</v>
      </c>
      <c r="Y100" s="532">
        <f>Y99*(Y31+X31+W31+V31)/X64</f>
        <v>393.06771557268377</v>
      </c>
      <c r="Z100" s="337">
        <f>AVERAGE(V100:Y100)</f>
        <v>363.34178765407489</v>
      </c>
      <c r="AB100" s="532">
        <f>AB99*(AB31+Y31+X31+W31)/Y64</f>
        <v>443.64642460617171</v>
      </c>
      <c r="AC100" s="532">
        <f>AC99*(AC31+AB31+Y31+X31)/AB64</f>
        <v>491.47200531993508</v>
      </c>
      <c r="AD100" s="532">
        <f>AD99*(AD31+AC31+AB31+Y31)/AC64</f>
        <v>542.31210875030706</v>
      </c>
      <c r="AE100" s="532">
        <f>AE99*(AE31+AD31+AC31+AB31)/AD64</f>
        <v>601.06151233099422</v>
      </c>
      <c r="AF100" s="337">
        <f>AVERAGE(AB100:AE100)</f>
        <v>519.623012751852</v>
      </c>
      <c r="AH100" s="336">
        <f>AH99*AH31/AE64</f>
        <v>262.8495408302789</v>
      </c>
      <c r="AJ100" s="336">
        <f>AJ99*AJ31/AH64</f>
        <v>396.63343587761364</v>
      </c>
      <c r="AL100" s="336">
        <f>AL99*AL31/AJ64</f>
        <v>598.56738591957117</v>
      </c>
    </row>
    <row r="101" spans="2:38" ht="14.25" customHeight="1">
      <c r="B101" s="31" t="s">
        <v>423</v>
      </c>
      <c r="D101" s="46"/>
      <c r="E101" s="46"/>
      <c r="F101" s="46"/>
      <c r="G101" s="46"/>
      <c r="J101" s="46"/>
      <c r="K101" s="46"/>
      <c r="L101" s="46"/>
      <c r="M101" s="46"/>
      <c r="P101" s="46"/>
      <c r="Q101" s="46"/>
      <c r="R101" s="46"/>
      <c r="S101" s="46"/>
      <c r="U101" s="205"/>
      <c r="V101" s="46"/>
      <c r="W101" s="46"/>
      <c r="X101" s="532">
        <f>X97/X100</f>
        <v>1.0828925429728129</v>
      </c>
      <c r="Y101" s="532">
        <f>Y97/Y100</f>
        <v>1.0442610362999889</v>
      </c>
      <c r="Z101" s="336">
        <f>AVERAGE(V101:Y101)</f>
        <v>1.063576789636401</v>
      </c>
      <c r="AB101" s="532">
        <f>AB97/AB100</f>
        <v>0.92583938293793699</v>
      </c>
      <c r="AC101" s="532">
        <f>AC97/AC100</f>
        <v>1.0177566221180472</v>
      </c>
      <c r="AD101" s="532">
        <f>AD97/AD100</f>
        <v>0.86210856452637774</v>
      </c>
      <c r="AE101" s="532">
        <f>AE97/AE100</f>
        <v>0.96458951855284725</v>
      </c>
      <c r="AF101" s="336">
        <f>AVERAGE(AB101:AE101)</f>
        <v>0.94257352203380229</v>
      </c>
      <c r="AH101" s="336">
        <f>AH97/AH100</f>
        <v>3.0359883661172962</v>
      </c>
      <c r="AJ101" s="336">
        <f>AJ97/AJ100</f>
        <v>2.8126301614779332</v>
      </c>
      <c r="AL101" s="336">
        <f>AL97/AL100</f>
        <v>2.5889963189678866</v>
      </c>
    </row>
    <row r="102" spans="2:38" ht="14.25" customHeight="1">
      <c r="D102" s="46"/>
      <c r="E102" s="46"/>
      <c r="F102" s="46"/>
      <c r="G102" s="46"/>
      <c r="J102" s="46"/>
      <c r="K102" s="46"/>
      <c r="L102" s="46"/>
      <c r="M102" s="46"/>
      <c r="P102" s="46"/>
      <c r="Q102" s="46"/>
      <c r="R102" s="46"/>
      <c r="S102" s="46"/>
      <c r="U102" s="205"/>
      <c r="V102" s="46"/>
      <c r="W102" s="46"/>
      <c r="X102" s="46"/>
      <c r="Y102" s="46"/>
      <c r="AB102" s="46"/>
      <c r="AC102" s="46"/>
      <c r="AD102" s="46"/>
      <c r="AE102" s="46"/>
    </row>
    <row r="103" spans="2:38" ht="14.25" customHeight="1">
      <c r="B103" s="28" t="s">
        <v>424</v>
      </c>
      <c r="D103" s="50">
        <f>SUM(CF!P21:P24)</f>
        <v>0</v>
      </c>
      <c r="E103" s="50">
        <f>SUM(CF!Q21:Q24)</f>
        <v>0</v>
      </c>
      <c r="F103" s="50">
        <f>SUM(CF!R21:R24)</f>
        <v>0</v>
      </c>
      <c r="G103" s="50">
        <f>SUM(CF!S21:S24)</f>
        <v>0</v>
      </c>
      <c r="H103" s="68">
        <f>SUM(CF!T21:T24)</f>
        <v>-79092</v>
      </c>
      <c r="J103" s="50">
        <f>SUM(CF!V21:V24)</f>
        <v>0</v>
      </c>
      <c r="K103" s="50">
        <f>SUM(CF!W21:W24)</f>
        <v>0</v>
      </c>
      <c r="L103" s="50">
        <f>SUM(CF!X21:X24)</f>
        <v>0</v>
      </c>
      <c r="M103" s="50">
        <f>SUM(CF!Y21:Y24)</f>
        <v>0</v>
      </c>
      <c r="N103" s="68">
        <f>SUM(CF!Z21:Z24)</f>
        <v>6863</v>
      </c>
      <c r="P103" s="50">
        <f>SUM(CF!AB21:AB24)</f>
        <v>0</v>
      </c>
      <c r="Q103" s="50">
        <f>SUM(CF!AC21:AC24)</f>
        <v>0</v>
      </c>
      <c r="R103" s="50">
        <f>SUM(CF!AD21:AD24)</f>
        <v>0</v>
      </c>
      <c r="S103" s="50">
        <f>SUM(CF!AE21:AE24)</f>
        <v>102100</v>
      </c>
      <c r="T103" s="68">
        <f>SUM(CF!AF21:AF24)</f>
        <v>102150</v>
      </c>
      <c r="U103" s="205"/>
      <c r="V103" s="50">
        <f>SUM(CF!AH21:AH24)</f>
        <v>0</v>
      </c>
      <c r="W103" s="50">
        <f>SUM(CF!AI21:AI24)</f>
        <v>0</v>
      </c>
      <c r="X103" s="46">
        <f>-((X70+X73+X76-X85-X88)-(W70+W73+W76-W85-W88))</f>
        <v>92349.201044565241</v>
      </c>
      <c r="Y103" s="46">
        <f>-((Y70+Y73+Y76-Y85-Y88)-(X70+X73+X76-X85-X88))</f>
        <v>-85260.902792391367</v>
      </c>
      <c r="Z103" s="57">
        <f>SUM(V103:Y103)</f>
        <v>7088.2982521738741</v>
      </c>
      <c r="AB103" s="46">
        <f>-((AB70+AB73+AB76-AB85-AB88)-(Y70+Y73+Y76-Y85-Y88))</f>
        <v>29815.885296908091</v>
      </c>
      <c r="AC103" s="46">
        <f>-((AC70+AC73+AC76-AC85-AC88)-(AB70+AB73+AB76-AB85-AB88))</f>
        <v>-96182.914966664452</v>
      </c>
      <c r="AD103" s="46">
        <f>-((AD70+AD73+AD76-AD85-AD88)-(AC70+AC73+AC76-AC85-AC88))</f>
        <v>121907.56856323476</v>
      </c>
      <c r="AE103" s="46">
        <f>-((AE70+AE73+AE76-AE85-AE88)-(AD70+AD73+AD76-AD85-AD88))</f>
        <v>-131607.07942717394</v>
      </c>
      <c r="AF103" s="57">
        <f>SUM(AB103:AE103)</f>
        <v>-76066.540533695545</v>
      </c>
      <c r="AH103" s="312">
        <f>-((AH70+AH73+AH76-AH85-AH88)-(AF70+AF73+AF76-AF85-AF88))</f>
        <v>235412.08922398742</v>
      </c>
      <c r="AJ103" s="312">
        <f>-((AJ70+AJ73+AJ76-AJ85-AJ88)-(AH70+AH73+AH76-AH85-AH88))</f>
        <v>-28903.415410771791</v>
      </c>
      <c r="AL103" s="312">
        <f>-((AL70+AL73+AL76-AL85-AL88)-(AJ70+AJ73+AJ76-AJ85-AJ88))</f>
        <v>-12737.318680461089</v>
      </c>
    </row>
    <row r="104" spans="2:38" ht="14.25" customHeight="1">
      <c r="B104" s="31" t="s">
        <v>425</v>
      </c>
      <c r="D104" s="305">
        <f>D103/(D31-IS!M18)</f>
        <v>0</v>
      </c>
      <c r="E104" s="305">
        <f>E103/(E31-D31)</f>
        <v>0</v>
      </c>
      <c r="F104" s="305">
        <f>F103/(F31-E31)</f>
        <v>0</v>
      </c>
      <c r="G104" s="305">
        <f>G103/(G31-F31)</f>
        <v>0</v>
      </c>
      <c r="H104" s="308">
        <f>H103/IS!N18</f>
        <v>-5.8630661377759755E-2</v>
      </c>
      <c r="J104" s="305">
        <f>J103/(J31-IS!S18)</f>
        <v>0</v>
      </c>
      <c r="K104" s="305">
        <f>K103/(K31-J31)</f>
        <v>0</v>
      </c>
      <c r="L104" s="305">
        <f>L103/(L31-K31)</f>
        <v>0</v>
      </c>
      <c r="M104" s="305">
        <f>M103/(M31-L31)</f>
        <v>0</v>
      </c>
      <c r="N104" s="308">
        <f>N103/IS!T18</f>
        <v>3.8617816413725504E-3</v>
      </c>
      <c r="P104" s="305">
        <f>P103/(P31-IS!Y18)</f>
        <v>0</v>
      </c>
      <c r="Q104" s="305">
        <f>Q103/(Q31-P31)</f>
        <v>0</v>
      </c>
      <c r="R104" s="305">
        <f>R103/(R31-Q31)</f>
        <v>0</v>
      </c>
      <c r="S104" s="305">
        <f>S103/(S31-R31)</f>
        <v>-1.6391863470708175</v>
      </c>
      <c r="T104" s="308">
        <f>T103/IS!Z18</f>
        <v>3.2467563426171811E-2</v>
      </c>
      <c r="U104" s="205"/>
      <c r="V104" s="305">
        <f>V103/(V31-IS!AE18)</f>
        <v>0</v>
      </c>
      <c r="W104" s="305">
        <f>W103/(W31-V31)</f>
        <v>0</v>
      </c>
      <c r="X104" s="305">
        <f>X103/(X31-W31)</f>
        <v>0.73620217669455712</v>
      </c>
      <c r="Y104" s="305">
        <f>Y103/(Y31-X31)</f>
        <v>-0.92027699539533248</v>
      </c>
      <c r="Z104" s="308">
        <f>Z103/(Z31-T31)</f>
        <v>4.2522101517088956E-3</v>
      </c>
      <c r="AB104" s="305">
        <f>AB103/(AB31-IS!AK18)</f>
        <v>2.3388181531225877E-2</v>
      </c>
      <c r="AC104" s="305">
        <f>AC103/(AC31-AB31)</f>
        <v>-0.68293297949888843</v>
      </c>
      <c r="AD104" s="305">
        <f>AD103/(AD31-AC31)</f>
        <v>0.78097316773054426</v>
      </c>
      <c r="AE104" s="305">
        <f>AE103/(AE31-AD31)</f>
        <v>-0.76068619583248431</v>
      </c>
      <c r="AF104" s="308">
        <f>AF103/(AF31-Z31)</f>
        <v>-3.5988817521108635E-2</v>
      </c>
      <c r="AH104" s="308">
        <f>AH103/(AH31-AF31)</f>
        <v>-6.8507093269912944E-2</v>
      </c>
      <c r="AJ104" s="308">
        <f>AJ103/(AJ31-AH31)</f>
        <v>-2.1259139180723838E-2</v>
      </c>
      <c r="AL104" s="308">
        <f>AL103/(AL31-AJ31)</f>
        <v>-6.2081930698574053E-3</v>
      </c>
    </row>
    <row r="105" spans="2:38" ht="14.25" customHeight="1">
      <c r="D105" s="46"/>
      <c r="E105" s="46"/>
      <c r="F105" s="46"/>
      <c r="G105" s="46"/>
      <c r="J105" s="46"/>
      <c r="K105" s="46"/>
      <c r="L105" s="46"/>
      <c r="M105" s="46"/>
      <c r="P105" s="46"/>
      <c r="Q105" s="46"/>
      <c r="R105" s="46"/>
      <c r="S105" s="46"/>
      <c r="U105" s="205"/>
      <c r="V105" s="46"/>
      <c r="W105" s="46"/>
      <c r="X105" s="46"/>
      <c r="Y105" s="46"/>
      <c r="AB105" s="46"/>
      <c r="AC105" s="46"/>
      <c r="AD105" s="46"/>
      <c r="AE105" s="46"/>
    </row>
    <row r="106" spans="2:38" ht="14.25" customHeight="1">
      <c r="B106" s="28" t="s">
        <v>426</v>
      </c>
      <c r="D106" s="50">
        <f>CF!P28</f>
        <v>-11233</v>
      </c>
      <c r="E106" s="50">
        <f>CF!Q28</f>
        <v>-17414</v>
      </c>
      <c r="F106" s="50">
        <f>CF!R28</f>
        <v>-20523</v>
      </c>
      <c r="G106" s="50">
        <f>CF!S28</f>
        <v>-23229</v>
      </c>
      <c r="H106" s="68">
        <f>CF!T28</f>
        <v>-72399</v>
      </c>
      <c r="J106" s="50">
        <f>CF!V28</f>
        <v>-27662</v>
      </c>
      <c r="K106" s="50">
        <f>CF!W28</f>
        <v>-32047</v>
      </c>
      <c r="L106" s="50">
        <f>CF!X28</f>
        <v>-26459</v>
      </c>
      <c r="M106" s="50">
        <f>CF!Y28</f>
        <v>-50401</v>
      </c>
      <c r="N106" s="68">
        <f>CF!Z28</f>
        <v>-136569</v>
      </c>
      <c r="P106" s="50">
        <f>CF!AB28</f>
        <v>-26666</v>
      </c>
      <c r="Q106" s="50">
        <f>CF!AC28</f>
        <v>-39108</v>
      </c>
      <c r="R106" s="50">
        <f>CF!AD28</f>
        <v>-30195</v>
      </c>
      <c r="S106" s="50">
        <f>CF!AE28</f>
        <v>-51147</v>
      </c>
      <c r="T106" s="68">
        <f>CF!AF28</f>
        <v>-147116</v>
      </c>
      <c r="U106" s="205"/>
      <c r="V106" s="50">
        <f>CF!AH28</f>
        <v>-35773</v>
      </c>
      <c r="W106" s="50">
        <f>CF!AI28</f>
        <v>-29815</v>
      </c>
      <c r="X106" s="46">
        <f>-X$31*(X107+Sensitivity!$U$38)</f>
        <v>-69127.104000000007</v>
      </c>
      <c r="Y106" s="46">
        <f>-Y$31*(Y107+Sensitivity!$U$38)</f>
        <v>-73062.823400000008</v>
      </c>
      <c r="Z106" s="57">
        <f>SUM(V106:Y106)</f>
        <v>-207777.92739999999</v>
      </c>
      <c r="AA106" s="71"/>
      <c r="AB106" s="46">
        <f>-AB$31*(AB107+Sensitivity!$U$38)</f>
        <v>-75389.966</v>
      </c>
      <c r="AC106" s="46">
        <f>-AC$31*(AC107+Sensitivity!$U$38)</f>
        <v>-83558.570000000007</v>
      </c>
      <c r="AD106" s="46">
        <f>-AD$31*(AD107+Sensitivity!$U$38)</f>
        <v>-110176.57800000001</v>
      </c>
      <c r="AE106" s="46">
        <f>-AE$31*(AE107+Sensitivity!$U$38)</f>
        <v>-118574.79100000001</v>
      </c>
      <c r="AF106" s="57">
        <f>SUM(AB106:AE106)</f>
        <v>-387699.90500000009</v>
      </c>
      <c r="AG106" s="57"/>
      <c r="AH106" s="57">
        <f>-AH$31*(AH107+Sensitivity!$U$38)</f>
        <v>-178937.57</v>
      </c>
      <c r="AI106" s="57"/>
      <c r="AJ106" s="57">
        <f>-AJ$31*(AJ107+Sensitivity!$U$38)</f>
        <v>-290180.592</v>
      </c>
      <c r="AK106" s="57"/>
      <c r="AL106" s="57">
        <f>-AL$31*(AL107+Sensitivity!$U$38)</f>
        <v>-462230.55599999998</v>
      </c>
    </row>
    <row r="107" spans="2:38" ht="14.25" customHeight="1">
      <c r="B107" s="31" t="s">
        <v>360</v>
      </c>
      <c r="D107" s="305">
        <f>-D106/D31</f>
        <v>3.3864529821768803E-2</v>
      </c>
      <c r="E107" s="305">
        <f>-E106/E31</f>
        <v>4.5619467519641209E-2</v>
      </c>
      <c r="F107" s="305">
        <f>-F106/F31</f>
        <v>4.2981454914814081E-2</v>
      </c>
      <c r="G107" s="305">
        <f>-G106/G31</f>
        <v>3.9174384954229938E-2</v>
      </c>
      <c r="H107" s="308">
        <f>-H106/H31</f>
        <v>4.0738617084909119E-2</v>
      </c>
      <c r="J107" s="305">
        <f>-J106/J31</f>
        <v>4.2017547057465396E-2</v>
      </c>
      <c r="K107" s="305">
        <f>-K106/K31</f>
        <v>3.9973805662966197E-2</v>
      </c>
      <c r="L107" s="305">
        <f>-L106/L31</f>
        <v>2.6525499427063649E-2</v>
      </c>
      <c r="M107" s="305">
        <f>-M106/M31</f>
        <v>7.3184933495963292E-2</v>
      </c>
      <c r="N107" s="308">
        <f>-N106/N31</f>
        <v>4.3407368277521861E-2</v>
      </c>
      <c r="P107" s="305">
        <f>-P106/P31</f>
        <v>5.8052352920686889E-2</v>
      </c>
      <c r="Q107" s="305">
        <f>-Q106/Q31</f>
        <v>7.4742849279672188E-2</v>
      </c>
      <c r="R107" s="305">
        <f>-R106/R31</f>
        <v>4.2946992928218283E-2</v>
      </c>
      <c r="S107" s="305">
        <f>-S106/S31</f>
        <v>7.9818785903003953E-2</v>
      </c>
      <c r="T107" s="308">
        <f>-T106/T31</f>
        <v>6.3236451527073731E-2</v>
      </c>
      <c r="U107" s="205"/>
      <c r="V107" s="305">
        <f>-V106/V31</f>
        <v>4.5520193517765636E-2</v>
      </c>
      <c r="W107" s="305">
        <f>-W106/W31</f>
        <v>3.1230654330130486E-2</v>
      </c>
      <c r="X107" s="316">
        <v>6.4000000000000001E-2</v>
      </c>
      <c r="Y107" s="316">
        <v>6.2300000000000001E-2</v>
      </c>
      <c r="Z107" s="306">
        <f>-Z106/Z$31</f>
        <v>5.2030188578135329E-2</v>
      </c>
      <c r="AB107" s="316">
        <v>5.8000000000000003E-2</v>
      </c>
      <c r="AC107" s="316">
        <v>5.8000000000000003E-2</v>
      </c>
      <c r="AD107" s="316">
        <v>6.9000000000000006E-2</v>
      </c>
      <c r="AE107" s="316">
        <v>6.7000000000000004E-2</v>
      </c>
      <c r="AF107" s="306">
        <f>-AF106/AF$31</f>
        <v>6.3484229724217703E-2</v>
      </c>
      <c r="AH107" s="316">
        <v>6.7000000000000004E-2</v>
      </c>
      <c r="AJ107" s="316">
        <v>7.1999999999999995E-2</v>
      </c>
      <c r="AL107" s="316">
        <v>7.5999999999999998E-2</v>
      </c>
    </row>
    <row r="108" spans="2:38" ht="14.25" customHeight="1">
      <c r="D108" s="46"/>
      <c r="E108" s="46"/>
      <c r="F108" s="46"/>
      <c r="G108" s="46"/>
      <c r="J108" s="46"/>
      <c r="K108" s="46"/>
      <c r="L108" s="46"/>
      <c r="M108" s="46"/>
      <c r="P108" s="46"/>
      <c r="Q108" s="46"/>
      <c r="R108" s="46"/>
      <c r="S108" s="46"/>
      <c r="U108" s="205"/>
      <c r="V108" s="46"/>
      <c r="W108" s="46"/>
      <c r="X108" s="46"/>
      <c r="Y108" s="46"/>
      <c r="AB108" s="46"/>
      <c r="AC108" s="46"/>
      <c r="AD108" s="46"/>
      <c r="AE108" s="46"/>
    </row>
    <row r="109" spans="2:38" ht="14.25" customHeight="1">
      <c r="B109" s="28" t="s">
        <v>427</v>
      </c>
      <c r="D109" s="50">
        <f>CF!P29</f>
        <v>1171</v>
      </c>
      <c r="E109" s="50">
        <f>CF!Q29</f>
        <v>4167</v>
      </c>
      <c r="F109" s="50">
        <f>CF!R29</f>
        <v>703</v>
      </c>
      <c r="G109" s="50">
        <f>CF!S29</f>
        <v>2300</v>
      </c>
      <c r="H109" s="68">
        <f>CF!T29</f>
        <v>8341</v>
      </c>
      <c r="J109" s="50">
        <f>CF!V29</f>
        <v>78</v>
      </c>
      <c r="K109" s="50">
        <f>CF!W29</f>
        <v>14</v>
      </c>
      <c r="L109" s="50">
        <f>CF!X29</f>
        <v>26</v>
      </c>
      <c r="M109" s="50">
        <f>CF!Y29</f>
        <v>462</v>
      </c>
      <c r="N109" s="68">
        <f>CF!Z29</f>
        <v>580</v>
      </c>
      <c r="P109" s="50">
        <f>CF!AB29</f>
        <v>74</v>
      </c>
      <c r="Q109" s="50">
        <f>CF!AC29</f>
        <v>76</v>
      </c>
      <c r="R109" s="50">
        <f>CF!AD29</f>
        <v>93</v>
      </c>
      <c r="S109" s="50">
        <f>CF!AE29</f>
        <v>29</v>
      </c>
      <c r="T109" s="68">
        <f>CF!AF29</f>
        <v>272</v>
      </c>
      <c r="U109" s="205"/>
      <c r="V109" s="50">
        <f>CF!AH29</f>
        <v>3946</v>
      </c>
      <c r="W109" s="50">
        <f>CF!AI29</f>
        <v>58</v>
      </c>
      <c r="X109" s="46">
        <f>X110*X$106</f>
        <v>-2391.7977984000004</v>
      </c>
      <c r="Y109" s="46">
        <f>Y110*Y$106</f>
        <v>-650.25912826000013</v>
      </c>
      <c r="Z109" s="57">
        <f>SUM(V109:Y109)</f>
        <v>961.9430733399995</v>
      </c>
      <c r="AB109" s="46">
        <f t="shared" ref="AB109:AE109" si="99">AB110*AB$106</f>
        <v>-3535.7894053999999</v>
      </c>
      <c r="AC109" s="46">
        <f t="shared" si="99"/>
        <v>-1094.6172670000001</v>
      </c>
      <c r="AD109" s="46">
        <f t="shared" si="99"/>
        <v>-1443.3131718000002</v>
      </c>
      <c r="AE109" s="46">
        <f t="shared" si="99"/>
        <v>0</v>
      </c>
      <c r="AF109" s="57">
        <f>SUM(AB109:AE109)</f>
        <v>-6073.7198442000008</v>
      </c>
      <c r="AH109" s="57">
        <f>AH110*AH$106</f>
        <v>-1556.7568589999998</v>
      </c>
      <c r="AJ109" s="57">
        <f>AJ110*AJ$106</f>
        <v>-1160.722368</v>
      </c>
      <c r="AL109" s="57">
        <f>AL110*AL$106</f>
        <v>-462.23055599999998</v>
      </c>
    </row>
    <row r="110" spans="2:38" ht="14.25" customHeight="1">
      <c r="B110" s="31" t="s">
        <v>428</v>
      </c>
      <c r="D110" s="305">
        <f>-D109/D106</f>
        <v>0.10424641680762041</v>
      </c>
      <c r="E110" s="305">
        <f t="shared" ref="E110:H110" si="100">-E109/E106</f>
        <v>0.23929022625473756</v>
      </c>
      <c r="F110" s="305">
        <f t="shared" si="100"/>
        <v>3.4254251327778588E-2</v>
      </c>
      <c r="G110" s="305">
        <f t="shared" si="100"/>
        <v>9.9014163330319857E-2</v>
      </c>
      <c r="H110" s="308">
        <f t="shared" si="100"/>
        <v>0.11520877360184532</v>
      </c>
      <c r="J110" s="305">
        <f>-J109/J106</f>
        <v>2.8197527293760392E-3</v>
      </c>
      <c r="K110" s="305">
        <f t="shared" ref="K110" si="101">-K109/K106</f>
        <v>4.368583642774675E-4</v>
      </c>
      <c r="L110" s="305">
        <f t="shared" ref="L110" si="102">-L109/L106</f>
        <v>9.826524056086776E-4</v>
      </c>
      <c r="M110" s="305">
        <f t="shared" ref="M110" si="103">-M109/M106</f>
        <v>9.1664847919684135E-3</v>
      </c>
      <c r="N110" s="308">
        <f t="shared" ref="N110" si="104">-N109/N106</f>
        <v>4.2469374455403495E-3</v>
      </c>
      <c r="P110" s="305">
        <f>-P109/P106</f>
        <v>2.7750693767344182E-3</v>
      </c>
      <c r="Q110" s="305">
        <f t="shared" ref="Q110" si="105">-Q109/Q106</f>
        <v>1.9433364017592309E-3</v>
      </c>
      <c r="R110" s="305">
        <f t="shared" ref="R110" si="106">-R109/R106</f>
        <v>3.079980129160457E-3</v>
      </c>
      <c r="S110" s="305">
        <f t="shared" ref="S110" si="107">-S109/S106</f>
        <v>5.6699317653039275E-4</v>
      </c>
      <c r="T110" s="308">
        <f t="shared" ref="T110" si="108">-T109/T106</f>
        <v>1.8488811550069332E-3</v>
      </c>
      <c r="U110" s="205"/>
      <c r="V110" s="305">
        <f>-V109/V106</f>
        <v>0.11030665585776983</v>
      </c>
      <c r="W110" s="305">
        <f t="shared" ref="W110" si="109">-W109/W106</f>
        <v>1.9453295321147073E-3</v>
      </c>
      <c r="X110" s="316">
        <v>3.4599999999999999E-2</v>
      </c>
      <c r="Y110" s="316">
        <v>8.8999999999999999E-3</v>
      </c>
      <c r="Z110" s="306">
        <f>-Z109/Z$31</f>
        <v>-2.4088256213547753E-4</v>
      </c>
      <c r="AB110" s="316">
        <v>4.6899999999999997E-2</v>
      </c>
      <c r="AC110" s="316">
        <v>1.3100000000000001E-2</v>
      </c>
      <c r="AD110" s="316">
        <v>1.3100000000000001E-2</v>
      </c>
      <c r="AE110" s="316">
        <v>0</v>
      </c>
      <c r="AF110" s="306">
        <f>-AF109/AF$31</f>
        <v>9.945460932463538E-4</v>
      </c>
      <c r="AH110" s="316">
        <v>8.6999999999999994E-3</v>
      </c>
      <c r="AJ110" s="316">
        <v>4.0000000000000001E-3</v>
      </c>
      <c r="AL110" s="316">
        <v>1E-3</v>
      </c>
    </row>
    <row r="111" spans="2:38" ht="14.25" customHeight="1">
      <c r="B111" s="31"/>
      <c r="D111" s="305"/>
      <c r="E111" s="305"/>
      <c r="F111" s="305"/>
      <c r="G111" s="305"/>
      <c r="H111" s="308"/>
      <c r="J111" s="305"/>
      <c r="K111" s="305"/>
      <c r="L111" s="305"/>
      <c r="M111" s="305"/>
      <c r="N111" s="308"/>
      <c r="P111" s="305"/>
      <c r="Q111" s="305"/>
      <c r="R111" s="305"/>
      <c r="S111" s="305"/>
      <c r="T111" s="308"/>
      <c r="U111" s="205"/>
      <c r="V111" s="305"/>
      <c r="W111" s="305"/>
      <c r="X111" s="305"/>
      <c r="Y111" s="305"/>
      <c r="Z111" s="306"/>
      <c r="AA111" s="306"/>
      <c r="AB111" s="305"/>
      <c r="AC111" s="305"/>
      <c r="AD111" s="305"/>
      <c r="AE111" s="305"/>
      <c r="AF111" s="306"/>
      <c r="AH111" s="617"/>
      <c r="AJ111" s="617"/>
      <c r="AL111" s="617"/>
    </row>
    <row r="112" spans="2:38" ht="14.25" customHeight="1">
      <c r="B112" s="28" t="s">
        <v>429</v>
      </c>
      <c r="D112" s="50">
        <f>CF!P39</f>
        <v>0</v>
      </c>
      <c r="E112" s="50">
        <f>CF!Q39</f>
        <v>0</v>
      </c>
      <c r="F112" s="50">
        <f>CF!R39</f>
        <v>0</v>
      </c>
      <c r="G112" s="50">
        <f>CF!S39</f>
        <v>-6117</v>
      </c>
      <c r="H112" s="68">
        <f>CF!T39</f>
        <v>-6117</v>
      </c>
      <c r="J112" s="50">
        <f>CF!V39</f>
        <v>-36653</v>
      </c>
      <c r="K112" s="50">
        <f>CF!W39</f>
        <v>-41741</v>
      </c>
      <c r="L112" s="50">
        <f>CF!X39</f>
        <v>-66165</v>
      </c>
      <c r="M112" s="50">
        <f>CF!Y39</f>
        <v>-107733</v>
      </c>
      <c r="N112" s="68">
        <f>CF!Z39</f>
        <v>-252292</v>
      </c>
      <c r="P112" s="50">
        <f>CF!AB39</f>
        <v>-36983</v>
      </c>
      <c r="Q112" s="50">
        <f>CF!AC39</f>
        <v>-293</v>
      </c>
      <c r="R112" s="50">
        <f>CF!AD39</f>
        <v>-5689</v>
      </c>
      <c r="S112" s="50">
        <f>CF!AE39</f>
        <v>-48891</v>
      </c>
      <c r="T112" s="68">
        <f>CF!AF39</f>
        <v>-91856</v>
      </c>
      <c r="U112" s="205"/>
      <c r="V112" s="50">
        <f>CF!AH39</f>
        <v>-37758</v>
      </c>
      <c r="W112" s="50">
        <f>CF!AI39</f>
        <v>-50016</v>
      </c>
      <c r="X112" s="46">
        <f>-X113*X126</f>
        <v>-91877.594324543985</v>
      </c>
      <c r="Y112" s="46">
        <f>-Y113*Y126</f>
        <v>-45693.538541092799</v>
      </c>
      <c r="Z112" s="57">
        <f>SUM(V112:Y112)</f>
        <v>-225345.13286563678</v>
      </c>
      <c r="AB112" s="46">
        <f>-AB113*AB126</f>
        <v>-61046.383373892801</v>
      </c>
      <c r="AC112" s="46">
        <f>-AC113*AC126</f>
        <v>-136096.87952383998</v>
      </c>
      <c r="AD112" s="46">
        <f>-AD113*AD126</f>
        <v>-175933.34744065916</v>
      </c>
      <c r="AE112" s="46">
        <f>-AE113*AE126</f>
        <v>-102123.37478951518</v>
      </c>
      <c r="AF112" s="57">
        <f>SUM(AB112:AE112)</f>
        <v>-475199.98512790713</v>
      </c>
      <c r="AH112" s="57">
        <f>-AH113*AH126</f>
        <v>-280454.3423041919</v>
      </c>
      <c r="AJ112" s="57">
        <f>-AJ113*AJ126</f>
        <v>-540894.46970316174</v>
      </c>
      <c r="AL112" s="57">
        <f>-AL113*AL126</f>
        <v>-1017113.52399552</v>
      </c>
    </row>
    <row r="113" spans="1:45" ht="14.25" customHeight="1">
      <c r="B113" s="31" t="s">
        <v>430</v>
      </c>
      <c r="D113" s="305">
        <f>-D112/D126</f>
        <v>0</v>
      </c>
      <c r="E113" s="305">
        <f>-E112/E126</f>
        <v>0</v>
      </c>
      <c r="F113" s="305">
        <f>-F112/F126</f>
        <v>0</v>
      </c>
      <c r="G113" s="305">
        <f>-G112/G126</f>
        <v>5.6855088658361669E-2</v>
      </c>
      <c r="H113" s="308">
        <f>-H112/H126</f>
        <v>5.537391271811614E-2</v>
      </c>
      <c r="J113" s="305">
        <f>-J112/J126</f>
        <v>0.29576170051636597</v>
      </c>
      <c r="K113" s="305">
        <f>-K112/K126</f>
        <v>0.21241988006791904</v>
      </c>
      <c r="L113" s="305">
        <f>-L112/L126</f>
        <v>0.21537002280732914</v>
      </c>
      <c r="M113" s="305">
        <f>-M112/M126</f>
        <v>1.0456806331340549</v>
      </c>
      <c r="N113" s="308">
        <f>-N112/N126</f>
        <v>0.34527681283006467</v>
      </c>
      <c r="P113" s="305">
        <f>-P112/P126</f>
        <v>-10.020063024828378</v>
      </c>
      <c r="Q113" s="305">
        <f>-Q112/Q126</f>
        <v>2.684271113866139E-2</v>
      </c>
      <c r="R113" s="305">
        <f>-R112/R126</f>
        <v>4.7175485668598222E-2</v>
      </c>
      <c r="S113" s="305">
        <f>-S112/S126</f>
        <v>0.51452904996147142</v>
      </c>
      <c r="T113" s="308">
        <f>-T112/T126</f>
        <v>0.41504545050666924</v>
      </c>
      <c r="U113" s="205"/>
      <c r="V113" s="305">
        <f>-V112/V126</f>
        <v>0.26999205499406398</v>
      </c>
      <c r="W113" s="305">
        <f>-W112/W126</f>
        <v>0.23772239035982973</v>
      </c>
      <c r="X113" s="316">
        <v>0.438</v>
      </c>
      <c r="Y113" s="316">
        <v>0.23250000000000001</v>
      </c>
      <c r="Z113" s="306">
        <f>-Z112/Z126</f>
        <v>0.297861719619954</v>
      </c>
      <c r="AB113" s="316">
        <v>0.184</v>
      </c>
      <c r="AC113" s="316">
        <v>0.47799999999999998</v>
      </c>
      <c r="AD113" s="316">
        <v>0.497</v>
      </c>
      <c r="AE113" s="316">
        <v>0.29199999999999998</v>
      </c>
      <c r="AF113" s="306">
        <f>-AF112/AF126</f>
        <v>0.3599390304479716</v>
      </c>
      <c r="AH113" s="316">
        <v>0.42199999999999999</v>
      </c>
      <c r="AJ113" s="316">
        <v>0.48099999999999998</v>
      </c>
      <c r="AL113" s="316">
        <v>0.54100000000000004</v>
      </c>
    </row>
    <row r="114" spans="1:45" ht="14.25" customHeight="1">
      <c r="B114" s="31"/>
      <c r="D114" s="305"/>
      <c r="E114" s="305"/>
      <c r="F114" s="305"/>
      <c r="G114" s="305"/>
      <c r="H114" s="308"/>
      <c r="J114" s="305"/>
      <c r="K114" s="305"/>
      <c r="L114" s="305"/>
      <c r="M114" s="305"/>
      <c r="N114" s="308"/>
      <c r="P114" s="305"/>
      <c r="Q114" s="305"/>
      <c r="R114" s="305"/>
      <c r="S114" s="305"/>
      <c r="T114" s="308"/>
      <c r="U114" s="205"/>
      <c r="V114" s="305"/>
      <c r="W114" s="305"/>
      <c r="X114" s="305"/>
      <c r="Y114" s="305"/>
      <c r="Z114" s="306"/>
      <c r="AA114" s="306"/>
      <c r="AB114" s="305"/>
      <c r="AC114" s="305"/>
      <c r="AD114" s="305"/>
      <c r="AE114" s="305"/>
      <c r="AF114" s="306"/>
      <c r="AH114" s="617"/>
      <c r="AJ114" s="617"/>
      <c r="AL114" s="617"/>
    </row>
    <row r="115" spans="1:45" ht="14.25" customHeight="1">
      <c r="B115" s="28" t="s">
        <v>431</v>
      </c>
      <c r="D115" s="50">
        <f>CF!P40</f>
        <v>-18</v>
      </c>
      <c r="E115" s="50">
        <f>CF!Q40</f>
        <v>0</v>
      </c>
      <c r="F115" s="50">
        <f>CF!R40</f>
        <v>-1102</v>
      </c>
      <c r="G115" s="50">
        <f>CF!S40</f>
        <v>-7</v>
      </c>
      <c r="H115" s="68">
        <f>CF!T40</f>
        <v>-1127</v>
      </c>
      <c r="J115" s="50">
        <f>CF!V40</f>
        <v>-45</v>
      </c>
      <c r="K115" s="50">
        <f>CF!W40</f>
        <v>0</v>
      </c>
      <c r="L115" s="50">
        <f>CF!X40</f>
        <v>-1588</v>
      </c>
      <c r="M115" s="50">
        <f>CF!Y40</f>
        <v>-10</v>
      </c>
      <c r="N115" s="68">
        <f>CF!Z40</f>
        <v>-1643</v>
      </c>
      <c r="P115" s="50">
        <f>CF!AB40</f>
        <v>-5</v>
      </c>
      <c r="Q115" s="50">
        <f>CF!AC40</f>
        <v>0</v>
      </c>
      <c r="R115" s="50">
        <f>CF!AD40</f>
        <v>-1683</v>
      </c>
      <c r="S115" s="50">
        <f>CF!AE40</f>
        <v>0</v>
      </c>
      <c r="T115" s="68">
        <f>CF!AF40</f>
        <v>-1688</v>
      </c>
      <c r="U115" s="205"/>
      <c r="V115" s="50">
        <f>CF!AH40</f>
        <v>-34</v>
      </c>
      <c r="W115" s="50">
        <f>CF!AI40</f>
        <v>-26</v>
      </c>
      <c r="X115" s="620">
        <v>0</v>
      </c>
      <c r="Y115" s="620" t="s">
        <v>432</v>
      </c>
      <c r="Z115" s="57">
        <f>SUM(V115:Y115)</f>
        <v>-60</v>
      </c>
      <c r="AB115" s="620">
        <v>0</v>
      </c>
      <c r="AC115" s="620">
        <v>-430</v>
      </c>
      <c r="AD115" s="620">
        <v>0</v>
      </c>
      <c r="AE115" s="620">
        <v>-153</v>
      </c>
      <c r="AF115" s="57">
        <f>SUM(AB115:AE115)</f>
        <v>-583</v>
      </c>
      <c r="AH115" s="620">
        <v>-87</v>
      </c>
      <c r="AJ115" s="620">
        <v>-49</v>
      </c>
      <c r="AL115" s="620">
        <v>-19</v>
      </c>
    </row>
    <row r="116" spans="1:45" ht="14.25" customHeight="1">
      <c r="U116" s="205"/>
      <c r="AS116" s="312"/>
    </row>
    <row r="117" spans="1:45" s="41" customFormat="1" ht="15" customHeight="1">
      <c r="A117" s="30" t="s">
        <v>33</v>
      </c>
      <c r="B117" s="161" t="s">
        <v>433</v>
      </c>
      <c r="C117" s="18"/>
      <c r="D117" s="162"/>
      <c r="E117" s="162"/>
      <c r="F117" s="162"/>
      <c r="G117" s="162"/>
      <c r="H117" s="162"/>
      <c r="I117" s="18"/>
      <c r="J117" s="162"/>
      <c r="K117" s="162"/>
      <c r="L117" s="162"/>
      <c r="M117" s="162"/>
      <c r="N117" s="162"/>
      <c r="O117" s="18"/>
      <c r="P117" s="162"/>
      <c r="Q117" s="162"/>
      <c r="R117" s="162"/>
      <c r="S117" s="162"/>
      <c r="T117" s="162"/>
      <c r="U117" s="18"/>
      <c r="V117" s="162"/>
      <c r="W117" s="162"/>
      <c r="X117" s="162"/>
      <c r="Y117" s="162"/>
      <c r="Z117" s="162"/>
      <c r="AA117" s="18"/>
      <c r="AB117" s="162"/>
      <c r="AC117" s="162"/>
      <c r="AD117" s="162"/>
      <c r="AE117" s="162"/>
      <c r="AF117" s="162"/>
      <c r="AG117" s="18"/>
      <c r="AH117" s="162"/>
      <c r="AI117" s="18"/>
      <c r="AJ117" s="163"/>
      <c r="AK117" s="18"/>
      <c r="AL117" s="163"/>
    </row>
    <row r="118" spans="1:45" s="41" customFormat="1" ht="15" customHeight="1">
      <c r="B118" s="164"/>
      <c r="C118" s="18"/>
      <c r="D118" s="743">
        <f>D$8</f>
        <v>2022</v>
      </c>
      <c r="E118" s="743">
        <f>F118</f>
        <v>0</v>
      </c>
      <c r="F118" s="743">
        <f>F$8</f>
        <v>0</v>
      </c>
      <c r="G118" s="743">
        <f>F118</f>
        <v>0</v>
      </c>
      <c r="H118" s="743">
        <f>F118</f>
        <v>0</v>
      </c>
      <c r="I118" s="169"/>
      <c r="J118" s="743">
        <f>J$8</f>
        <v>2023</v>
      </c>
      <c r="K118" s="743">
        <f>L118</f>
        <v>0</v>
      </c>
      <c r="L118" s="743">
        <f>L$8</f>
        <v>0</v>
      </c>
      <c r="M118" s="743">
        <f>L118</f>
        <v>0</v>
      </c>
      <c r="N118" s="743">
        <f>L118</f>
        <v>0</v>
      </c>
      <c r="O118" s="169"/>
      <c r="P118" s="743">
        <f>P$8</f>
        <v>2024</v>
      </c>
      <c r="Q118" s="743">
        <f>R118</f>
        <v>0</v>
      </c>
      <c r="R118" s="743">
        <f>R$8</f>
        <v>0</v>
      </c>
      <c r="S118" s="743">
        <f>R118</f>
        <v>0</v>
      </c>
      <c r="T118" s="743">
        <f>R118</f>
        <v>0</v>
      </c>
      <c r="U118" s="169"/>
      <c r="V118" s="742">
        <f>V$8</f>
        <v>2025</v>
      </c>
      <c r="W118" s="742">
        <f>X118</f>
        <v>0</v>
      </c>
      <c r="X118" s="742">
        <f>X$8</f>
        <v>0</v>
      </c>
      <c r="Y118" s="742">
        <f>X118</f>
        <v>0</v>
      </c>
      <c r="Z118" s="742">
        <f>X118</f>
        <v>0</v>
      </c>
      <c r="AA118" s="169"/>
      <c r="AB118" s="742">
        <f>AB$8</f>
        <v>2026</v>
      </c>
      <c r="AC118" s="742">
        <f>AD118</f>
        <v>0</v>
      </c>
      <c r="AD118" s="742">
        <f>AD$8</f>
        <v>0</v>
      </c>
      <c r="AE118" s="742">
        <f>AD118</f>
        <v>0</v>
      </c>
      <c r="AF118" s="742">
        <f>AD118</f>
        <v>0</v>
      </c>
      <c r="AG118" s="171"/>
      <c r="AH118" s="166">
        <f>AH$8</f>
        <v>2027</v>
      </c>
      <c r="AI118" s="167"/>
      <c r="AJ118" s="166">
        <f>AJ$8</f>
        <v>2028</v>
      </c>
      <c r="AK118" s="167"/>
      <c r="AL118" s="166">
        <f>AL$8</f>
        <v>2029</v>
      </c>
    </row>
    <row r="119" spans="1:45" s="41" customFormat="1" ht="14.25" customHeight="1">
      <c r="B119" s="164"/>
      <c r="C119" s="18"/>
      <c r="D119" s="168" t="s">
        <v>202</v>
      </c>
      <c r="E119" s="168" t="s">
        <v>203</v>
      </c>
      <c r="F119" s="168" t="s">
        <v>204</v>
      </c>
      <c r="G119" s="168" t="s">
        <v>205</v>
      </c>
      <c r="H119" s="168" t="s">
        <v>206</v>
      </c>
      <c r="I119" s="165"/>
      <c r="J119" s="168" t="s">
        <v>202</v>
      </c>
      <c r="K119" s="168" t="s">
        <v>203</v>
      </c>
      <c r="L119" s="168" t="s">
        <v>204</v>
      </c>
      <c r="M119" s="168" t="s">
        <v>205</v>
      </c>
      <c r="N119" s="168" t="s">
        <v>206</v>
      </c>
      <c r="O119" s="165"/>
      <c r="P119" s="168" t="s">
        <v>202</v>
      </c>
      <c r="Q119" s="168" t="s">
        <v>203</v>
      </c>
      <c r="R119" s="168" t="s">
        <v>204</v>
      </c>
      <c r="S119" s="168" t="s">
        <v>205</v>
      </c>
      <c r="T119" s="168" t="s">
        <v>206</v>
      </c>
      <c r="U119" s="165"/>
      <c r="V119" s="168" t="s">
        <v>202</v>
      </c>
      <c r="W119" s="168" t="s">
        <v>203</v>
      </c>
      <c r="X119" s="168" t="s">
        <v>204</v>
      </c>
      <c r="Y119" s="168" t="s">
        <v>205</v>
      </c>
      <c r="Z119" s="168" t="s">
        <v>206</v>
      </c>
      <c r="AA119" s="165"/>
      <c r="AB119" s="168" t="s">
        <v>202</v>
      </c>
      <c r="AC119" s="168" t="s">
        <v>203</v>
      </c>
      <c r="AD119" s="168" t="s">
        <v>204</v>
      </c>
      <c r="AE119" s="168" t="s">
        <v>205</v>
      </c>
      <c r="AF119" s="168" t="s">
        <v>206</v>
      </c>
      <c r="AG119" s="165"/>
      <c r="AH119" s="168" t="s">
        <v>206</v>
      </c>
      <c r="AI119" s="165"/>
      <c r="AJ119" s="168" t="s">
        <v>206</v>
      </c>
      <c r="AK119" s="165"/>
      <c r="AL119" s="168" t="s">
        <v>206</v>
      </c>
    </row>
    <row r="120" spans="1:45" s="41" customFormat="1" ht="3.95" customHeight="1">
      <c r="B120" s="176"/>
      <c r="C120" s="35"/>
      <c r="D120" s="177"/>
      <c r="E120" s="177"/>
      <c r="F120" s="177"/>
      <c r="G120" s="177"/>
      <c r="H120" s="177"/>
      <c r="I120" s="178"/>
      <c r="J120" s="177"/>
      <c r="K120" s="177"/>
      <c r="L120" s="177"/>
      <c r="M120" s="177"/>
      <c r="N120" s="177"/>
      <c r="O120" s="178"/>
      <c r="P120" s="177"/>
      <c r="Q120" s="177"/>
      <c r="R120" s="177"/>
      <c r="S120" s="177"/>
      <c r="T120" s="177"/>
      <c r="U120" s="178"/>
      <c r="V120" s="177"/>
      <c r="W120" s="177"/>
      <c r="X120" s="177"/>
      <c r="Y120" s="177"/>
      <c r="Z120" s="179"/>
      <c r="AA120" s="180"/>
      <c r="AB120" s="179"/>
      <c r="AC120" s="179"/>
      <c r="AD120" s="179"/>
      <c r="AE120" s="179"/>
      <c r="AF120" s="179"/>
      <c r="AG120" s="180"/>
      <c r="AH120" s="179"/>
      <c r="AI120" s="180"/>
      <c r="AJ120" s="179"/>
      <c r="AK120" s="180"/>
      <c r="AL120" s="179"/>
    </row>
    <row r="121" spans="1:45" ht="3.95" customHeight="1">
      <c r="U121" s="205"/>
    </row>
    <row r="122" spans="1:45" ht="14.25" customHeight="1">
      <c r="B122" s="28" t="s">
        <v>374</v>
      </c>
      <c r="D122" s="300">
        <f>D61</f>
        <v>-39880</v>
      </c>
      <c r="E122" s="300">
        <f>E61</f>
        <v>-4033</v>
      </c>
      <c r="F122" s="300">
        <f>F61</f>
        <v>38896</v>
      </c>
      <c r="G122" s="300">
        <f>G61</f>
        <v>143445</v>
      </c>
      <c r="H122" s="311">
        <f>H61</f>
        <v>138428</v>
      </c>
      <c r="J122" s="300">
        <f>J61</f>
        <v>163883</v>
      </c>
      <c r="K122" s="300">
        <f>K61</f>
        <v>259897</v>
      </c>
      <c r="L122" s="300">
        <f>L61</f>
        <v>404537</v>
      </c>
      <c r="M122" s="300">
        <f>M61</f>
        <v>135933</v>
      </c>
      <c r="N122" s="311">
        <f>N61</f>
        <v>964250</v>
      </c>
      <c r="P122" s="300">
        <f>P61</f>
        <v>-6813</v>
      </c>
      <c r="Q122" s="300">
        <f>Q61</f>
        <v>14552</v>
      </c>
      <c r="R122" s="300">
        <f>R61</f>
        <v>152552</v>
      </c>
      <c r="S122" s="300">
        <f>S61</f>
        <v>128655</v>
      </c>
      <c r="T122" s="311">
        <f>T61</f>
        <v>288946</v>
      </c>
      <c r="U122" s="205"/>
      <c r="V122" s="300">
        <f>V61</f>
        <v>185140</v>
      </c>
      <c r="W122" s="300">
        <f>W61</f>
        <v>278409</v>
      </c>
      <c r="X122" s="300">
        <f>X61</f>
        <v>312152.07899999997</v>
      </c>
      <c r="Y122" s="300">
        <f>Y61</f>
        <v>270555.27059999999</v>
      </c>
      <c r="Z122" s="311">
        <f>Z61</f>
        <v>1046256.3495999998</v>
      </c>
      <c r="AB122" s="300">
        <f>AB61</f>
        <v>429202.87540000002</v>
      </c>
      <c r="AC122" s="300">
        <f>AC61</f>
        <v>368810.23999999993</v>
      </c>
      <c r="AD122" s="300">
        <f>AD61</f>
        <v>526771.78379999998</v>
      </c>
      <c r="AE122" s="300">
        <f>AE61</f>
        <v>481732.21059999987</v>
      </c>
      <c r="AF122" s="311">
        <f>AF61</f>
        <v>1806517.1097999997</v>
      </c>
      <c r="AH122" s="311">
        <f>AH61</f>
        <v>902967.05099999974</v>
      </c>
      <c r="AJ122" s="311">
        <f>AJ61</f>
        <v>1527881.4226000002</v>
      </c>
      <c r="AL122" s="311">
        <f>AL61</f>
        <v>2554432.02</v>
      </c>
    </row>
    <row r="123" spans="1:45" ht="14.25" customHeight="1">
      <c r="B123" s="28"/>
      <c r="D123" s="46"/>
      <c r="E123" s="46"/>
      <c r="F123" s="46"/>
      <c r="G123" s="46"/>
      <c r="H123" s="312"/>
      <c r="J123" s="46"/>
      <c r="K123" s="46"/>
      <c r="L123" s="46"/>
      <c r="M123" s="46"/>
      <c r="N123" s="312"/>
      <c r="P123" s="46"/>
      <c r="Q123" s="46"/>
      <c r="R123" s="46"/>
      <c r="S123" s="46"/>
      <c r="T123" s="312"/>
      <c r="U123" s="205"/>
      <c r="V123" s="46"/>
      <c r="W123" s="46"/>
      <c r="X123" s="46"/>
      <c r="Y123" s="46"/>
      <c r="AB123" s="46"/>
      <c r="AC123" s="46"/>
      <c r="AD123" s="46"/>
      <c r="AE123" s="46"/>
      <c r="AS123" s="312"/>
    </row>
    <row r="124" spans="1:45" ht="14.25" customHeight="1">
      <c r="B124" s="28" t="s">
        <v>335</v>
      </c>
      <c r="D124" s="309">
        <f>IS!P45/IS!P42</f>
        <v>0.4660835754321096</v>
      </c>
      <c r="E124" s="309">
        <f>IS!Q45/IS!Q42</f>
        <v>0.72685333333333335</v>
      </c>
      <c r="F124" s="309">
        <f>IS!R45/IS!R42</f>
        <v>0.25685378241112</v>
      </c>
      <c r="G124" s="309">
        <f>IS!S45/IS!S42</f>
        <v>0.24996120991749304</v>
      </c>
      <c r="H124" s="310">
        <f>IS!T45/IS!T42</f>
        <v>0.20198817943395522</v>
      </c>
      <c r="J124" s="309">
        <f>IS!V45/IS!V42</f>
        <v>0.24380519959157287</v>
      </c>
      <c r="K124" s="309">
        <f>IS!W45/IS!W42</f>
        <v>0.24392230944311219</v>
      </c>
      <c r="L124" s="309">
        <f>IS!X45/IS!X42</f>
        <v>0.24057513382237494</v>
      </c>
      <c r="M124" s="309">
        <f>IS!Y45/IS!Y42</f>
        <v>0.24207752200406227</v>
      </c>
      <c r="N124" s="310">
        <f>IS!Z45/IS!Z42</f>
        <v>0.24221427847938776</v>
      </c>
      <c r="P124" s="309">
        <f>IS!AB45/IS!AB42</f>
        <v>0.45825701624815363</v>
      </c>
      <c r="Q124" s="309">
        <f>IS!AC45/IS!AC42</f>
        <v>0.24990105188090567</v>
      </c>
      <c r="R124" s="309">
        <f>IS!AD45/IS!AD42</f>
        <v>0.20950041160732663</v>
      </c>
      <c r="S124" s="309">
        <f>IS!AE45/IS!AE42</f>
        <v>0.26142882942757245</v>
      </c>
      <c r="T124" s="310">
        <f>IS!AF45/IS!AF42</f>
        <v>0.23405923350125571</v>
      </c>
      <c r="U124" s="205"/>
      <c r="V124" s="309">
        <f>IS!AH45/IS!AH42</f>
        <v>0.24463346861361504</v>
      </c>
      <c r="W124" s="309">
        <f>IS!AI45/IS!AI42</f>
        <v>0.2442892547414702</v>
      </c>
      <c r="X124" s="316">
        <v>0.32800000000000001</v>
      </c>
      <c r="Y124" s="316">
        <v>0.27360000000000001</v>
      </c>
      <c r="Z124" s="318">
        <f>AVERAGE(V124:Y124)</f>
        <v>0.27263068083877134</v>
      </c>
      <c r="AB124" s="316">
        <v>0.22700000000000001</v>
      </c>
      <c r="AC124" s="316">
        <v>0.22800000000000001</v>
      </c>
      <c r="AD124" s="316">
        <v>0.32800000000000001</v>
      </c>
      <c r="AE124" s="316">
        <v>0.27400000000000002</v>
      </c>
      <c r="AF124" s="318">
        <f>AVERAGE(AB124:AE124)</f>
        <v>0.26424999999999998</v>
      </c>
      <c r="AH124" s="693">
        <v>0.26400000000000001</v>
      </c>
      <c r="AJ124" s="316">
        <v>0.26400000000000001</v>
      </c>
      <c r="AL124" s="316">
        <v>0.26400000000000001</v>
      </c>
    </row>
    <row r="125" spans="1:45" ht="14.25" customHeight="1">
      <c r="B125" s="28"/>
      <c r="D125" s="46"/>
      <c r="E125" s="46"/>
      <c r="F125" s="46"/>
      <c r="G125" s="46"/>
      <c r="H125" s="312"/>
      <c r="J125" s="46"/>
      <c r="K125" s="46"/>
      <c r="L125" s="46"/>
      <c r="M125" s="46"/>
      <c r="N125" s="312"/>
      <c r="P125" s="46"/>
      <c r="Q125" s="46"/>
      <c r="R125" s="46"/>
      <c r="S125" s="46"/>
      <c r="T125" s="312"/>
      <c r="U125" s="205"/>
      <c r="V125" s="46"/>
      <c r="W125" s="46"/>
      <c r="X125" s="46"/>
      <c r="Y125" s="46"/>
      <c r="AB125" s="46"/>
      <c r="AC125" s="46"/>
      <c r="AD125" s="46"/>
      <c r="AE125" s="46"/>
    </row>
    <row r="126" spans="1:45" ht="14.25" customHeight="1">
      <c r="B126" s="28" t="s">
        <v>434</v>
      </c>
      <c r="D126" s="46">
        <f>D122*(1-D124)</f>
        <v>-21292.587011767471</v>
      </c>
      <c r="E126" s="46">
        <f t="shared" ref="E126:H126" si="110">E122*(1-E124)</f>
        <v>-1101.6005066666667</v>
      </c>
      <c r="F126" s="46">
        <f t="shared" si="110"/>
        <v>28905.415279337078</v>
      </c>
      <c r="G126" s="46">
        <f t="shared" si="110"/>
        <v>107589.3142433852</v>
      </c>
      <c r="H126" s="313">
        <f t="shared" si="110"/>
        <v>110467.18029731644</v>
      </c>
      <c r="J126" s="46">
        <f>J122*(1-J124)</f>
        <v>123927.47247533426</v>
      </c>
      <c r="K126" s="46">
        <f t="shared" ref="K126:N126" si="111">K122*(1-K124)</f>
        <v>196502.32354266348</v>
      </c>
      <c r="L126" s="46">
        <f t="shared" si="111"/>
        <v>307215.45708889794</v>
      </c>
      <c r="M126" s="46">
        <f t="shared" si="111"/>
        <v>103026.6762014218</v>
      </c>
      <c r="N126" s="313">
        <f t="shared" si="111"/>
        <v>730694.88197625044</v>
      </c>
      <c r="P126" s="46">
        <f>P122*(1-P124)</f>
        <v>-3690.8949483013294</v>
      </c>
      <c r="Q126" s="46">
        <f t="shared" ref="Q126:T126" si="112">Q122*(1-Q124)</f>
        <v>10915.439893029059</v>
      </c>
      <c r="R126" s="46">
        <f t="shared" si="112"/>
        <v>120592.2932084791</v>
      </c>
      <c r="S126" s="46">
        <f t="shared" si="112"/>
        <v>95020.873949995672</v>
      </c>
      <c r="T126" s="313">
        <f t="shared" si="112"/>
        <v>221315.52071674616</v>
      </c>
      <c r="U126" s="205"/>
      <c r="V126" s="46">
        <f>V122*(1-V124)</f>
        <v>139848.55962087531</v>
      </c>
      <c r="W126" s="46">
        <f t="shared" ref="W126" si="113">W122*(1-W124)</f>
        <v>210396.67287668202</v>
      </c>
      <c r="X126" s="46">
        <f>X122*(1-X124)</f>
        <v>209766.19708799996</v>
      </c>
      <c r="Y126" s="46">
        <f>Y122*(1-Y124)</f>
        <v>196531.34856383997</v>
      </c>
      <c r="Z126" s="313">
        <f>SUM(V126:Y126)</f>
        <v>756542.77814939711</v>
      </c>
      <c r="AB126" s="46">
        <f t="shared" ref="AB126:AE126" si="114">AB122*(1-AB124)</f>
        <v>331773.82268420001</v>
      </c>
      <c r="AC126" s="46">
        <f t="shared" si="114"/>
        <v>284721.50527999998</v>
      </c>
      <c r="AD126" s="46">
        <f t="shared" si="114"/>
        <v>353990.63871359994</v>
      </c>
      <c r="AE126" s="46">
        <f t="shared" si="114"/>
        <v>349737.58489559992</v>
      </c>
      <c r="AF126" s="313">
        <f>SUM(AB126:AE126)</f>
        <v>1320223.5515733997</v>
      </c>
      <c r="AH126" s="313">
        <f>AH122*(1-AH124)</f>
        <v>664583.74953599984</v>
      </c>
      <c r="AJ126" s="313">
        <f>AJ122*(1-AJ124)</f>
        <v>1124520.7270336002</v>
      </c>
      <c r="AL126" s="313">
        <f>AL122*(1-AL124)</f>
        <v>1880061.9667199999</v>
      </c>
    </row>
    <row r="127" spans="1:45" ht="14.25" customHeight="1">
      <c r="D127" s="46"/>
      <c r="E127" s="46"/>
      <c r="F127" s="46"/>
      <c r="G127" s="46"/>
      <c r="H127" s="312"/>
      <c r="J127" s="46"/>
      <c r="K127" s="46"/>
      <c r="L127" s="46"/>
      <c r="M127" s="46"/>
      <c r="N127" s="312"/>
      <c r="P127" s="46"/>
      <c r="Q127" s="46"/>
      <c r="R127" s="46"/>
      <c r="S127" s="46"/>
      <c r="T127" s="312"/>
      <c r="U127" s="205"/>
      <c r="V127" s="46"/>
      <c r="W127" s="46"/>
      <c r="X127" s="46"/>
      <c r="Y127" s="46"/>
      <c r="AB127" s="46"/>
      <c r="AC127" s="46"/>
      <c r="AD127" s="46"/>
      <c r="AE127" s="46"/>
    </row>
    <row r="128" spans="1:45" ht="14.25" customHeight="1">
      <c r="B128" s="28" t="s">
        <v>367</v>
      </c>
      <c r="D128" s="300">
        <f>D94</f>
        <v>17389</v>
      </c>
      <c r="E128" s="300">
        <f>E94</f>
        <v>16580</v>
      </c>
      <c r="F128" s="300">
        <f>F94</f>
        <v>17027</v>
      </c>
      <c r="G128" s="300">
        <f>G94</f>
        <v>17399</v>
      </c>
      <c r="H128" s="311">
        <f>H94</f>
        <v>68395</v>
      </c>
      <c r="J128" s="300">
        <f>J94</f>
        <v>17312</v>
      </c>
      <c r="K128" s="300">
        <f>K94</f>
        <v>17417</v>
      </c>
      <c r="L128" s="300">
        <f>L94</f>
        <v>18469</v>
      </c>
      <c r="M128" s="300">
        <f>M94</f>
        <v>19036</v>
      </c>
      <c r="N128" s="311">
        <f>N94</f>
        <v>72234</v>
      </c>
      <c r="P128" s="300">
        <f>P94</f>
        <v>19340</v>
      </c>
      <c r="Q128" s="300">
        <f>Q94</f>
        <v>20054</v>
      </c>
      <c r="R128" s="300">
        <f>R94</f>
        <v>19757</v>
      </c>
      <c r="S128" s="300">
        <f>S94</f>
        <v>21090</v>
      </c>
      <c r="T128" s="311">
        <f>T94</f>
        <v>80241</v>
      </c>
      <c r="U128" s="205"/>
      <c r="V128" s="300">
        <f>V94</f>
        <v>22048</v>
      </c>
      <c r="W128" s="300">
        <f>W94</f>
        <v>23770</v>
      </c>
      <c r="X128" s="300">
        <f>X94</f>
        <v>0</v>
      </c>
      <c r="Y128" s="300">
        <f>Y94</f>
        <v>0</v>
      </c>
      <c r="Z128" s="311">
        <f>Z94</f>
        <v>45818</v>
      </c>
      <c r="AB128" s="300">
        <f>AB94</f>
        <v>0</v>
      </c>
      <c r="AC128" s="300">
        <f>AC94</f>
        <v>0</v>
      </c>
      <c r="AD128" s="300">
        <f>AD94</f>
        <v>0</v>
      </c>
      <c r="AE128" s="300">
        <f>AE94</f>
        <v>0</v>
      </c>
      <c r="AF128" s="311">
        <f>AF94</f>
        <v>0</v>
      </c>
      <c r="AH128" s="311">
        <f>AH94</f>
        <v>0</v>
      </c>
      <c r="AJ128" s="311">
        <f>AJ94</f>
        <v>0</v>
      </c>
      <c r="AL128" s="311">
        <f>AL94</f>
        <v>0</v>
      </c>
    </row>
    <row r="129" spans="1:38" ht="14.25" customHeight="1">
      <c r="D129" s="46"/>
      <c r="E129" s="46"/>
      <c r="F129" s="46"/>
      <c r="G129" s="46"/>
      <c r="H129" s="312"/>
      <c r="J129" s="46"/>
      <c r="K129" s="46"/>
      <c r="L129" s="46"/>
      <c r="M129" s="46"/>
      <c r="N129" s="312"/>
      <c r="P129" s="46"/>
      <c r="Q129" s="46"/>
      <c r="R129" s="46"/>
      <c r="S129" s="46"/>
      <c r="T129" s="312"/>
      <c r="U129" s="205"/>
      <c r="V129" s="46"/>
      <c r="W129" s="46"/>
      <c r="X129" s="46"/>
      <c r="Y129" s="46"/>
      <c r="AB129" s="46"/>
      <c r="AC129" s="46"/>
      <c r="AD129" s="46"/>
      <c r="AE129" s="46"/>
    </row>
    <row r="130" spans="1:38" ht="14.25" customHeight="1">
      <c r="B130" s="28" t="s">
        <v>435</v>
      </c>
      <c r="D130" s="300">
        <f>D97</f>
        <v>0</v>
      </c>
      <c r="E130" s="300">
        <f>E97</f>
        <v>0</v>
      </c>
      <c r="F130" s="300">
        <f>F97</f>
        <v>0</v>
      </c>
      <c r="G130" s="300">
        <f>G97</f>
        <v>0</v>
      </c>
      <c r="H130" s="311">
        <f>H97</f>
        <v>4063</v>
      </c>
      <c r="J130" s="300">
        <f>J97</f>
        <v>0</v>
      </c>
      <c r="K130" s="300">
        <f>K97</f>
        <v>0</v>
      </c>
      <c r="L130" s="300">
        <f>L97</f>
        <v>0</v>
      </c>
      <c r="M130" s="300">
        <f>M97</f>
        <v>0</v>
      </c>
      <c r="N130" s="311">
        <f>N97</f>
        <v>4205</v>
      </c>
      <c r="P130" s="300">
        <f>P97</f>
        <v>0</v>
      </c>
      <c r="Q130" s="300">
        <f>Q97</f>
        <v>0</v>
      </c>
      <c r="R130" s="300">
        <f>R97</f>
        <v>0</v>
      </c>
      <c r="S130" s="300">
        <f>S97</f>
        <v>0</v>
      </c>
      <c r="T130" s="311">
        <f>T97</f>
        <v>4358</v>
      </c>
      <c r="U130" s="205"/>
      <c r="V130" s="300">
        <f>V97</f>
        <v>0</v>
      </c>
      <c r="W130" s="300">
        <f>W97</f>
        <v>0</v>
      </c>
      <c r="X130" s="300">
        <f>X97</f>
        <v>361.27012672500007</v>
      </c>
      <c r="Y130" s="300">
        <f>Y97</f>
        <v>410.46530000000001</v>
      </c>
      <c r="Z130" s="311">
        <f>Z97</f>
        <v>771.73542672500002</v>
      </c>
      <c r="AB130" s="300">
        <f>AB97</f>
        <v>410.74533200000002</v>
      </c>
      <c r="AC130" s="300">
        <f>AC97</f>
        <v>500.19888800000007</v>
      </c>
      <c r="AD130" s="300">
        <f>AD97</f>
        <v>467.53191360000005</v>
      </c>
      <c r="AE130" s="300">
        <f>AE97</f>
        <v>579.77763479999999</v>
      </c>
      <c r="AF130" s="311">
        <f>AF97</f>
        <v>1958.2537684000001</v>
      </c>
      <c r="AH130" s="311">
        <f>AH97</f>
        <v>798.00814800000001</v>
      </c>
      <c r="AJ130" s="311">
        <f>AJ97</f>
        <v>1115.5831647999998</v>
      </c>
      <c r="AL130" s="311">
        <f>AL97</f>
        <v>1549.6887588000002</v>
      </c>
    </row>
    <row r="131" spans="1:38" ht="14.25" customHeight="1">
      <c r="D131" s="46"/>
      <c r="E131" s="46"/>
      <c r="F131" s="46"/>
      <c r="G131" s="46"/>
      <c r="H131" s="312"/>
      <c r="J131" s="46"/>
      <c r="K131" s="46"/>
      <c r="L131" s="46"/>
      <c r="M131" s="46"/>
      <c r="N131" s="312"/>
      <c r="P131" s="46"/>
      <c r="Q131" s="46"/>
      <c r="R131" s="46"/>
      <c r="S131" s="46"/>
      <c r="T131" s="312"/>
      <c r="U131" s="205"/>
      <c r="V131" s="46"/>
      <c r="W131" s="46"/>
      <c r="X131" s="46"/>
      <c r="Y131" s="46"/>
      <c r="AB131" s="46"/>
      <c r="AC131" s="46"/>
      <c r="AD131" s="46"/>
      <c r="AE131" s="46"/>
    </row>
    <row r="132" spans="1:38" ht="14.25" customHeight="1">
      <c r="B132" s="28" t="s">
        <v>424</v>
      </c>
      <c r="D132" s="300">
        <f>D103</f>
        <v>0</v>
      </c>
      <c r="E132" s="300">
        <f>E103</f>
        <v>0</v>
      </c>
      <c r="F132" s="300">
        <f>F103</f>
        <v>0</v>
      </c>
      <c r="G132" s="300">
        <f>G103</f>
        <v>0</v>
      </c>
      <c r="H132" s="311">
        <f>H103</f>
        <v>-79092</v>
      </c>
      <c r="J132" s="300">
        <f>J103</f>
        <v>0</v>
      </c>
      <c r="K132" s="300">
        <f>K103</f>
        <v>0</v>
      </c>
      <c r="L132" s="300">
        <f>L103</f>
        <v>0</v>
      </c>
      <c r="M132" s="300">
        <f>M103</f>
        <v>0</v>
      </c>
      <c r="N132" s="311">
        <f>N103</f>
        <v>6863</v>
      </c>
      <c r="P132" s="300">
        <f>P103</f>
        <v>0</v>
      </c>
      <c r="Q132" s="300">
        <f>Q103</f>
        <v>0</v>
      </c>
      <c r="R132" s="300">
        <f>R103</f>
        <v>0</v>
      </c>
      <c r="S132" s="300">
        <f>S103</f>
        <v>102100</v>
      </c>
      <c r="T132" s="311">
        <f>T103</f>
        <v>102150</v>
      </c>
      <c r="U132" s="205"/>
      <c r="V132" s="300">
        <f>V103</f>
        <v>0</v>
      </c>
      <c r="W132" s="300">
        <f>W103</f>
        <v>0</v>
      </c>
      <c r="X132" s="300">
        <f>X103</f>
        <v>92349.201044565241</v>
      </c>
      <c r="Y132" s="300">
        <f>Y103</f>
        <v>-85260.902792391367</v>
      </c>
      <c r="Z132" s="311">
        <f>Z103</f>
        <v>7088.2982521738741</v>
      </c>
      <c r="AB132" s="300">
        <f>AB103</f>
        <v>29815.885296908091</v>
      </c>
      <c r="AC132" s="300">
        <f>AC103</f>
        <v>-96182.914966664452</v>
      </c>
      <c r="AD132" s="300">
        <f>AD103</f>
        <v>121907.56856323476</v>
      </c>
      <c r="AE132" s="300">
        <f>AE103</f>
        <v>-131607.07942717394</v>
      </c>
      <c r="AF132" s="311">
        <f>AF103</f>
        <v>-76066.540533695545</v>
      </c>
      <c r="AH132" s="311">
        <f>AH103</f>
        <v>235412.08922398742</v>
      </c>
      <c r="AJ132" s="311">
        <f>AJ103</f>
        <v>-28903.415410771791</v>
      </c>
      <c r="AL132" s="311">
        <f>AL103</f>
        <v>-12737.318680461089</v>
      </c>
    </row>
    <row r="133" spans="1:38" ht="14.25" customHeight="1">
      <c r="D133" s="46"/>
      <c r="E133" s="46"/>
      <c r="F133" s="46"/>
      <c r="G133" s="46"/>
      <c r="H133" s="312"/>
      <c r="J133" s="46"/>
      <c r="K133" s="46"/>
      <c r="L133" s="46"/>
      <c r="M133" s="46"/>
      <c r="N133" s="312"/>
      <c r="P133" s="46"/>
      <c r="Q133" s="46"/>
      <c r="R133" s="46"/>
      <c r="S133" s="46"/>
      <c r="T133" s="312"/>
      <c r="U133" s="205"/>
      <c r="V133" s="46"/>
      <c r="W133" s="46"/>
      <c r="X133" s="46"/>
      <c r="Y133" s="46"/>
      <c r="AB133" s="46"/>
      <c r="AC133" s="46"/>
      <c r="AD133" s="46"/>
      <c r="AE133" s="46"/>
    </row>
    <row r="134" spans="1:38" ht="14.25" customHeight="1">
      <c r="B134" s="28" t="s">
        <v>436</v>
      </c>
      <c r="D134" s="46">
        <f>D106+D109</f>
        <v>-10062</v>
      </c>
      <c r="E134" s="46">
        <f>E106+E109</f>
        <v>-13247</v>
      </c>
      <c r="F134" s="46">
        <f>F106+F109</f>
        <v>-19820</v>
      </c>
      <c r="G134" s="46">
        <f>G106+G109</f>
        <v>-20929</v>
      </c>
      <c r="H134" s="66">
        <f>H106+H109</f>
        <v>-64058</v>
      </c>
      <c r="J134" s="46">
        <f>J106+J109</f>
        <v>-27584</v>
      </c>
      <c r="K134" s="46">
        <f>K106+K109</f>
        <v>-32033</v>
      </c>
      <c r="L134" s="46">
        <f>L106+L109</f>
        <v>-26433</v>
      </c>
      <c r="M134" s="46">
        <f>M106+M109</f>
        <v>-49939</v>
      </c>
      <c r="N134" s="66">
        <f>N106+N109</f>
        <v>-135989</v>
      </c>
      <c r="P134" s="46">
        <f>P106+P109</f>
        <v>-26592</v>
      </c>
      <c r="Q134" s="46">
        <f>Q106+Q109</f>
        <v>-39032</v>
      </c>
      <c r="R134" s="46">
        <f>R106+R109</f>
        <v>-30102</v>
      </c>
      <c r="S134" s="46">
        <f>S106+S109</f>
        <v>-51118</v>
      </c>
      <c r="T134" s="66">
        <f>T106+T109</f>
        <v>-146844</v>
      </c>
      <c r="U134" s="205"/>
      <c r="V134" s="46">
        <f>V106+V109</f>
        <v>-31827</v>
      </c>
      <c r="W134" s="46">
        <f>W106+W109</f>
        <v>-29757</v>
      </c>
      <c r="X134" s="46">
        <f>X106+X109</f>
        <v>-71518.901798400009</v>
      </c>
      <c r="Y134" s="46">
        <f>Y106+Y109</f>
        <v>-73713.082528260013</v>
      </c>
      <c r="Z134" s="66">
        <f>Z106+Z109</f>
        <v>-206815.98432665999</v>
      </c>
      <c r="AB134" s="46">
        <f>AB106+AB109</f>
        <v>-78925.755405400007</v>
      </c>
      <c r="AC134" s="46">
        <f>AC106+AC109</f>
        <v>-84653.187267000001</v>
      </c>
      <c r="AD134" s="46">
        <f>AD106+AD109</f>
        <v>-111619.8911718</v>
      </c>
      <c r="AE134" s="46">
        <f>AE106+AE109</f>
        <v>-118574.79100000001</v>
      </c>
      <c r="AF134" s="66">
        <f>AF106+AF109</f>
        <v>-393773.62484420009</v>
      </c>
      <c r="AH134" s="66">
        <f>AH106+AH109</f>
        <v>-180494.32685899999</v>
      </c>
      <c r="AJ134" s="66">
        <f>AJ106+AJ109</f>
        <v>-291341.31436800002</v>
      </c>
      <c r="AL134" s="66">
        <f>AL106+AL109</f>
        <v>-462692.78655600001</v>
      </c>
    </row>
    <row r="135" spans="1:38" ht="14.25" customHeight="1">
      <c r="D135" s="314"/>
      <c r="E135" s="314"/>
      <c r="F135" s="314"/>
      <c r="G135" s="314"/>
      <c r="H135" s="312"/>
      <c r="J135" s="314"/>
      <c r="K135" s="314"/>
      <c r="L135" s="314"/>
      <c r="M135" s="314"/>
      <c r="N135" s="312"/>
      <c r="P135" s="314"/>
      <c r="Q135" s="314"/>
      <c r="R135" s="314"/>
      <c r="S135" s="314"/>
      <c r="T135" s="312"/>
      <c r="U135" s="339"/>
      <c r="V135" s="314"/>
      <c r="W135" s="314"/>
      <c r="X135" s="290"/>
      <c r="Y135" s="290"/>
      <c r="AB135" s="290"/>
      <c r="AC135" s="290"/>
      <c r="AD135" s="290"/>
      <c r="AE135" s="290"/>
    </row>
    <row r="136" spans="1:38" ht="14.25" customHeight="1">
      <c r="B136" s="292" t="s">
        <v>437</v>
      </c>
      <c r="C136" s="293"/>
      <c r="D136" s="315">
        <f>D126+D94+D97+D103+D134</f>
        <v>-13965.587011767471</v>
      </c>
      <c r="E136" s="315">
        <f>E126+E94+E97+E103+E134</f>
        <v>2231.3994933333342</v>
      </c>
      <c r="F136" s="315">
        <f>F126+F94+F97+F103+F134</f>
        <v>26112.415279337074</v>
      </c>
      <c r="G136" s="315">
        <f>G126+G94+G97+G103+G134</f>
        <v>104059.3142433852</v>
      </c>
      <c r="H136" s="315">
        <f>H126+H94+H97+H103+H134</f>
        <v>39775.180297316459</v>
      </c>
      <c r="I136" s="293"/>
      <c r="J136" s="315">
        <f>J126+J94+J97+J103+J134</f>
        <v>113655.47247533425</v>
      </c>
      <c r="K136" s="315">
        <f>K126+K94+K97+K103+K134</f>
        <v>181886.32354266348</v>
      </c>
      <c r="L136" s="315">
        <f>L126+L94+L97+L103+L134</f>
        <v>299251.45708889794</v>
      </c>
      <c r="M136" s="315">
        <f>M126+M94+M97+M103+M134</f>
        <v>72123.676201421797</v>
      </c>
      <c r="N136" s="315">
        <f>N126+N94+N97+N103+N134</f>
        <v>678007.88197625044</v>
      </c>
      <c r="O136" s="293"/>
      <c r="P136" s="315">
        <f>P126+P94+P97+P103+P134</f>
        <v>-10942.894948301329</v>
      </c>
      <c r="Q136" s="315">
        <f>Q126+Q94+Q97+Q103+Q134</f>
        <v>-8062.560106970941</v>
      </c>
      <c r="R136" s="315">
        <f>R126+R94+R97+R103+R134</f>
        <v>110247.2932084791</v>
      </c>
      <c r="S136" s="315">
        <f>S126+S94+S97+S103+S134</f>
        <v>167092.87394999567</v>
      </c>
      <c r="T136" s="315">
        <f>T126+T94+T97+T103+T134</f>
        <v>261220.52071674616</v>
      </c>
      <c r="U136" s="293"/>
      <c r="V136" s="315">
        <f>V126+V94+V97+V103+V134</f>
        <v>130069.55962087531</v>
      </c>
      <c r="W136" s="315">
        <f>W126+W94+W97+W103+W134</f>
        <v>204409.67287668202</v>
      </c>
      <c r="X136" s="315">
        <f t="shared" ref="X136:AH136" si="115">X126+X128+X130+X132+X134</f>
        <v>230957.76646089015</v>
      </c>
      <c r="Y136" s="315">
        <f t="shared" si="115"/>
        <v>37967.828543188603</v>
      </c>
      <c r="Z136" s="315">
        <f t="shared" si="115"/>
        <v>603404.827501636</v>
      </c>
      <c r="AA136" s="315"/>
      <c r="AB136" s="315">
        <f t="shared" si="115"/>
        <v>283074.69790770812</v>
      </c>
      <c r="AC136" s="315">
        <f t="shared" si="115"/>
        <v>104385.60193433551</v>
      </c>
      <c r="AD136" s="315">
        <f t="shared" si="115"/>
        <v>364745.84801863472</v>
      </c>
      <c r="AE136" s="315">
        <f t="shared" si="115"/>
        <v>100135.49210322597</v>
      </c>
      <c r="AF136" s="315">
        <f t="shared" si="115"/>
        <v>852341.63996390405</v>
      </c>
      <c r="AG136" s="315"/>
      <c r="AH136" s="315">
        <f t="shared" si="115"/>
        <v>720299.52004898724</v>
      </c>
      <c r="AI136" s="315"/>
      <c r="AJ136" s="315">
        <f t="shared" ref="AJ136" si="116">AJ126+AJ128+AJ130+AJ132+AJ134</f>
        <v>805391.58041962842</v>
      </c>
      <c r="AK136" s="315"/>
      <c r="AL136" s="315">
        <f t="shared" ref="AL136" si="117">AL126+AL128+AL130+AL132+AL134</f>
        <v>1406181.5502423388</v>
      </c>
    </row>
    <row r="138" spans="1:38" s="41" customFormat="1" ht="15" customHeight="1">
      <c r="A138" s="30" t="s">
        <v>33</v>
      </c>
      <c r="B138" s="161" t="s">
        <v>438</v>
      </c>
      <c r="C138" s="18"/>
      <c r="D138" s="162"/>
      <c r="E138" s="162"/>
      <c r="F138" s="162"/>
      <c r="G138" s="162"/>
      <c r="H138" s="162"/>
      <c r="I138" s="18"/>
      <c r="J138" s="162"/>
      <c r="K138" s="162"/>
      <c r="L138" s="162"/>
      <c r="M138" s="162"/>
      <c r="N138" s="162"/>
      <c r="O138" s="18"/>
      <c r="P138" s="162"/>
      <c r="Q138" s="162"/>
      <c r="R138" s="162"/>
      <c r="S138" s="162"/>
      <c r="T138" s="162"/>
      <c r="U138" s="18"/>
      <c r="V138" s="162"/>
      <c r="W138" s="162"/>
      <c r="X138" s="162"/>
      <c r="Y138" s="162"/>
      <c r="Z138" s="162"/>
      <c r="AA138" s="18"/>
      <c r="AB138" s="162"/>
      <c r="AC138" s="162"/>
      <c r="AD138" s="162"/>
      <c r="AE138" s="162"/>
      <c r="AF138" s="162"/>
      <c r="AG138" s="18"/>
      <c r="AH138" s="162"/>
      <c r="AI138" s="18"/>
      <c r="AJ138" s="163"/>
      <c r="AK138" s="18"/>
      <c r="AL138" s="163"/>
    </row>
    <row r="139" spans="1:38" s="41" customFormat="1" ht="15" customHeight="1">
      <c r="B139" s="164"/>
      <c r="C139" s="18"/>
      <c r="D139" s="165"/>
      <c r="E139" s="165"/>
      <c r="F139" s="165"/>
      <c r="G139" s="165"/>
      <c r="H139" s="165"/>
      <c r="I139" s="169"/>
      <c r="J139" s="165"/>
      <c r="K139" s="165"/>
      <c r="L139" s="165"/>
      <c r="M139" s="165"/>
      <c r="N139" s="165"/>
      <c r="O139" s="169"/>
      <c r="P139" s="165"/>
      <c r="Q139" s="165"/>
      <c r="R139" s="165"/>
      <c r="S139" s="165"/>
      <c r="T139" s="165"/>
      <c r="U139" s="169"/>
      <c r="V139" s="742">
        <f>V$8</f>
        <v>2025</v>
      </c>
      <c r="W139" s="742">
        <f>X139</f>
        <v>0</v>
      </c>
      <c r="X139" s="742">
        <f>X$8</f>
        <v>0</v>
      </c>
      <c r="Y139" s="742">
        <f>X139</f>
        <v>0</v>
      </c>
      <c r="Z139" s="742">
        <f>X139</f>
        <v>0</v>
      </c>
      <c r="AA139" s="169"/>
      <c r="AB139" s="742">
        <f>AB$8</f>
        <v>2026</v>
      </c>
      <c r="AC139" s="742">
        <f>AD139</f>
        <v>0</v>
      </c>
      <c r="AD139" s="742">
        <f>AD$8</f>
        <v>0</v>
      </c>
      <c r="AE139" s="742">
        <f>AD139</f>
        <v>0</v>
      </c>
      <c r="AF139" s="742">
        <f>AD139</f>
        <v>0</v>
      </c>
      <c r="AG139" s="171"/>
      <c r="AH139" s="166">
        <f>AH$8</f>
        <v>2027</v>
      </c>
      <c r="AI139" s="167"/>
      <c r="AJ139" s="166">
        <f>AJ$8</f>
        <v>2028</v>
      </c>
      <c r="AK139" s="167"/>
      <c r="AL139" s="166">
        <f>AL$8</f>
        <v>2029</v>
      </c>
    </row>
    <row r="140" spans="1:38" s="41" customFormat="1" ht="14.25" customHeight="1">
      <c r="B140" s="164"/>
      <c r="C140" s="18"/>
      <c r="D140" s="168"/>
      <c r="E140" s="168"/>
      <c r="F140" s="168"/>
      <c r="G140" s="168"/>
      <c r="H140" s="168"/>
      <c r="I140" s="165"/>
      <c r="J140" s="168"/>
      <c r="K140" s="168"/>
      <c r="L140" s="168"/>
      <c r="M140" s="168"/>
      <c r="N140" s="168"/>
      <c r="O140" s="165"/>
      <c r="P140" s="168"/>
      <c r="Q140" s="168"/>
      <c r="R140" s="168"/>
      <c r="S140" s="168"/>
      <c r="T140" s="168"/>
      <c r="U140" s="165"/>
      <c r="V140" s="168" t="s">
        <v>202</v>
      </c>
      <c r="W140" s="168" t="s">
        <v>203</v>
      </c>
      <c r="X140" s="168" t="s">
        <v>204</v>
      </c>
      <c r="Y140" s="168" t="s">
        <v>205</v>
      </c>
      <c r="Z140" s="168" t="s">
        <v>206</v>
      </c>
      <c r="AA140" s="165"/>
      <c r="AB140" s="168" t="s">
        <v>202</v>
      </c>
      <c r="AC140" s="168" t="s">
        <v>203</v>
      </c>
      <c r="AD140" s="168" t="s">
        <v>204</v>
      </c>
      <c r="AE140" s="168" t="s">
        <v>205</v>
      </c>
      <c r="AF140" s="168" t="s">
        <v>206</v>
      </c>
      <c r="AG140" s="165"/>
      <c r="AH140" s="168" t="s">
        <v>206</v>
      </c>
      <c r="AI140" s="165"/>
      <c r="AJ140" s="168" t="s">
        <v>206</v>
      </c>
      <c r="AK140" s="165"/>
      <c r="AL140" s="168" t="s">
        <v>206</v>
      </c>
    </row>
    <row r="141" spans="1:38" s="41" customFormat="1" ht="3.95" customHeight="1">
      <c r="A141" s="43"/>
      <c r="B141" s="176"/>
      <c r="C141" s="35"/>
      <c r="D141" s="177"/>
      <c r="E141" s="177"/>
      <c r="F141" s="177"/>
      <c r="G141" s="177"/>
      <c r="H141" s="177"/>
      <c r="I141" s="178"/>
      <c r="J141" s="177"/>
      <c r="K141" s="177"/>
      <c r="L141" s="177"/>
      <c r="M141" s="177"/>
      <c r="N141" s="177"/>
      <c r="O141" s="178"/>
      <c r="P141" s="177"/>
      <c r="Q141" s="177"/>
      <c r="R141" s="177"/>
      <c r="S141" s="177"/>
      <c r="T141" s="177"/>
      <c r="U141" s="178"/>
      <c r="V141" s="177"/>
      <c r="W141" s="177"/>
      <c r="X141" s="177"/>
      <c r="Y141" s="177"/>
      <c r="Z141" s="179"/>
      <c r="AA141" s="180"/>
      <c r="AB141" s="179"/>
      <c r="AC141" s="179"/>
      <c r="AD141" s="179"/>
      <c r="AE141" s="179"/>
      <c r="AF141" s="179"/>
      <c r="AG141" s="180"/>
      <c r="AH141" s="179"/>
      <c r="AI141" s="180"/>
      <c r="AJ141" s="179"/>
      <c r="AK141" s="180"/>
      <c r="AL141" s="179"/>
    </row>
    <row r="142" spans="1:38" ht="3.95" customHeight="1"/>
    <row r="143" spans="1:38" ht="14.25" customHeight="1">
      <c r="B143" s="161" t="s">
        <v>439</v>
      </c>
      <c r="C143" s="186"/>
      <c r="D143" s="286"/>
      <c r="E143" s="286"/>
      <c r="F143" s="286"/>
      <c r="G143" s="286"/>
      <c r="H143" s="286"/>
      <c r="I143" s="186"/>
      <c r="J143" s="286"/>
      <c r="K143" s="286"/>
      <c r="L143" s="286"/>
      <c r="M143" s="286"/>
      <c r="N143" s="286"/>
      <c r="O143" s="186"/>
      <c r="P143" s="286"/>
      <c r="Q143" s="286"/>
      <c r="R143" s="286"/>
      <c r="S143" s="286"/>
      <c r="T143" s="286"/>
      <c r="U143" s="186"/>
      <c r="V143" s="286"/>
      <c r="W143" s="286"/>
      <c r="X143" s="286"/>
      <c r="Y143" s="286"/>
      <c r="Z143" s="286"/>
      <c r="AA143" s="186"/>
      <c r="AB143" s="286"/>
      <c r="AC143" s="286"/>
      <c r="AD143" s="286"/>
      <c r="AE143" s="286"/>
      <c r="AF143" s="286"/>
      <c r="AG143" s="186"/>
      <c r="AH143" s="286"/>
      <c r="AI143" s="186"/>
      <c r="AJ143" s="287"/>
      <c r="AK143" s="286"/>
      <c r="AL143" s="286"/>
    </row>
    <row r="144" spans="1:38" ht="3.95" customHeight="1">
      <c r="B144" s="288"/>
      <c r="C144" s="36"/>
      <c r="D144" s="288"/>
      <c r="E144" s="288"/>
      <c r="F144" s="288"/>
      <c r="G144" s="288"/>
      <c r="H144" s="288"/>
      <c r="I144" s="36"/>
      <c r="J144" s="288"/>
      <c r="K144" s="288"/>
      <c r="L144" s="288"/>
      <c r="M144" s="288"/>
      <c r="N144" s="288"/>
      <c r="O144" s="36"/>
      <c r="P144" s="288"/>
      <c r="Q144" s="288"/>
      <c r="R144" s="288"/>
      <c r="S144" s="288"/>
      <c r="T144" s="288"/>
      <c r="U144" s="36"/>
      <c r="V144" s="288"/>
      <c r="W144" s="288"/>
      <c r="X144" s="288"/>
      <c r="Y144" s="288"/>
      <c r="Z144" s="288"/>
      <c r="AA144" s="36"/>
      <c r="AB144" s="288"/>
      <c r="AC144" s="288"/>
      <c r="AD144" s="288"/>
      <c r="AE144" s="288"/>
      <c r="AF144" s="288"/>
      <c r="AG144" s="36"/>
      <c r="AH144" s="288"/>
      <c r="AI144" s="36"/>
      <c r="AJ144" s="289"/>
      <c r="AK144" s="288"/>
      <c r="AL144" s="288"/>
    </row>
    <row r="146" spans="2:38" ht="14.25" customHeight="1">
      <c r="B146" s="97" t="s">
        <v>440</v>
      </c>
      <c r="V146" s="297"/>
      <c r="W146" s="297"/>
      <c r="X146" s="297">
        <f ca="1">YEARFRAC(TODAY(),Inputs!$D$18+92)</f>
        <v>0.125</v>
      </c>
      <c r="Y146" s="297">
        <f ca="1">YEARFRAC(TODAY(),Inputs!$D$18+184)</f>
        <v>0.125</v>
      </c>
      <c r="Z146" s="297"/>
      <c r="AB146" s="297">
        <f ca="1">YEARFRAC(TODAY(),Inputs!$D$17+365+90)</f>
        <v>0.80555555555555558</v>
      </c>
      <c r="AC146" s="297">
        <f ca="1">YEARFRAC(TODAY(),Inputs!$D$17+365+90+91)</f>
        <v>1.0527777777777778</v>
      </c>
      <c r="AD146" s="297">
        <f ca="1">YEARFRAC(TODAY(),Inputs!$D$17+365+90+91+92)</f>
        <v>1.3027777777777778</v>
      </c>
      <c r="AE146" s="297">
        <f ca="1">YEARFRAC(TODAY(),Inputs!$D$17+720)</f>
        <v>1.5305555555555554</v>
      </c>
      <c r="AF146" s="297"/>
      <c r="AH146" s="297">
        <f ca="1">YEARFRAC(TODAY(),Inputs!$D$17+730+365)</f>
        <v>2.5555555555555554</v>
      </c>
      <c r="AJ146" s="297">
        <f ca="1">YEARFRAC(TODAY(),Inputs!$D$17+730+731)</f>
        <v>3.5583333333333331</v>
      </c>
      <c r="AL146" s="297">
        <f ca="1">YEARFRAC(TODAY(),Inputs!$D$17+730+731+365)</f>
        <v>4.5583333333333336</v>
      </c>
    </row>
    <row r="147" spans="2:38" ht="14.25" customHeight="1">
      <c r="B147" s="97" t="s">
        <v>441</v>
      </c>
      <c r="X147" s="297">
        <f ca="1">X146/2</f>
        <v>6.25E-2</v>
      </c>
      <c r="Y147" s="297">
        <f ca="1">X146+(Y146-X146)/2</f>
        <v>0.125</v>
      </c>
      <c r="Z147" s="297"/>
      <c r="AB147" s="297">
        <f ca="1">Y146+(AB146-Y146)/2</f>
        <v>0.46527777777777779</v>
      </c>
      <c r="AC147" s="297">
        <f ca="1">AB146+(AC146-AB146)/2</f>
        <v>0.9291666666666667</v>
      </c>
      <c r="AD147" s="297">
        <f ca="1">AC146+(AD146-AC146)/2</f>
        <v>1.1777777777777778</v>
      </c>
      <c r="AE147" s="297">
        <f ca="1">AD146+(AE146-AD146)/2</f>
        <v>1.4166666666666665</v>
      </c>
      <c r="AF147" s="297"/>
      <c r="AH147" s="297">
        <f ca="1">AE146+(AH146-AE146)/2</f>
        <v>2.0430555555555552</v>
      </c>
      <c r="AJ147" s="297">
        <f ca="1">AH146+(AJ146-AH146)/2</f>
        <v>3.0569444444444445</v>
      </c>
      <c r="AL147" s="297">
        <f ca="1">AJ146+(AL146-AJ146)/2</f>
        <v>4.0583333333333336</v>
      </c>
    </row>
    <row r="149" spans="2:38" ht="14.25" customHeight="1">
      <c r="B149" s="97" t="s">
        <v>442</v>
      </c>
      <c r="V149" s="295"/>
      <c r="W149" s="295"/>
      <c r="X149" s="296" t="e">
        <f ca="1">WACC!$D$39+Sensitivity!U41</f>
        <v>#VALUE!</v>
      </c>
      <c r="Y149" s="296" t="e">
        <f ca="1">WACC!$D$39+Sensitivity!U41</f>
        <v>#VALUE!</v>
      </c>
      <c r="Z149" s="296"/>
      <c r="AB149" s="294" t="e">
        <f ca="1">WACC!$E$39+Sensitivity!U41</f>
        <v>#VALUE!</v>
      </c>
      <c r="AC149" s="294" t="e">
        <f ca="1">WACC!$E$39+Sensitivity!U41</f>
        <v>#VALUE!</v>
      </c>
      <c r="AD149" s="294" t="e">
        <f ca="1">WACC!$E$39+Sensitivity!U41</f>
        <v>#VALUE!</v>
      </c>
      <c r="AE149" s="294" t="e">
        <f ca="1">WACC!$E$39+Sensitivity!U41</f>
        <v>#VALUE!</v>
      </c>
      <c r="AF149" s="294"/>
      <c r="AH149" s="294" t="e">
        <f ca="1">WACC!$F$39+Sensitivity!U41</f>
        <v>#VALUE!</v>
      </c>
      <c r="AJ149" s="294" t="e">
        <f ca="1">WACC!$G$39+Sensitivity!U41</f>
        <v>#VALUE!</v>
      </c>
      <c r="AL149" s="294" t="e">
        <f ca="1">WACC!$H$39+Sensitivity!U41</f>
        <v>#VALUE!</v>
      </c>
    </row>
    <row r="150" spans="2:38" ht="14.25" customHeight="1">
      <c r="B150" s="97" t="s">
        <v>443</v>
      </c>
      <c r="V150" s="295"/>
      <c r="W150" s="295"/>
      <c r="X150" s="298" t="e">
        <f ca="1">(1+X149)^X147</f>
        <v>#VALUE!</v>
      </c>
      <c r="Y150" s="298" t="e">
        <f ca="1">((1+X149)^X147)*((1+Y149)^Y147)</f>
        <v>#VALUE!</v>
      </c>
      <c r="Z150" s="298"/>
      <c r="AB150" s="298" t="e">
        <f ca="1">((1+X149)^X147)*((1+Y149)^Y147)*((1+AB149)^AB147)</f>
        <v>#VALUE!</v>
      </c>
      <c r="AC150" s="298" t="e">
        <f ca="1">((1+X149)^X147)*((1+Y149)^Y147)*((1+AB149)^AB147)*((1+AC149)^AC147)</f>
        <v>#VALUE!</v>
      </c>
      <c r="AD150" s="298" t="e">
        <f ca="1">((1+X149)^X147)*((1+Y149)^Y147)*((1+AB149)^AB147)*((1+AC149)^AC147)*((1+AD149)^AD147)</f>
        <v>#VALUE!</v>
      </c>
      <c r="AE150" s="298" t="e">
        <f ca="1">((1+X149)^X147)*((1+Y149)^Y147)*((1+AB149)^AB147)*((1+AC149)^AC147)*((1+AD149)^AD147)*((1+AE149)^AE147)</f>
        <v>#VALUE!</v>
      </c>
      <c r="AF150" s="294"/>
      <c r="AH150" s="298" t="e">
        <f ca="1">((1+X149)^X147)*((1+Y149)^Y147)*((1+AB149)^AB147)*((1+AC149)^AC147)*((1+AD149)^AD147)*((1+AE149)^AE147)*((1+AH149)^AH147)</f>
        <v>#VALUE!</v>
      </c>
      <c r="AI150" s="298"/>
      <c r="AJ150" s="298" t="e">
        <f ca="1">((1+X149)^X147)*((1+Y149)^Y147)*((1+AB149)^AB147)*((1+AC149)^AC147)*((1+AD149)^AD147)*((1+AE149)^AE147)*((1+AH149)^AH147)*((1+AJ149)^AJ147)</f>
        <v>#VALUE!</v>
      </c>
      <c r="AK150" s="298"/>
      <c r="AL150" s="298" t="e">
        <f ca="1">((1+X149)^X147)*((1+Y149)^Y147)*((1+AB149)^AB147)*((1+AC149)^AC147)*((1+AD149)^AD147)*((1+AE149)^AE147)*((1+AH149)^AH147)*((1+AJ149)^AJ147)*((1+AL149)^AL147)</f>
        <v>#VALUE!</v>
      </c>
    </row>
    <row r="151" spans="2:38" s="105" customFormat="1" ht="14.25" customHeight="1">
      <c r="C151" s="33"/>
      <c r="I151" s="33"/>
      <c r="O151" s="33"/>
      <c r="U151" s="33"/>
      <c r="AA151" s="33"/>
      <c r="AG151" s="33"/>
      <c r="AI151" s="33"/>
    </row>
    <row r="152" spans="2:38" ht="14.25" customHeight="1">
      <c r="B152" s="299" t="s">
        <v>444</v>
      </c>
      <c r="C152" s="293"/>
      <c r="D152" s="291"/>
      <c r="E152" s="291"/>
      <c r="F152" s="291"/>
      <c r="G152" s="291"/>
      <c r="H152" s="291"/>
      <c r="I152" s="293"/>
      <c r="J152" s="291"/>
      <c r="K152" s="291"/>
      <c r="L152" s="291"/>
      <c r="M152" s="291"/>
      <c r="N152" s="291"/>
      <c r="O152" s="293"/>
      <c r="P152" s="291"/>
      <c r="Q152" s="291"/>
      <c r="R152" s="291"/>
      <c r="S152" s="291"/>
      <c r="T152" s="291"/>
      <c r="U152" s="293"/>
      <c r="V152" s="291"/>
      <c r="W152" s="291"/>
      <c r="X152" s="315" t="e">
        <f ca="1">X136/X150*(Inputs!$D$17-92-TODAY())/92</f>
        <v>#VALUE!</v>
      </c>
      <c r="Y152" s="315" t="e">
        <f ca="1">Y136/Y150</f>
        <v>#VALUE!</v>
      </c>
      <c r="Z152" s="315"/>
      <c r="AA152" s="315"/>
      <c r="AB152" s="315" t="e">
        <f ca="1">AB136/AB150</f>
        <v>#VALUE!</v>
      </c>
      <c r="AC152" s="315" t="e">
        <f ca="1">AC136/AC150</f>
        <v>#VALUE!</v>
      </c>
      <c r="AD152" s="315" t="e">
        <f ca="1">AD136/AD150</f>
        <v>#VALUE!</v>
      </c>
      <c r="AE152" s="315" t="e">
        <f ca="1">AE136/AE150</f>
        <v>#VALUE!</v>
      </c>
      <c r="AF152" s="315"/>
      <c r="AG152" s="315"/>
      <c r="AH152" s="315" t="e">
        <f ca="1">AH136/AH150</f>
        <v>#VALUE!</v>
      </c>
      <c r="AI152" s="315"/>
      <c r="AJ152" s="315" t="e">
        <f ca="1">AJ136/AJ150</f>
        <v>#VALUE!</v>
      </c>
      <c r="AK152" s="315"/>
      <c r="AL152" s="315" t="e">
        <f ca="1">AL136/AL150</f>
        <v>#VALUE!</v>
      </c>
    </row>
    <row r="154" spans="2:38" ht="14.25" customHeight="1">
      <c r="B154" s="161" t="s">
        <v>445</v>
      </c>
      <c r="C154" s="186"/>
      <c r="D154" s="286"/>
      <c r="E154" s="286"/>
      <c r="F154" s="286"/>
      <c r="G154" s="286"/>
      <c r="H154" s="286"/>
      <c r="I154" s="186"/>
      <c r="J154" s="286"/>
      <c r="K154" s="286"/>
      <c r="L154" s="286"/>
      <c r="M154" s="286"/>
      <c r="N154" s="286"/>
      <c r="O154" s="186"/>
      <c r="P154" s="286"/>
      <c r="Q154" s="286"/>
      <c r="R154" s="286"/>
      <c r="S154" s="286"/>
      <c r="T154" s="286"/>
      <c r="U154" s="186"/>
      <c r="V154" s="286"/>
      <c r="W154" s="286"/>
      <c r="X154" s="286"/>
      <c r="Y154" s="286"/>
      <c r="Z154" s="286"/>
      <c r="AA154" s="186"/>
      <c r="AB154" s="286"/>
      <c r="AC154" s="286"/>
      <c r="AD154" s="286"/>
      <c r="AE154" s="286"/>
      <c r="AF154" s="286"/>
      <c r="AG154" s="186"/>
      <c r="AH154" s="286"/>
      <c r="AI154" s="186"/>
      <c r="AJ154" s="287"/>
      <c r="AK154" s="286"/>
      <c r="AL154" s="286"/>
    </row>
    <row r="155" spans="2:38" ht="3.95" customHeight="1">
      <c r="B155" s="288"/>
      <c r="C155" s="36"/>
      <c r="D155" s="288"/>
      <c r="E155" s="288"/>
      <c r="F155" s="288"/>
      <c r="G155" s="288"/>
      <c r="H155" s="288"/>
      <c r="I155" s="36"/>
      <c r="J155" s="288"/>
      <c r="K155" s="288"/>
      <c r="L155" s="288"/>
      <c r="M155" s="288"/>
      <c r="N155" s="288"/>
      <c r="O155" s="36"/>
      <c r="P155" s="288"/>
      <c r="Q155" s="288"/>
      <c r="R155" s="288"/>
      <c r="S155" s="288"/>
      <c r="T155" s="288"/>
      <c r="U155" s="36"/>
      <c r="V155" s="288"/>
      <c r="W155" s="288"/>
      <c r="X155" s="288"/>
      <c r="Y155" s="288"/>
      <c r="Z155" s="288"/>
      <c r="AA155" s="36"/>
      <c r="AB155" s="288"/>
      <c r="AC155" s="288"/>
      <c r="AD155" s="288"/>
      <c r="AE155" s="288"/>
      <c r="AF155" s="288"/>
      <c r="AG155" s="36"/>
      <c r="AH155" s="288"/>
      <c r="AI155" s="36"/>
      <c r="AJ155" s="289"/>
      <c r="AK155" s="288"/>
      <c r="AL155" s="288"/>
    </row>
    <row r="156" spans="2:38" ht="14.25" customHeight="1">
      <c r="B156" s="295"/>
      <c r="C156" s="25"/>
      <c r="D156" s="295"/>
      <c r="E156" s="295"/>
      <c r="F156" s="295"/>
      <c r="G156" s="295"/>
      <c r="H156" s="295"/>
      <c r="I156" s="25"/>
      <c r="J156" s="295"/>
      <c r="K156" s="295"/>
      <c r="L156" s="295"/>
      <c r="M156" s="295"/>
      <c r="N156" s="295"/>
      <c r="O156" s="25"/>
      <c r="P156" s="295"/>
      <c r="Q156" s="295"/>
      <c r="R156" s="295"/>
      <c r="S156" s="295"/>
      <c r="T156" s="295"/>
    </row>
    <row r="157" spans="2:38" s="341" customFormat="1" ht="14.25" customHeight="1">
      <c r="B157" s="344"/>
      <c r="C157" s="345"/>
      <c r="D157" s="344"/>
      <c r="E157" s="344"/>
      <c r="F157" s="344"/>
      <c r="G157" s="344"/>
      <c r="H157" s="346"/>
      <c r="I157" s="345"/>
      <c r="J157" s="344"/>
      <c r="K157" s="344"/>
      <c r="L157" s="344"/>
      <c r="M157" s="344"/>
      <c r="N157" s="344"/>
      <c r="O157" s="345"/>
      <c r="P157" s="344"/>
      <c r="Q157" s="610" t="s">
        <v>446</v>
      </c>
      <c r="R157" s="611" t="s">
        <v>447</v>
      </c>
      <c r="S157" s="344"/>
      <c r="T157" s="344"/>
      <c r="U157" s="342"/>
      <c r="V157" s="343" t="s">
        <v>448</v>
      </c>
      <c r="W157" s="343"/>
      <c r="X157" s="343"/>
      <c r="Y157" s="343"/>
      <c r="Z157" s="343"/>
      <c r="AB157" s="343" t="s">
        <v>449</v>
      </c>
      <c r="AC157" s="343"/>
      <c r="AD157" s="343"/>
      <c r="AE157" s="343"/>
      <c r="AF157" s="343"/>
      <c r="AG157" s="342"/>
      <c r="AH157" s="343" t="s">
        <v>450</v>
      </c>
      <c r="AI157" s="343"/>
      <c r="AJ157" s="343"/>
      <c r="AK157" s="343"/>
      <c r="AL157" s="343"/>
    </row>
    <row r="158" spans="2:38" ht="3.95" customHeight="1">
      <c r="B158" s="295"/>
      <c r="C158" s="25"/>
      <c r="D158" s="295"/>
      <c r="E158" s="295"/>
      <c r="F158" s="295"/>
      <c r="G158" s="295"/>
      <c r="H158" s="295"/>
      <c r="I158" s="25"/>
      <c r="J158" s="295"/>
      <c r="K158" s="295"/>
      <c r="L158" s="295"/>
      <c r="M158" s="295"/>
      <c r="N158" s="295"/>
      <c r="O158" s="25"/>
      <c r="P158" s="295"/>
      <c r="Q158" s="295"/>
      <c r="R158" s="295"/>
      <c r="S158" s="295"/>
      <c r="T158" s="295"/>
      <c r="V158" s="288"/>
      <c r="W158" s="288"/>
      <c r="X158" s="288"/>
      <c r="Y158" s="288"/>
      <c r="Z158" s="288"/>
      <c r="AA158" s="97"/>
      <c r="AB158" s="288"/>
      <c r="AC158" s="288"/>
      <c r="AD158" s="288"/>
      <c r="AE158" s="288"/>
      <c r="AF158" s="288"/>
      <c r="AH158" s="288"/>
      <c r="AI158" s="288"/>
      <c r="AJ158" s="288"/>
      <c r="AK158" s="288"/>
      <c r="AL158" s="288"/>
    </row>
    <row r="159" spans="2:38" ht="14.25" customHeight="1">
      <c r="B159" s="295"/>
      <c r="C159" s="25"/>
      <c r="D159" s="295"/>
      <c r="E159" s="295"/>
      <c r="F159" s="295"/>
      <c r="G159" s="295"/>
      <c r="H159" s="295"/>
      <c r="I159" s="25"/>
      <c r="M159" s="295"/>
      <c r="N159" s="295"/>
      <c r="O159" s="25"/>
      <c r="P159" s="295"/>
      <c r="Q159" s="295"/>
      <c r="R159" s="295"/>
      <c r="S159" s="295"/>
      <c r="T159" s="295"/>
      <c r="V159" s="97" t="s">
        <v>451</v>
      </c>
      <c r="Z159" s="358">
        <f ca="1">Inputs!M14</f>
        <v>6.2011472006670649</v>
      </c>
      <c r="AB159" s="97" t="s">
        <v>452</v>
      </c>
      <c r="AF159" s="358">
        <f ca="1">Inputs!M13</f>
        <v>1.4973191231183176</v>
      </c>
      <c r="AH159" s="97" t="s">
        <v>453</v>
      </c>
      <c r="AL159" s="328">
        <f>AL136/AJ136-1</f>
        <v>0.74596008255969637</v>
      </c>
    </row>
    <row r="160" spans="2:38" ht="14.25" customHeight="1">
      <c r="B160" s="295"/>
      <c r="C160" s="25"/>
      <c r="D160" s="295"/>
      <c r="E160" s="295"/>
      <c r="F160" s="295"/>
      <c r="G160" s="295"/>
      <c r="H160" s="295"/>
      <c r="I160" s="25"/>
      <c r="M160" s="295"/>
      <c r="N160" s="295"/>
      <c r="O160" s="25"/>
      <c r="P160" s="295"/>
      <c r="Q160" s="295"/>
      <c r="R160" s="295"/>
      <c r="S160" s="295"/>
      <c r="T160" s="295"/>
      <c r="V160" s="97" t="s">
        <v>454</v>
      </c>
      <c r="Z160" s="347"/>
      <c r="AB160" s="97" t="s">
        <v>455</v>
      </c>
      <c r="AF160" s="347"/>
      <c r="AH160" s="97" t="s">
        <v>456</v>
      </c>
      <c r="AL160" s="316"/>
    </row>
    <row r="161" spans="2:38" ht="14.25" customHeight="1">
      <c r="B161" s="295"/>
      <c r="C161" s="25"/>
      <c r="D161" s="295"/>
      <c r="E161" s="295"/>
      <c r="F161" s="295"/>
      <c r="G161" s="295"/>
      <c r="H161" s="295"/>
      <c r="I161" s="25"/>
      <c r="M161" s="295"/>
      <c r="N161" s="295"/>
      <c r="O161" s="25"/>
      <c r="P161" s="295"/>
      <c r="Q161" s="295"/>
      <c r="R161" s="295" t="str">
        <f>R157</f>
        <v>Revenue Exit</v>
      </c>
      <c r="S161" s="295"/>
      <c r="T161" s="295"/>
      <c r="V161" s="97" t="s">
        <v>445</v>
      </c>
      <c r="Z161" s="312">
        <f>(Z160+Sensitivity!U43)*(AL122+AL128)</f>
        <v>0</v>
      </c>
      <c r="AB161" s="97" t="s">
        <v>445</v>
      </c>
      <c r="AF161" s="312">
        <f>(AF160+Sensitivity!U44)*(AL31)</f>
        <v>0</v>
      </c>
      <c r="AH161" s="97" t="s">
        <v>445</v>
      </c>
      <c r="AL161" s="312" t="e">
        <f ca="1">AL136*(1+AL160+Sensitivity!U42)/(AL149-AL160-Sensitivity!U42)</f>
        <v>#VALUE!</v>
      </c>
    </row>
    <row r="162" spans="2:38" ht="14.25" customHeight="1">
      <c r="B162" s="295"/>
      <c r="C162" s="25"/>
      <c r="D162" s="295"/>
      <c r="E162" s="295"/>
      <c r="F162" s="295"/>
      <c r="G162" s="295"/>
      <c r="H162" s="295"/>
      <c r="I162" s="25"/>
      <c r="M162" s="295"/>
      <c r="N162" s="295"/>
      <c r="O162" s="25"/>
      <c r="P162" s="295"/>
      <c r="Q162" s="295"/>
      <c r="R162" s="612" t="e">
        <f ca="1">IF($R$161="Revenue Exit",$AF$171,IF($R$161="EBITDA Exit",$Z$171,$AL$171))</f>
        <v>#VALUE!</v>
      </c>
      <c r="S162" s="295"/>
      <c r="T162" s="295"/>
      <c r="V162" s="348" t="s">
        <v>457</v>
      </c>
      <c r="W162" s="348"/>
      <c r="X162" s="348"/>
      <c r="Y162" s="348"/>
      <c r="Z162" s="349" t="e">
        <f ca="1">Z161/AL150</f>
        <v>#VALUE!</v>
      </c>
      <c r="AB162" s="348" t="s">
        <v>457</v>
      </c>
      <c r="AC162" s="348"/>
      <c r="AD162" s="348"/>
      <c r="AE162" s="348"/>
      <c r="AF162" s="349" t="e">
        <f ca="1">AF161/AL150</f>
        <v>#VALUE!</v>
      </c>
      <c r="AH162" s="348" t="s">
        <v>457</v>
      </c>
      <c r="AI162" s="356"/>
      <c r="AJ162" s="357"/>
      <c r="AK162" s="348"/>
      <c r="AL162" s="349" t="e">
        <f ca="1">AL161/AL150</f>
        <v>#VALUE!</v>
      </c>
    </row>
    <row r="163" spans="2:38" ht="14.25" customHeight="1">
      <c r="B163" s="295"/>
      <c r="C163" s="25"/>
      <c r="D163" s="295"/>
      <c r="E163" s="295"/>
      <c r="F163" s="295"/>
      <c r="G163" s="295"/>
      <c r="H163" s="295"/>
      <c r="I163" s="25"/>
      <c r="M163" s="295"/>
      <c r="N163" s="295"/>
      <c r="O163" s="25"/>
      <c r="P163" s="295"/>
      <c r="Q163" s="295"/>
      <c r="R163" s="612" t="e">
        <f ca="1">1-R162</f>
        <v>#VALUE!</v>
      </c>
      <c r="S163" s="295"/>
      <c r="T163" s="295"/>
      <c r="V163" s="105" t="s">
        <v>458</v>
      </c>
      <c r="W163" s="105"/>
      <c r="X163" s="105"/>
      <c r="Y163" s="105"/>
      <c r="Z163" s="322" t="e">
        <f ca="1">Z162+SUM(V152:AL152)</f>
        <v>#VALUE!</v>
      </c>
      <c r="AB163" s="105" t="s">
        <v>458</v>
      </c>
      <c r="AC163" s="105"/>
      <c r="AD163" s="105"/>
      <c r="AE163" s="105"/>
      <c r="AF163" s="322" t="e">
        <f ca="1">AF162+SUM(V152:AL152)</f>
        <v>#VALUE!</v>
      </c>
      <c r="AH163" s="105" t="s">
        <v>458</v>
      </c>
      <c r="AI163" s="105"/>
      <c r="AK163" s="105"/>
      <c r="AL163" s="322" t="e">
        <f ca="1">AL162+SUM(V152:AL152)</f>
        <v>#VALUE!</v>
      </c>
    </row>
    <row r="164" spans="2:38" ht="14.25" customHeight="1">
      <c r="B164" s="295"/>
      <c r="C164" s="25"/>
      <c r="D164" s="295"/>
      <c r="E164" s="295"/>
      <c r="F164" s="295"/>
      <c r="G164" s="295"/>
      <c r="H164" s="295"/>
      <c r="I164" s="25"/>
      <c r="M164" s="295"/>
      <c r="N164" s="295"/>
      <c r="O164" s="25"/>
      <c r="P164" s="295"/>
      <c r="Q164" s="295"/>
      <c r="R164" s="97" t="e">
        <f ca="1">IF(R162&gt;0,"Upside","Downside")</f>
        <v>#VALUE!</v>
      </c>
      <c r="S164" s="295"/>
      <c r="T164" s="295"/>
      <c r="V164" s="97" t="s">
        <v>459</v>
      </c>
      <c r="Z164" s="68">
        <f>BS!AI45+BS!AI44+BS!AI39+BS!AI38-BS!AI15</f>
        <v>-797183</v>
      </c>
      <c r="AB164" s="97" t="s">
        <v>459</v>
      </c>
      <c r="AF164" s="68">
        <f>BS!AI45+BS!AI44+BS!AI39+BS!AI38-BS!AI15</f>
        <v>-797183</v>
      </c>
      <c r="AH164" s="97" t="s">
        <v>459</v>
      </c>
      <c r="AI164" s="97"/>
      <c r="AJ164" s="97"/>
      <c r="AL164" s="68">
        <f>BS!AI45+BS!AI44+BS!AI39+BS!AI38-BS!AI15</f>
        <v>-797183</v>
      </c>
    </row>
    <row r="165" spans="2:38" ht="14.25" customHeight="1">
      <c r="B165" s="295"/>
      <c r="C165" s="25"/>
      <c r="D165" s="295"/>
      <c r="E165" s="295"/>
      <c r="F165" s="295"/>
      <c r="G165" s="295"/>
      <c r="H165" s="295"/>
      <c r="I165" s="25"/>
      <c r="M165" s="295"/>
      <c r="N165" s="295"/>
      <c r="O165" s="25"/>
      <c r="P165" s="295"/>
      <c r="Q165" s="295"/>
      <c r="R165" s="295"/>
      <c r="S165" s="295"/>
      <c r="T165" s="295"/>
      <c r="V165" s="97" t="s">
        <v>460</v>
      </c>
      <c r="Z165" s="68">
        <f ca="1">Inputs!U63</f>
        <v>0</v>
      </c>
      <c r="AB165" s="97" t="s">
        <v>460</v>
      </c>
      <c r="AF165" s="68">
        <f ca="1">Inputs!U63</f>
        <v>0</v>
      </c>
      <c r="AH165" s="97" t="s">
        <v>460</v>
      </c>
      <c r="AI165" s="97"/>
      <c r="AJ165" s="97"/>
      <c r="AL165" s="68">
        <f ca="1">Inputs!U63</f>
        <v>0</v>
      </c>
    </row>
    <row r="166" spans="2:38" ht="14.25" customHeight="1">
      <c r="V166" s="348" t="s">
        <v>461</v>
      </c>
      <c r="W166" s="348"/>
      <c r="X166" s="348"/>
      <c r="Y166" s="348"/>
      <c r="Z166" s="75">
        <f>BS!AI53</f>
        <v>6116</v>
      </c>
      <c r="AB166" s="348" t="s">
        <v>461</v>
      </c>
      <c r="AC166" s="348"/>
      <c r="AD166" s="348"/>
      <c r="AE166" s="348"/>
      <c r="AF166" s="75">
        <f>BS!AI53</f>
        <v>6116</v>
      </c>
      <c r="AH166" s="348" t="s">
        <v>461</v>
      </c>
      <c r="AI166" s="348"/>
      <c r="AJ166" s="348"/>
      <c r="AK166" s="348"/>
      <c r="AL166" s="75">
        <f>BS!AI53</f>
        <v>6116</v>
      </c>
    </row>
    <row r="167" spans="2:38" ht="14.25" customHeight="1">
      <c r="V167" s="105" t="s">
        <v>462</v>
      </c>
      <c r="W167" s="105"/>
      <c r="X167" s="105"/>
      <c r="Y167" s="105"/>
      <c r="Z167" s="322" t="e">
        <f ca="1">Z163-Z164-Z165-Z166</f>
        <v>#VALUE!</v>
      </c>
      <c r="AB167" s="105" t="s">
        <v>462</v>
      </c>
      <c r="AC167" s="105"/>
      <c r="AD167" s="105"/>
      <c r="AE167" s="105"/>
      <c r="AF167" s="322" t="e">
        <f ca="1">AF163-AF164-AF165-AF166</f>
        <v>#VALUE!</v>
      </c>
      <c r="AH167" s="105" t="s">
        <v>462</v>
      </c>
      <c r="AI167" s="105"/>
      <c r="AK167" s="105"/>
      <c r="AL167" s="322" t="e">
        <f ca="1">AL163-AL164-AL165-AL166</f>
        <v>#VALUE!</v>
      </c>
    </row>
    <row r="168" spans="2:38" ht="14.25" customHeight="1">
      <c r="V168" s="348" t="s">
        <v>463</v>
      </c>
      <c r="W168" s="348"/>
      <c r="X168" s="348"/>
      <c r="Y168" s="348"/>
      <c r="Z168" s="350">
        <f>AL64</f>
        <v>48776.522432352496</v>
      </c>
      <c r="AB168" s="348" t="s">
        <v>463</v>
      </c>
      <c r="AC168" s="348"/>
      <c r="AD168" s="348"/>
      <c r="AE168" s="348"/>
      <c r="AF168" s="350">
        <f>AL64</f>
        <v>48776.522432352496</v>
      </c>
      <c r="AH168" s="348" t="s">
        <v>463</v>
      </c>
      <c r="AI168" s="348"/>
      <c r="AJ168" s="348"/>
      <c r="AK168" s="348"/>
      <c r="AL168" s="350">
        <f>AL64</f>
        <v>48776.522432352496</v>
      </c>
    </row>
    <row r="169" spans="2:38" ht="14.25" customHeight="1">
      <c r="V169" s="105" t="s">
        <v>464</v>
      </c>
      <c r="W169" s="105"/>
      <c r="X169" s="105"/>
      <c r="Y169" s="105"/>
      <c r="Z169" s="321" t="e">
        <f ca="1">Z167/Z168</f>
        <v>#VALUE!</v>
      </c>
      <c r="AB169" s="105" t="s">
        <v>464</v>
      </c>
      <c r="AC169" s="105"/>
      <c r="AD169" s="105"/>
      <c r="AE169" s="105"/>
      <c r="AF169" s="321" t="e">
        <f ca="1">AF167/AF168</f>
        <v>#VALUE!</v>
      </c>
      <c r="AH169" s="105" t="s">
        <v>464</v>
      </c>
      <c r="AI169" s="105"/>
      <c r="AK169" s="105"/>
      <c r="AL169" s="321" t="e">
        <f ca="1">AL167/AL168</f>
        <v>#VALUE!</v>
      </c>
    </row>
    <row r="170" spans="2:38" ht="14.25" customHeight="1">
      <c r="V170" s="97" t="s">
        <v>465</v>
      </c>
      <c r="Z170" s="355">
        <f>'Stock Data'!AN4</f>
        <v>111.54</v>
      </c>
      <c r="AB170" s="97" t="s">
        <v>465</v>
      </c>
      <c r="AF170" s="355">
        <f>'Stock Data'!AN4</f>
        <v>111.54</v>
      </c>
      <c r="AH170" s="97" t="s">
        <v>465</v>
      </c>
      <c r="AI170" s="97"/>
      <c r="AJ170" s="97"/>
      <c r="AL170" s="355">
        <f>'Stock Data'!AN4</f>
        <v>111.54</v>
      </c>
    </row>
    <row r="171" spans="2:38" ht="14.25" customHeight="1">
      <c r="V171" s="97" t="s">
        <v>466</v>
      </c>
      <c r="Z171" s="328" t="e">
        <f ca="1">Z169/Z170-1</f>
        <v>#VALUE!</v>
      </c>
      <c r="AB171" s="97" t="s">
        <v>466</v>
      </c>
      <c r="AF171" s="328" t="e">
        <f ca="1">AF169/AF170-1</f>
        <v>#VALUE!</v>
      </c>
      <c r="AH171" s="97" t="s">
        <v>466</v>
      </c>
      <c r="AI171" s="97"/>
      <c r="AJ171" s="97"/>
      <c r="AL171" s="328" t="e">
        <f ca="1">AL169/AL170-1</f>
        <v>#VALUE!</v>
      </c>
    </row>
    <row r="176" spans="2:38" ht="14.25" customHeight="1">
      <c r="AB176" s="318"/>
    </row>
    <row r="177" spans="28:32" ht="14.25" customHeight="1">
      <c r="AB177" s="600"/>
      <c r="AC177" s="318"/>
    </row>
    <row r="178" spans="28:32" ht="14.25" customHeight="1">
      <c r="AB178" s="600"/>
      <c r="AC178" s="318"/>
    </row>
    <row r="181" spans="28:32" ht="14.25" customHeight="1">
      <c r="AF181" s="318"/>
    </row>
    <row r="182" spans="28:32" ht="14.25" customHeight="1">
      <c r="AE182" s="600"/>
      <c r="AF182" s="318"/>
    </row>
    <row r="183" spans="28:32" ht="14.25" customHeight="1">
      <c r="AE183" s="600"/>
      <c r="AF183" s="328"/>
    </row>
  </sheetData>
  <mergeCells count="17">
    <mergeCell ref="V139:Z139"/>
    <mergeCell ref="AB139:AF139"/>
    <mergeCell ref="D24:H24"/>
    <mergeCell ref="J24:N24"/>
    <mergeCell ref="P24:T24"/>
    <mergeCell ref="V24:Z24"/>
    <mergeCell ref="AB24:AF24"/>
    <mergeCell ref="D118:H118"/>
    <mergeCell ref="J118:N118"/>
    <mergeCell ref="P118:T118"/>
    <mergeCell ref="V118:Z118"/>
    <mergeCell ref="AB118:AF118"/>
    <mergeCell ref="D8:H8"/>
    <mergeCell ref="J8:N8"/>
    <mergeCell ref="P8:T8"/>
    <mergeCell ref="V8:Z8"/>
    <mergeCell ref="AB8:AF8"/>
  </mergeCells>
  <dataValidations disablePrompts="1" count="2">
    <dataValidation type="list" allowBlank="1" showInputMessage="1" showErrorMessage="1" sqref="B82" xr:uid="{3068A702-6D91-4BC4-B8DA-FEBA02962F20}">
      <formula1>"Intangibles excl. Goodwill, Intangibles"</formula1>
    </dataValidation>
    <dataValidation type="list" allowBlank="1" showInputMessage="1" showErrorMessage="1" sqref="R157" xr:uid="{DD3EF530-1AED-43A6-B35C-1414A1C29D9A}">
      <formula1>"EBITDA Exit, Revenue Exit, Gordon's Growth Model"</formula1>
    </dataValidation>
  </dataValidation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M181"/>
  <sheetViews>
    <sheetView showGridLines="0" topLeftCell="A51" zoomScaleNormal="100" workbookViewId="0">
      <selection activeCell="J11" activeCellId="2" sqref="E12 E20 J11:K13"/>
    </sheetView>
  </sheetViews>
  <sheetFormatPr defaultColWidth="9" defaultRowHeight="15" customHeight="1"/>
  <cols>
    <col min="1" max="1" width="3.625" style="383" customWidth="1"/>
    <col min="2" max="2" width="39.125" style="23" customWidth="1"/>
    <col min="3" max="3" width="13.625" style="23" customWidth="1"/>
    <col min="4" max="13" width="12.625" style="23" customWidth="1"/>
    <col min="14" max="17" width="12.625" style="25" customWidth="1"/>
    <col min="18" max="16384" width="9" style="25"/>
  </cols>
  <sheetData>
    <row r="1" spans="1:13" s="582" customFormat="1" ht="15" customHeight="1"/>
    <row r="2" spans="1:13" s="582" customFormat="1" ht="15" customHeight="1"/>
    <row r="3" spans="1:13" s="582" customFormat="1" ht="15" customHeight="1"/>
    <row r="4" spans="1:13" s="582" customFormat="1" ht="15" customHeight="1"/>
    <row r="5" spans="1:13" s="422" customFormat="1" ht="3.95" customHeight="1">
      <c r="A5" s="577"/>
      <c r="B5" s="36"/>
      <c r="C5" s="36"/>
      <c r="D5" s="36"/>
      <c r="E5" s="36"/>
      <c r="F5" s="36"/>
      <c r="G5" s="36"/>
      <c r="H5" s="36"/>
      <c r="I5" s="36"/>
      <c r="J5" s="36"/>
      <c r="K5" s="36"/>
      <c r="L5" s="36"/>
      <c r="M5" s="36"/>
    </row>
    <row r="7" spans="1:13" ht="15" customHeight="1">
      <c r="A7" s="383" t="s">
        <v>33</v>
      </c>
      <c r="B7" s="375" t="s">
        <v>467</v>
      </c>
      <c r="C7" s="32"/>
      <c r="D7" s="32"/>
      <c r="E7" s="32"/>
      <c r="F7" s="32"/>
      <c r="G7" s="32"/>
      <c r="H7" s="32"/>
      <c r="I7" s="32"/>
      <c r="J7" s="32"/>
      <c r="K7" s="32"/>
      <c r="L7" s="32"/>
    </row>
    <row r="8" spans="1:13" ht="3.95" customHeight="1">
      <c r="B8" s="424"/>
      <c r="C8" s="390"/>
      <c r="D8" s="390"/>
      <c r="E8" s="390"/>
      <c r="F8" s="390"/>
      <c r="G8" s="390"/>
      <c r="H8" s="390"/>
      <c r="I8" s="390"/>
      <c r="J8" s="390"/>
      <c r="K8" s="390"/>
      <c r="L8" s="390"/>
    </row>
    <row r="9" spans="1:13" ht="15" customHeight="1">
      <c r="B9" s="425"/>
      <c r="C9" s="25"/>
      <c r="D9" s="25"/>
      <c r="E9" s="425"/>
      <c r="F9" s="25"/>
      <c r="G9" s="25"/>
      <c r="H9" s="425"/>
      <c r="J9" s="25"/>
      <c r="K9" s="425"/>
      <c r="L9" s="25"/>
    </row>
    <row r="10" spans="1:13" ht="15" customHeight="1">
      <c r="B10" s="375" t="s">
        <v>468</v>
      </c>
      <c r="C10" s="32"/>
      <c r="D10" s="32"/>
      <c r="E10" s="32"/>
      <c r="G10" s="375" t="s">
        <v>469</v>
      </c>
      <c r="H10" s="375"/>
      <c r="I10" s="375"/>
      <c r="J10" s="375" t="s">
        <v>470</v>
      </c>
      <c r="K10" s="375" t="s">
        <v>471</v>
      </c>
      <c r="L10" s="375" t="s">
        <v>472</v>
      </c>
    </row>
    <row r="11" spans="1:13" ht="15" customHeight="1">
      <c r="B11" s="23" t="s">
        <v>473</v>
      </c>
      <c r="E11" s="426">
        <f>(G86+G77)</f>
        <v>288946</v>
      </c>
      <c r="G11" s="23" t="s">
        <v>474</v>
      </c>
      <c r="J11" s="685"/>
      <c r="K11" s="686"/>
      <c r="L11" s="48">
        <f>K11*$E$13</f>
        <v>0</v>
      </c>
    </row>
    <row r="12" spans="1:13" ht="15" customHeight="1">
      <c r="B12" s="356" t="s">
        <v>475</v>
      </c>
      <c r="C12" s="356"/>
      <c r="D12" s="356"/>
      <c r="E12" s="683"/>
      <c r="G12" s="23" t="s">
        <v>476</v>
      </c>
      <c r="J12" s="685"/>
      <c r="K12" s="686"/>
      <c r="L12" s="48">
        <f>K12*$E$13</f>
        <v>0</v>
      </c>
    </row>
    <row r="13" spans="1:13" ht="15" customHeight="1">
      <c r="B13" s="33" t="s">
        <v>477</v>
      </c>
      <c r="E13" s="427">
        <f>E11*E12</f>
        <v>0</v>
      </c>
      <c r="G13" s="23" t="s">
        <v>478</v>
      </c>
      <c r="J13" s="685"/>
      <c r="K13" s="686"/>
      <c r="L13" s="48">
        <f>K13*$E$13</f>
        <v>0</v>
      </c>
    </row>
    <row r="14" spans="1:13" ht="15" customHeight="1">
      <c r="B14" s="356" t="s">
        <v>479</v>
      </c>
      <c r="C14" s="356"/>
      <c r="D14" s="356"/>
      <c r="E14" s="428">
        <f>BS!AJ38+BS!AJ39+BS!AJ44+BS!AJ45-BS!AJ15</f>
        <v>0</v>
      </c>
      <c r="J14" s="429"/>
      <c r="L14" s="48"/>
    </row>
    <row r="15" spans="1:13" ht="15" customHeight="1">
      <c r="B15" s="33" t="s">
        <v>480</v>
      </c>
      <c r="E15" s="427">
        <f>E13-E14</f>
        <v>0</v>
      </c>
      <c r="G15" s="375" t="s">
        <v>481</v>
      </c>
      <c r="H15" s="375"/>
      <c r="I15" s="375"/>
      <c r="J15" s="375"/>
      <c r="K15" s="375"/>
      <c r="L15" s="375"/>
    </row>
    <row r="16" spans="1:13" ht="15" customHeight="1">
      <c r="G16" s="23" t="s">
        <v>482</v>
      </c>
      <c r="L16" s="430" t="e">
        <f>L180</f>
        <v>#DIV/0!</v>
      </c>
    </row>
    <row r="17" spans="1:12" ht="15" customHeight="1">
      <c r="B17" s="23" t="s">
        <v>483</v>
      </c>
      <c r="E17" s="48">
        <f>0.03*E13</f>
        <v>0</v>
      </c>
      <c r="G17" s="23" t="s">
        <v>484</v>
      </c>
      <c r="L17" s="430" t="e">
        <f>L181</f>
        <v>#DIV/0!</v>
      </c>
    </row>
    <row r="19" spans="1:12" ht="15" customHeight="1">
      <c r="B19" s="375" t="s">
        <v>485</v>
      </c>
      <c r="C19" s="32"/>
      <c r="D19" s="32"/>
      <c r="E19" s="32"/>
      <c r="I19" s="423"/>
    </row>
    <row r="20" spans="1:12" ht="15" customHeight="1">
      <c r="B20" s="23" t="s">
        <v>486</v>
      </c>
      <c r="E20" s="684"/>
      <c r="H20" s="431"/>
    </row>
    <row r="21" spans="1:12" ht="15" customHeight="1">
      <c r="C21" s="432"/>
    </row>
    <row r="22" spans="1:12" ht="15" customHeight="1">
      <c r="A22" s="383" t="s">
        <v>33</v>
      </c>
      <c r="B22" s="375" t="s">
        <v>487</v>
      </c>
      <c r="C22" s="32"/>
      <c r="D22" s="32"/>
      <c r="E22" s="32"/>
      <c r="F22" s="32"/>
      <c r="G22" s="32"/>
      <c r="H22" s="32"/>
      <c r="I22" s="32"/>
      <c r="J22" s="32"/>
      <c r="K22" s="32"/>
      <c r="L22" s="32"/>
    </row>
    <row r="23" spans="1:12" ht="3.95" customHeight="1">
      <c r="B23" s="424"/>
      <c r="C23" s="390"/>
      <c r="D23" s="390"/>
      <c r="E23" s="390"/>
      <c r="F23" s="390"/>
      <c r="G23" s="390"/>
      <c r="H23" s="390"/>
      <c r="I23" s="390"/>
      <c r="J23" s="390"/>
      <c r="K23" s="390"/>
      <c r="L23" s="390"/>
    </row>
    <row r="24" spans="1:12" ht="15" customHeight="1">
      <c r="C24" s="433"/>
    </row>
    <row r="25" spans="1:12" ht="15" customHeight="1">
      <c r="B25" s="375" t="s">
        <v>488</v>
      </c>
      <c r="C25" s="32"/>
      <c r="D25" s="32"/>
      <c r="E25" s="32"/>
      <c r="G25" s="375" t="s">
        <v>489</v>
      </c>
      <c r="H25" s="32"/>
      <c r="I25" s="32"/>
      <c r="J25" s="32"/>
      <c r="K25" s="32"/>
      <c r="L25" s="32"/>
    </row>
    <row r="26" spans="1:12" ht="15" customHeight="1">
      <c r="B26" s="345"/>
      <c r="C26" s="425" t="s">
        <v>472</v>
      </c>
      <c r="D26" s="425" t="s">
        <v>490</v>
      </c>
      <c r="E26" s="425" t="s">
        <v>491</v>
      </c>
      <c r="J26" s="425" t="s">
        <v>472</v>
      </c>
      <c r="K26" s="425" t="s">
        <v>490</v>
      </c>
      <c r="L26" s="425" t="s">
        <v>491</v>
      </c>
    </row>
    <row r="27" spans="1:12" ht="15" customHeight="1">
      <c r="B27" s="25" t="s">
        <v>474</v>
      </c>
      <c r="C27" s="426">
        <f>L11</f>
        <v>0</v>
      </c>
      <c r="D27" s="434">
        <f>C27/$E$11</f>
        <v>0</v>
      </c>
      <c r="E27" s="435" t="e">
        <f>C27/$C$34</f>
        <v>#DIV/0!</v>
      </c>
      <c r="G27" s="25" t="s">
        <v>492</v>
      </c>
      <c r="H27" s="25"/>
      <c r="I27" s="25"/>
      <c r="J27" s="426">
        <f>E14</f>
        <v>0</v>
      </c>
      <c r="K27" s="434">
        <f>J27/$E$11</f>
        <v>0</v>
      </c>
      <c r="L27" s="435" t="e">
        <f>J27/$J$34</f>
        <v>#DIV/0!</v>
      </c>
    </row>
    <row r="28" spans="1:12" ht="15" customHeight="1">
      <c r="B28" s="25" t="s">
        <v>476</v>
      </c>
      <c r="C28" s="426">
        <f>L12</f>
        <v>0</v>
      </c>
      <c r="D28" s="434">
        <f>C28/$E$11</f>
        <v>0</v>
      </c>
      <c r="E28" s="435" t="e">
        <f>C28/$C$34</f>
        <v>#DIV/0!</v>
      </c>
      <c r="G28" s="25" t="s">
        <v>493</v>
      </c>
      <c r="H28" s="25"/>
      <c r="I28" s="25"/>
      <c r="J28" s="426">
        <f>E15</f>
        <v>0</v>
      </c>
      <c r="K28" s="434">
        <f>J28/$E$11</f>
        <v>0</v>
      </c>
      <c r="L28" s="435" t="e">
        <f>J28/$J$34</f>
        <v>#DIV/0!</v>
      </c>
    </row>
    <row r="29" spans="1:12" ht="15" customHeight="1">
      <c r="B29" s="436" t="s">
        <v>478</v>
      </c>
      <c r="C29" s="437">
        <f>L13</f>
        <v>0</v>
      </c>
      <c r="D29" s="438">
        <f>C29/$E$11</f>
        <v>0</v>
      </c>
      <c r="E29" s="439" t="e">
        <f>C29/$C$34</f>
        <v>#DIV/0!</v>
      </c>
      <c r="G29" s="25"/>
      <c r="H29" s="25"/>
      <c r="I29" s="25"/>
      <c r="J29" s="440"/>
      <c r="K29" s="25"/>
      <c r="L29" s="423"/>
    </row>
    <row r="30" spans="1:12" ht="15" customHeight="1">
      <c r="B30" s="345" t="s">
        <v>337</v>
      </c>
      <c r="C30" s="441">
        <f>SUM(C27:C29)</f>
        <v>0</v>
      </c>
      <c r="D30" s="442">
        <f>C30/$E$11</f>
        <v>0</v>
      </c>
      <c r="E30" s="443" t="e">
        <f>C30/$C$34</f>
        <v>#DIV/0!</v>
      </c>
      <c r="G30" s="25" t="s">
        <v>483</v>
      </c>
      <c r="H30" s="25"/>
      <c r="I30" s="25"/>
      <c r="J30" s="426">
        <f>E17</f>
        <v>0</v>
      </c>
      <c r="K30" s="434">
        <f>J30/$E$11</f>
        <v>0</v>
      </c>
      <c r="L30" s="435" t="e">
        <f>J30/$J$34</f>
        <v>#DIV/0!</v>
      </c>
    </row>
    <row r="31" spans="1:12" ht="15" customHeight="1">
      <c r="B31" s="345"/>
      <c r="C31" s="25"/>
      <c r="D31" s="25"/>
      <c r="E31" s="435"/>
      <c r="G31" s="25"/>
      <c r="H31" s="25"/>
      <c r="I31" s="25"/>
      <c r="J31" s="423"/>
      <c r="K31" s="423"/>
      <c r="L31" s="423"/>
    </row>
    <row r="32" spans="1:12" ht="15" customHeight="1">
      <c r="B32" s="25" t="s">
        <v>494</v>
      </c>
      <c r="C32" s="48">
        <f>C34-C30</f>
        <v>0</v>
      </c>
      <c r="D32" s="434">
        <f>C32/$E$11</f>
        <v>0</v>
      </c>
      <c r="E32" s="435" t="e">
        <f>C32/$C$34</f>
        <v>#DIV/0!</v>
      </c>
      <c r="G32" s="25"/>
      <c r="H32" s="25"/>
      <c r="I32" s="25"/>
    </row>
    <row r="34" spans="1:12" ht="15" customHeight="1">
      <c r="B34" s="444" t="s">
        <v>495</v>
      </c>
      <c r="C34" s="445">
        <f>J34</f>
        <v>0</v>
      </c>
      <c r="D34" s="446">
        <f>C34/$E$11</f>
        <v>0</v>
      </c>
      <c r="E34" s="447" t="e">
        <f>C34/$C$34</f>
        <v>#DIV/0!</v>
      </c>
      <c r="G34" s="448" t="s">
        <v>496</v>
      </c>
      <c r="H34" s="449"/>
      <c r="I34" s="449"/>
      <c r="J34" s="450">
        <f>J27+J28+J30</f>
        <v>0</v>
      </c>
      <c r="K34" s="451">
        <f>J34/$E$11</f>
        <v>0</v>
      </c>
      <c r="L34" s="452" t="e">
        <f>J34/$J$34</f>
        <v>#DIV/0!</v>
      </c>
    </row>
    <row r="35" spans="1:12" ht="15" customHeight="1">
      <c r="C35" s="432"/>
    </row>
    <row r="36" spans="1:12" ht="15" customHeight="1">
      <c r="B36" s="375" t="s">
        <v>345</v>
      </c>
      <c r="C36" s="32"/>
      <c r="D36" s="32"/>
      <c r="E36" s="32"/>
      <c r="F36" s="32"/>
      <c r="G36" s="32"/>
      <c r="H36" s="32"/>
      <c r="I36" s="32"/>
      <c r="J36" s="32"/>
      <c r="K36" s="32"/>
      <c r="L36" s="32"/>
    </row>
    <row r="37" spans="1:12" ht="15" customHeight="1">
      <c r="B37" s="32"/>
      <c r="C37" s="32"/>
      <c r="D37" s="32"/>
      <c r="E37" s="32"/>
      <c r="F37" s="32"/>
      <c r="G37" s="32"/>
      <c r="H37" s="32"/>
      <c r="I37" s="32"/>
      <c r="J37" s="32"/>
      <c r="K37" s="32"/>
      <c r="L37" s="32"/>
    </row>
    <row r="38" spans="1:12" ht="15" customHeight="1">
      <c r="A38" s="383" t="s">
        <v>33</v>
      </c>
      <c r="B38" s="32"/>
      <c r="C38" s="32"/>
      <c r="D38" s="32"/>
      <c r="E38" s="453">
        <v>2022</v>
      </c>
      <c r="F38" s="453">
        <f t="shared" ref="F38:L38" si="0">+E38+1</f>
        <v>2023</v>
      </c>
      <c r="G38" s="453">
        <f t="shared" si="0"/>
        <v>2024</v>
      </c>
      <c r="H38" s="454">
        <f t="shared" si="0"/>
        <v>2025</v>
      </c>
      <c r="I38" s="454">
        <f t="shared" si="0"/>
        <v>2026</v>
      </c>
      <c r="J38" s="454">
        <f t="shared" si="0"/>
        <v>2027</v>
      </c>
      <c r="K38" s="454">
        <f t="shared" si="0"/>
        <v>2028</v>
      </c>
      <c r="L38" s="454">
        <f t="shared" si="0"/>
        <v>2029</v>
      </c>
    </row>
    <row r="50" spans="1:12" ht="15" customHeight="1">
      <c r="B50" s="292" t="s">
        <v>304</v>
      </c>
      <c r="C50" s="459"/>
      <c r="D50" s="460"/>
      <c r="E50" s="461"/>
      <c r="F50" s="461"/>
      <c r="G50" s="462"/>
      <c r="H50" s="315">
        <v>350000</v>
      </c>
      <c r="I50" s="315">
        <v>352000</v>
      </c>
      <c r="J50" s="315">
        <v>350000</v>
      </c>
      <c r="K50" s="315">
        <v>352000</v>
      </c>
      <c r="L50" s="525">
        <v>350000</v>
      </c>
    </row>
    <row r="51" spans="1:12" ht="15" customHeight="1">
      <c r="B51" s="455"/>
      <c r="C51" s="463"/>
      <c r="D51" s="25"/>
      <c r="E51" s="464"/>
      <c r="F51" s="464"/>
      <c r="G51" s="465"/>
      <c r="H51" s="466"/>
      <c r="I51" s="466"/>
      <c r="J51" s="466"/>
      <c r="K51" s="466"/>
      <c r="L51" s="466"/>
    </row>
    <row r="52" spans="1:12" ht="15" customHeight="1">
      <c r="B52" s="375" t="s">
        <v>356</v>
      </c>
      <c r="C52" s="32"/>
      <c r="D52" s="32"/>
      <c r="E52" s="32"/>
      <c r="F52" s="32"/>
      <c r="G52" s="32"/>
      <c r="H52" s="32"/>
      <c r="I52" s="32"/>
      <c r="J52" s="32"/>
      <c r="K52" s="32"/>
      <c r="L52" s="32"/>
    </row>
    <row r="53" spans="1:12" ht="15" customHeight="1">
      <c r="B53" s="32"/>
      <c r="C53" s="32"/>
      <c r="D53" s="32"/>
      <c r="E53" s="32"/>
      <c r="F53" s="32"/>
      <c r="G53" s="32"/>
      <c r="H53" s="32"/>
      <c r="I53" s="32"/>
      <c r="J53" s="32"/>
      <c r="K53" s="32"/>
      <c r="L53" s="32"/>
    </row>
    <row r="54" spans="1:12" ht="15" customHeight="1">
      <c r="B54" s="32"/>
      <c r="C54" s="32"/>
      <c r="D54" s="32"/>
      <c r="E54" s="32"/>
      <c r="F54" s="32"/>
      <c r="G54" s="32"/>
      <c r="H54" s="32"/>
      <c r="I54" s="32"/>
      <c r="J54" s="32"/>
      <c r="K54" s="32"/>
      <c r="L54" s="32"/>
    </row>
    <row r="55" spans="1:12" ht="3.95" customHeight="1">
      <c r="B55" s="468"/>
      <c r="C55" s="469"/>
      <c r="D55" s="422"/>
      <c r="E55" s="470"/>
      <c r="F55" s="470"/>
      <c r="G55" s="470"/>
      <c r="H55" s="471"/>
      <c r="I55" s="471"/>
      <c r="J55" s="471"/>
      <c r="K55" s="471"/>
      <c r="L55" s="471"/>
    </row>
    <row r="56" spans="1:12" ht="3.95" customHeight="1">
      <c r="B56" s="455"/>
      <c r="C56" s="456"/>
      <c r="D56" s="25"/>
      <c r="E56" s="464"/>
      <c r="F56" s="464"/>
      <c r="G56" s="464"/>
      <c r="H56" s="467"/>
      <c r="I56" s="467"/>
      <c r="J56" s="467"/>
      <c r="K56" s="467"/>
      <c r="L56" s="467"/>
    </row>
    <row r="57" spans="1:12" ht="15" customHeight="1">
      <c r="A57" s="383" t="s">
        <v>33</v>
      </c>
      <c r="B57" s="375" t="s">
        <v>357</v>
      </c>
      <c r="C57" s="32"/>
      <c r="D57" s="32"/>
      <c r="E57" s="453">
        <v>2022</v>
      </c>
      <c r="F57" s="453">
        <f t="shared" ref="F57:L57" si="1">+E57+1</f>
        <v>2023</v>
      </c>
      <c r="G57" s="453">
        <f t="shared" si="1"/>
        <v>2024</v>
      </c>
      <c r="H57" s="454">
        <f t="shared" si="1"/>
        <v>2025</v>
      </c>
      <c r="I57" s="454">
        <f t="shared" si="1"/>
        <v>2026</v>
      </c>
      <c r="J57" s="454">
        <f t="shared" si="1"/>
        <v>2027</v>
      </c>
      <c r="K57" s="454">
        <f t="shared" si="1"/>
        <v>2028</v>
      </c>
      <c r="L57" s="454">
        <f t="shared" si="1"/>
        <v>2029</v>
      </c>
    </row>
    <row r="58" spans="1:12" ht="3.95" customHeight="1">
      <c r="B58" s="36"/>
      <c r="C58" s="36"/>
      <c r="D58" s="36"/>
      <c r="E58" s="36"/>
      <c r="F58" s="36"/>
      <c r="G58" s="36"/>
      <c r="H58" s="36"/>
      <c r="I58" s="36"/>
      <c r="J58" s="36"/>
      <c r="K58" s="36"/>
      <c r="L58" s="36"/>
    </row>
    <row r="59" spans="1:12" ht="15" customHeight="1">
      <c r="B59" s="378" t="s">
        <v>355</v>
      </c>
      <c r="D59" s="472" t="e">
        <f>+_xlfn.XLOOKUP($B59,#REF!,#REF!)</f>
        <v>#REF!</v>
      </c>
      <c r="E59" s="58">
        <f>FCFF!H31</f>
        <v>1777159</v>
      </c>
      <c r="F59" s="58">
        <f>FCFF!N31</f>
        <v>3146217</v>
      </c>
      <c r="G59" s="413">
        <f>FCFF!T31</f>
        <v>2326443</v>
      </c>
      <c r="H59" s="473">
        <f>+H50</f>
        <v>350000</v>
      </c>
      <c r="I59" s="473">
        <f t="shared" ref="I59:L59" si="2">+I50</f>
        <v>352000</v>
      </c>
      <c r="J59" s="473">
        <f t="shared" si="2"/>
        <v>350000</v>
      </c>
      <c r="K59" s="473">
        <f t="shared" si="2"/>
        <v>352000</v>
      </c>
      <c r="L59" s="473">
        <f t="shared" si="2"/>
        <v>350000</v>
      </c>
    </row>
    <row r="60" spans="1:12" s="458" customFormat="1" ht="15" customHeight="1">
      <c r="A60" s="383"/>
      <c r="B60" s="31" t="s">
        <v>358</v>
      </c>
      <c r="C60" s="26"/>
      <c r="D60" s="26"/>
      <c r="E60" s="306">
        <f>E59/IS!N18-1</f>
        <v>0.31740261396143921</v>
      </c>
      <c r="F60" s="306">
        <f>F59/E59-1</f>
        <v>0.77036325956203133</v>
      </c>
      <c r="G60" s="414">
        <f>G59/F59-1</f>
        <v>-0.26055863279614855</v>
      </c>
      <c r="H60" s="306">
        <f t="shared" ref="H60:L60" si="3">H59/G59-1</f>
        <v>-0.84955573809459328</v>
      </c>
      <c r="I60" s="306">
        <f t="shared" si="3"/>
        <v>5.7142857142857828E-3</v>
      </c>
      <c r="J60" s="306">
        <f t="shared" si="3"/>
        <v>-5.6818181818182323E-3</v>
      </c>
      <c r="K60" s="306">
        <f t="shared" si="3"/>
        <v>5.7142857142857828E-3</v>
      </c>
      <c r="L60" s="306">
        <f t="shared" si="3"/>
        <v>-5.6818181818182323E-3</v>
      </c>
    </row>
    <row r="61" spans="1:12" ht="15" customHeight="1">
      <c r="B61" s="402"/>
      <c r="E61" s="57"/>
      <c r="F61" s="57"/>
      <c r="G61" s="415"/>
      <c r="H61" s="435"/>
      <c r="I61" s="435"/>
      <c r="J61" s="435"/>
      <c r="K61" s="435"/>
      <c r="L61" s="435"/>
    </row>
    <row r="62" spans="1:12" ht="15" customHeight="1">
      <c r="B62" s="378" t="s">
        <v>359</v>
      </c>
      <c r="E62" s="58">
        <f>FCFF!H34</f>
        <v>1440100</v>
      </c>
      <c r="F62" s="58">
        <f>FCFF!N34</f>
        <v>1949760</v>
      </c>
      <c r="G62" s="413">
        <f>FCFF!T34</f>
        <v>1784872</v>
      </c>
      <c r="H62" s="473">
        <f>H63*H$59</f>
        <v>0</v>
      </c>
      <c r="I62" s="473">
        <f>I63*I$59</f>
        <v>0</v>
      </c>
      <c r="J62" s="473">
        <f>J63*J$59</f>
        <v>0</v>
      </c>
      <c r="K62" s="473">
        <f>K63*K$59</f>
        <v>0</v>
      </c>
      <c r="L62" s="473">
        <f>L63*L$59</f>
        <v>0</v>
      </c>
    </row>
    <row r="63" spans="1:12" s="458" customFormat="1" ht="15" customHeight="1">
      <c r="A63" s="383"/>
      <c r="B63" s="31" t="s">
        <v>360</v>
      </c>
      <c r="C63" s="26"/>
      <c r="D63" s="26"/>
      <c r="E63" s="306">
        <f>E62/E59</f>
        <v>0.81033829837397775</v>
      </c>
      <c r="F63" s="306">
        <f t="shared" ref="F63:G63" si="4">F62/F59</f>
        <v>0.61971567758994373</v>
      </c>
      <c r="G63" s="414">
        <f t="shared" si="4"/>
        <v>0.76721071610179148</v>
      </c>
      <c r="H63" s="474"/>
      <c r="I63" s="474"/>
      <c r="J63" s="474"/>
      <c r="K63" s="474"/>
      <c r="L63" s="475"/>
    </row>
    <row r="64" spans="1:12" ht="15" customHeight="1">
      <c r="G64" s="205"/>
    </row>
    <row r="65" spans="2:12" ht="15" customHeight="1">
      <c r="B65" s="378" t="s">
        <v>361</v>
      </c>
      <c r="E65" s="58">
        <f>FCFF!H37</f>
        <v>80241</v>
      </c>
      <c r="F65" s="58">
        <f>FCFF!N37</f>
        <v>45818</v>
      </c>
      <c r="G65" s="413">
        <f>FCFF!T37</f>
        <v>0</v>
      </c>
      <c r="H65" s="473">
        <f>+H66*H62</f>
        <v>0</v>
      </c>
      <c r="I65" s="473">
        <f t="shared" ref="I65:L65" si="5">+I66*I62</f>
        <v>0</v>
      </c>
      <c r="J65" s="473">
        <f t="shared" si="5"/>
        <v>0</v>
      </c>
      <c r="K65" s="473">
        <f t="shared" si="5"/>
        <v>0</v>
      </c>
      <c r="L65" s="473">
        <f t="shared" si="5"/>
        <v>0</v>
      </c>
    </row>
    <row r="66" spans="2:12" s="458" customFormat="1" ht="15" customHeight="1">
      <c r="B66" s="31" t="s">
        <v>362</v>
      </c>
      <c r="C66" s="26"/>
      <c r="D66" s="26"/>
      <c r="E66" s="306">
        <f>E65/E62</f>
        <v>5.5719047288382749E-2</v>
      </c>
      <c r="F66" s="306">
        <f t="shared" ref="F66:G66" si="6">F65/F62</f>
        <v>2.3499302478253735E-2</v>
      </c>
      <c r="G66" s="414">
        <f t="shared" si="6"/>
        <v>0</v>
      </c>
      <c r="H66" s="474"/>
      <c r="I66" s="474"/>
      <c r="J66" s="474"/>
      <c r="K66" s="474"/>
      <c r="L66" s="474"/>
    </row>
    <row r="67" spans="2:12" ht="15" customHeight="1">
      <c r="B67" s="31"/>
      <c r="E67" s="181"/>
      <c r="F67" s="181"/>
      <c r="G67" s="416"/>
      <c r="H67" s="25"/>
      <c r="I67" s="25"/>
      <c r="J67" s="25"/>
      <c r="K67" s="25"/>
      <c r="L67" s="25"/>
    </row>
    <row r="68" spans="2:12" ht="15" customHeight="1">
      <c r="B68" s="378" t="s">
        <v>363</v>
      </c>
      <c r="E68" s="58">
        <f>FCFF!H40</f>
        <v>337059</v>
      </c>
      <c r="F68" s="58">
        <f>FCFF!N40</f>
        <v>1196457</v>
      </c>
      <c r="G68" s="413">
        <f>FCFF!T40</f>
        <v>541571</v>
      </c>
      <c r="H68" s="473">
        <f>+H59-H62-H65</f>
        <v>350000</v>
      </c>
      <c r="I68" s="473">
        <f t="shared" ref="I68:L68" si="7">+I59-I62-I65</f>
        <v>352000</v>
      </c>
      <c r="J68" s="473">
        <f t="shared" si="7"/>
        <v>350000</v>
      </c>
      <c r="K68" s="473">
        <f t="shared" si="7"/>
        <v>352000</v>
      </c>
      <c r="L68" s="473">
        <f t="shared" si="7"/>
        <v>350000</v>
      </c>
    </row>
    <row r="69" spans="2:12" s="458" customFormat="1" ht="15" customHeight="1">
      <c r="B69" s="31" t="s">
        <v>360</v>
      </c>
      <c r="C69" s="26"/>
      <c r="D69" s="26"/>
      <c r="E69" s="308">
        <f>E68/E59</f>
        <v>0.18966170162602219</v>
      </c>
      <c r="F69" s="308">
        <f t="shared" ref="F69:G69" si="8">F68/F59</f>
        <v>0.38028432241005627</v>
      </c>
      <c r="G69" s="417">
        <f t="shared" si="8"/>
        <v>0.23278928389820855</v>
      </c>
      <c r="H69" s="476">
        <f t="shared" ref="H69:L69" si="9">IFERROR(H68/H$59,"")</f>
        <v>1</v>
      </c>
      <c r="I69" s="476">
        <f t="shared" si="9"/>
        <v>1</v>
      </c>
      <c r="J69" s="476">
        <f t="shared" si="9"/>
        <v>1</v>
      </c>
      <c r="K69" s="476">
        <f t="shared" si="9"/>
        <v>1</v>
      </c>
      <c r="L69" s="476">
        <f t="shared" si="9"/>
        <v>1</v>
      </c>
    </row>
    <row r="70" spans="2:12" ht="15" customHeight="1">
      <c r="B70" s="378"/>
      <c r="E70" s="66"/>
      <c r="F70" s="66"/>
      <c r="G70" s="418"/>
      <c r="H70" s="435"/>
      <c r="I70" s="435"/>
      <c r="J70" s="435"/>
      <c r="K70" s="435"/>
      <c r="L70" s="435"/>
    </row>
    <row r="71" spans="2:12" ht="15" customHeight="1">
      <c r="B71" s="378" t="s">
        <v>364</v>
      </c>
      <c r="E71" s="68">
        <f>FCFF!H43</f>
        <v>198631</v>
      </c>
      <c r="F71" s="68">
        <f>FCFF!N43</f>
        <v>232207</v>
      </c>
      <c r="G71" s="419">
        <f>FCFF!T43</f>
        <v>252625</v>
      </c>
      <c r="H71" s="473">
        <f>+H72*H59</f>
        <v>0</v>
      </c>
      <c r="I71" s="473">
        <f t="shared" ref="I71:L71" si="10">+I72*I59</f>
        <v>0</v>
      </c>
      <c r="J71" s="473">
        <f t="shared" si="10"/>
        <v>0</v>
      </c>
      <c r="K71" s="473">
        <f t="shared" si="10"/>
        <v>0</v>
      </c>
      <c r="L71" s="473">
        <f t="shared" si="10"/>
        <v>0</v>
      </c>
    </row>
    <row r="72" spans="2:12" s="458" customFormat="1" ht="15" customHeight="1">
      <c r="B72" s="31" t="s">
        <v>360</v>
      </c>
      <c r="C72" s="26"/>
      <c r="D72" s="26"/>
      <c r="E72" s="308">
        <f>E71/E59</f>
        <v>0.11176884004188709</v>
      </c>
      <c r="F72" s="308">
        <f t="shared" ref="F72:G72" si="11">F71/F59</f>
        <v>7.3805144400402131E-2</v>
      </c>
      <c r="G72" s="417">
        <f t="shared" si="11"/>
        <v>0.10858851903958103</v>
      </c>
      <c r="H72" s="474"/>
      <c r="I72" s="474"/>
      <c r="J72" s="474"/>
      <c r="K72" s="474"/>
      <c r="L72" s="475"/>
    </row>
    <row r="73" spans="2:12" s="479" customFormat="1" ht="15" customHeight="1">
      <c r="B73" s="402"/>
      <c r="C73" s="477"/>
      <c r="D73" s="477"/>
      <c r="E73" s="66"/>
      <c r="F73" s="66"/>
      <c r="G73" s="418"/>
      <c r="H73" s="478"/>
      <c r="I73" s="478"/>
      <c r="J73" s="478"/>
      <c r="K73" s="478"/>
      <c r="L73" s="478"/>
    </row>
    <row r="74" spans="2:12" ht="15" customHeight="1">
      <c r="B74" s="378" t="s">
        <v>365</v>
      </c>
      <c r="E74" s="68">
        <f>FCFF!H46</f>
        <v>0</v>
      </c>
      <c r="F74" s="68">
        <f>FCFF!N46</f>
        <v>0</v>
      </c>
      <c r="G74" s="419">
        <f>FCFF!T46</f>
        <v>0</v>
      </c>
      <c r="H74" s="473">
        <f>+H75*H68</f>
        <v>0</v>
      </c>
      <c r="I74" s="473">
        <f t="shared" ref="I74:L74" si="12">+I75*I68</f>
        <v>0</v>
      </c>
      <c r="J74" s="473">
        <f t="shared" si="12"/>
        <v>0</v>
      </c>
      <c r="K74" s="473">
        <f t="shared" si="12"/>
        <v>0</v>
      </c>
      <c r="L74" s="473">
        <f t="shared" si="12"/>
        <v>0</v>
      </c>
    </row>
    <row r="75" spans="2:12" ht="15" customHeight="1">
      <c r="B75" s="31" t="s">
        <v>366</v>
      </c>
      <c r="E75" s="308">
        <f>E74/E68</f>
        <v>0</v>
      </c>
      <c r="F75" s="308">
        <f t="shared" ref="F75:G75" si="13">F74/F68</f>
        <v>0</v>
      </c>
      <c r="G75" s="417">
        <f t="shared" si="13"/>
        <v>0</v>
      </c>
      <c r="H75" s="474"/>
      <c r="I75" s="474"/>
      <c r="J75" s="474"/>
      <c r="K75" s="474"/>
      <c r="L75" s="474"/>
    </row>
    <row r="76" spans="2:12" ht="15" customHeight="1">
      <c r="B76" s="31"/>
      <c r="E76" s="66"/>
      <c r="F76" s="66"/>
      <c r="G76" s="418"/>
      <c r="H76" s="433"/>
      <c r="I76" s="433"/>
      <c r="J76" s="433"/>
      <c r="K76" s="433"/>
      <c r="L76" s="433"/>
    </row>
    <row r="77" spans="2:12" ht="15" customHeight="1">
      <c r="B77" s="378" t="s">
        <v>367</v>
      </c>
      <c r="E77" s="68">
        <f>FCFF!H49</f>
        <v>80241</v>
      </c>
      <c r="F77" s="68">
        <f>FCFF!N49</f>
        <v>45818</v>
      </c>
      <c r="G77" s="419">
        <f>FCFF!T49</f>
        <v>0</v>
      </c>
      <c r="H77" s="473">
        <f>+H80+H83</f>
        <v>0</v>
      </c>
      <c r="I77" s="473">
        <f t="shared" ref="I77:L77" si="14">+I80+I83</f>
        <v>0</v>
      </c>
      <c r="J77" s="473">
        <f t="shared" si="14"/>
        <v>0</v>
      </c>
      <c r="K77" s="473">
        <f t="shared" si="14"/>
        <v>0</v>
      </c>
      <c r="L77" s="473">
        <f t="shared" si="14"/>
        <v>0</v>
      </c>
    </row>
    <row r="78" spans="2:12" s="458" customFormat="1" ht="15" customHeight="1">
      <c r="B78" s="31" t="s">
        <v>368</v>
      </c>
      <c r="C78" s="26"/>
      <c r="D78" s="26"/>
      <c r="E78" s="308">
        <f>E77/(E111+E114)</f>
        <v>0.10824231191041793</v>
      </c>
      <c r="F78" s="308">
        <f>F77/(F111+F114)</f>
        <v>5.6956179617449587E-2</v>
      </c>
      <c r="G78" s="417">
        <f>G77/(G111+G114)</f>
        <v>0</v>
      </c>
      <c r="H78" s="308">
        <f t="shared" ref="H78:L78" si="15">H77/(H111+H114)</f>
        <v>0</v>
      </c>
      <c r="I78" s="308">
        <f t="shared" si="15"/>
        <v>0</v>
      </c>
      <c r="J78" s="308">
        <f t="shared" si="15"/>
        <v>0</v>
      </c>
      <c r="K78" s="308">
        <f t="shared" si="15"/>
        <v>0</v>
      </c>
      <c r="L78" s="308">
        <f t="shared" si="15"/>
        <v>0</v>
      </c>
    </row>
    <row r="79" spans="2:12" ht="15" customHeight="1">
      <c r="B79" s="31"/>
      <c r="E79" s="308"/>
      <c r="F79" s="308"/>
      <c r="G79" s="417"/>
      <c r="H79" s="480"/>
      <c r="I79" s="480"/>
      <c r="J79" s="480"/>
      <c r="K79" s="480"/>
      <c r="L79" s="480"/>
    </row>
    <row r="80" spans="2:12" ht="15" customHeight="1">
      <c r="B80" s="481" t="s">
        <v>369</v>
      </c>
      <c r="E80" s="68">
        <f>FCFF!H52</f>
        <v>40120.5</v>
      </c>
      <c r="F80" s="68">
        <f>FCFF!N52</f>
        <v>22909</v>
      </c>
      <c r="G80" s="419">
        <f>FCFF!T52</f>
        <v>0</v>
      </c>
      <c r="H80" s="482">
        <f>H81*G111</f>
        <v>0</v>
      </c>
      <c r="I80" s="482">
        <f t="shared" ref="I80:L80" si="16">I81*H111</f>
        <v>0</v>
      </c>
      <c r="J80" s="482">
        <f t="shared" si="16"/>
        <v>0</v>
      </c>
      <c r="K80" s="482">
        <f t="shared" si="16"/>
        <v>0</v>
      </c>
      <c r="L80" s="482">
        <f t="shared" si="16"/>
        <v>0</v>
      </c>
    </row>
    <row r="81" spans="2:12" ht="15" customHeight="1">
      <c r="B81" s="302" t="s">
        <v>370</v>
      </c>
      <c r="E81" s="308">
        <f>E80/E111</f>
        <v>5.9072664950851922E-2</v>
      </c>
      <c r="F81" s="308">
        <f>FCFF!N53</f>
        <v>3.0769334085475594E-2</v>
      </c>
      <c r="G81" s="417">
        <f>FCFF!T53</f>
        <v>0</v>
      </c>
      <c r="H81" s="474"/>
      <c r="I81" s="474"/>
      <c r="J81" s="474"/>
      <c r="K81" s="474"/>
      <c r="L81" s="474"/>
    </row>
    <row r="82" spans="2:12" ht="15" customHeight="1">
      <c r="B82" s="31"/>
      <c r="E82" s="308"/>
      <c r="F82" s="308"/>
      <c r="G82" s="417"/>
    </row>
    <row r="83" spans="2:12" ht="15" customHeight="1">
      <c r="B83" s="481" t="s">
        <v>371</v>
      </c>
      <c r="E83" s="68">
        <f>FCFF!H55</f>
        <v>40120.5</v>
      </c>
      <c r="F83" s="68">
        <f>FCFF!N55</f>
        <v>22909</v>
      </c>
      <c r="G83" s="419">
        <f>FCFF!T55</f>
        <v>0</v>
      </c>
      <c r="H83" s="473">
        <f>H84*G114</f>
        <v>0</v>
      </c>
      <c r="I83" s="473">
        <f t="shared" ref="I83:L83" si="17">I84*H114</f>
        <v>0</v>
      </c>
      <c r="J83" s="473">
        <f t="shared" si="17"/>
        <v>0</v>
      </c>
      <c r="K83" s="473">
        <f t="shared" si="17"/>
        <v>0</v>
      </c>
      <c r="L83" s="473">
        <f t="shared" si="17"/>
        <v>0</v>
      </c>
    </row>
    <row r="84" spans="2:12" ht="15" customHeight="1">
      <c r="B84" s="302" t="s">
        <v>372</v>
      </c>
      <c r="C84" s="483"/>
      <c r="D84" s="483"/>
      <c r="E84" s="308">
        <f>E83/E114</f>
        <v>0.64567809839548096</v>
      </c>
      <c r="F84" s="308">
        <f>F83/F114</f>
        <v>0.38243493648064369</v>
      </c>
      <c r="G84" s="417">
        <f>G83/G114</f>
        <v>0</v>
      </c>
      <c r="H84" s="474"/>
      <c r="I84" s="474"/>
      <c r="J84" s="474"/>
      <c r="K84" s="474"/>
      <c r="L84" s="475"/>
    </row>
    <row r="85" spans="2:12" ht="15" customHeight="1">
      <c r="B85" s="484"/>
      <c r="C85" s="483"/>
      <c r="D85" s="483"/>
      <c r="E85" s="66"/>
      <c r="F85" s="66"/>
      <c r="G85" s="418"/>
      <c r="H85" s="476"/>
      <c r="I85" s="476"/>
      <c r="J85" s="476"/>
      <c r="K85" s="476"/>
      <c r="L85" s="476"/>
    </row>
    <row r="86" spans="2:12" ht="15" customHeight="1">
      <c r="B86" s="378" t="s">
        <v>374</v>
      </c>
      <c r="C86" s="483"/>
      <c r="D86" s="483"/>
      <c r="E86" s="68">
        <f>FCFF!H61</f>
        <v>138428</v>
      </c>
      <c r="F86" s="68">
        <f>FCFF!N61</f>
        <v>964250</v>
      </c>
      <c r="G86" s="419">
        <f>FCFF!T61</f>
        <v>288946</v>
      </c>
      <c r="H86" s="473">
        <f>H68-H71-H74-H77</f>
        <v>350000</v>
      </c>
      <c r="I86" s="473">
        <f t="shared" ref="I86:L86" si="18">I68-I71-I74-I77</f>
        <v>352000</v>
      </c>
      <c r="J86" s="473">
        <f t="shared" si="18"/>
        <v>350000</v>
      </c>
      <c r="K86" s="473">
        <f t="shared" si="18"/>
        <v>352000</v>
      </c>
      <c r="L86" s="473">
        <f t="shared" si="18"/>
        <v>350000</v>
      </c>
    </row>
    <row r="87" spans="2:12" ht="15" customHeight="1">
      <c r="B87" s="31" t="s">
        <v>360</v>
      </c>
      <c r="C87" s="483"/>
      <c r="D87" s="483"/>
      <c r="E87" s="308">
        <f t="shared" ref="E87:L87" si="19">E86/E59</f>
        <v>7.7892861584135123E-2</v>
      </c>
      <c r="F87" s="308">
        <f t="shared" si="19"/>
        <v>0.30647917800965413</v>
      </c>
      <c r="G87" s="417">
        <f t="shared" si="19"/>
        <v>0.12420076485862752</v>
      </c>
      <c r="H87" s="308">
        <f t="shared" si="19"/>
        <v>1</v>
      </c>
      <c r="I87" s="308">
        <f t="shared" si="19"/>
        <v>1</v>
      </c>
      <c r="J87" s="308">
        <f t="shared" si="19"/>
        <v>1</v>
      </c>
      <c r="K87" s="308">
        <f t="shared" si="19"/>
        <v>1</v>
      </c>
      <c r="L87" s="308">
        <f t="shared" si="19"/>
        <v>1</v>
      </c>
    </row>
    <row r="88" spans="2:12" ht="15" customHeight="1">
      <c r="B88" s="31"/>
      <c r="C88" s="483"/>
      <c r="D88" s="483"/>
      <c r="E88" s="476"/>
      <c r="F88" s="476"/>
      <c r="G88" s="485"/>
      <c r="H88" s="476"/>
      <c r="I88" s="476"/>
      <c r="J88" s="476"/>
      <c r="K88" s="476"/>
      <c r="L88" s="476"/>
    </row>
    <row r="89" spans="2:12" ht="15" customHeight="1">
      <c r="B89" s="378" t="s">
        <v>497</v>
      </c>
      <c r="C89" s="483"/>
      <c r="D89" s="483"/>
      <c r="E89" s="68">
        <f>IS!T38</f>
        <v>-585</v>
      </c>
      <c r="F89" s="68">
        <f>IS!Z38</f>
        <v>-17970</v>
      </c>
      <c r="G89" s="419">
        <f>IS!AF38</f>
        <v>-31726</v>
      </c>
      <c r="H89" s="66">
        <f>+H164</f>
        <v>0</v>
      </c>
      <c r="I89" s="66">
        <f t="shared" ref="I89:L89" si="20">+I164</f>
        <v>0</v>
      </c>
      <c r="J89" s="66">
        <f t="shared" si="20"/>
        <v>0</v>
      </c>
      <c r="K89" s="66">
        <f t="shared" si="20"/>
        <v>0</v>
      </c>
      <c r="L89" s="66">
        <f t="shared" si="20"/>
        <v>0</v>
      </c>
    </row>
    <row r="90" spans="2:12" ht="15" customHeight="1">
      <c r="B90" s="378"/>
      <c r="C90" s="483"/>
      <c r="D90" s="483"/>
      <c r="E90" s="476"/>
      <c r="F90" s="476"/>
      <c r="G90" s="485"/>
      <c r="H90" s="476"/>
      <c r="I90" s="476"/>
      <c r="J90" s="476"/>
      <c r="K90" s="476"/>
      <c r="L90" s="476"/>
    </row>
    <row r="91" spans="2:12" ht="15" customHeight="1">
      <c r="B91" s="378" t="s">
        <v>498</v>
      </c>
      <c r="C91" s="483"/>
      <c r="D91" s="483"/>
      <c r="E91" s="68">
        <f>IS!T42</f>
        <v>160906</v>
      </c>
      <c r="F91" s="68">
        <f>IS!Z42</f>
        <v>997151</v>
      </c>
      <c r="G91" s="419">
        <f>IS!AF42</f>
        <v>336465</v>
      </c>
      <c r="H91" s="66">
        <f>+H86-H89</f>
        <v>350000</v>
      </c>
      <c r="I91" s="66">
        <f t="shared" ref="I91:L91" si="21">+I86-I89</f>
        <v>352000</v>
      </c>
      <c r="J91" s="66">
        <f t="shared" si="21"/>
        <v>350000</v>
      </c>
      <c r="K91" s="66">
        <f t="shared" si="21"/>
        <v>352000</v>
      </c>
      <c r="L91" s="66">
        <f t="shared" si="21"/>
        <v>350000</v>
      </c>
    </row>
    <row r="92" spans="2:12" ht="15" customHeight="1">
      <c r="B92" s="31" t="s">
        <v>360</v>
      </c>
      <c r="C92" s="483"/>
      <c r="D92" s="483"/>
      <c r="E92" s="476">
        <f t="shared" ref="E92:L92" si="22">E91/E59</f>
        <v>9.0541138975184551E-2</v>
      </c>
      <c r="F92" s="476">
        <f t="shared" si="22"/>
        <v>0.31693649865854773</v>
      </c>
      <c r="G92" s="486">
        <f t="shared" si="22"/>
        <v>0.14462636737715043</v>
      </c>
      <c r="H92" s="476">
        <f t="shared" si="22"/>
        <v>1</v>
      </c>
      <c r="I92" s="476">
        <f t="shared" si="22"/>
        <v>1</v>
      </c>
      <c r="J92" s="476">
        <f t="shared" si="22"/>
        <v>1</v>
      </c>
      <c r="K92" s="476">
        <f t="shared" si="22"/>
        <v>1</v>
      </c>
      <c r="L92" s="476">
        <f t="shared" si="22"/>
        <v>1</v>
      </c>
    </row>
    <row r="93" spans="2:12" ht="15" customHeight="1">
      <c r="B93" s="76"/>
      <c r="C93" s="483"/>
      <c r="D93" s="483"/>
      <c r="E93" s="476"/>
      <c r="F93" s="476"/>
      <c r="G93" s="486"/>
      <c r="H93" s="476"/>
      <c r="I93" s="476"/>
      <c r="J93" s="476"/>
      <c r="K93" s="476"/>
      <c r="L93" s="476"/>
    </row>
    <row r="94" spans="2:12" ht="15" customHeight="1">
      <c r="B94" s="378" t="s">
        <v>499</v>
      </c>
      <c r="C94" s="483"/>
      <c r="D94" s="483"/>
      <c r="E94" s="68">
        <f>IS!T45</f>
        <v>32501.11</v>
      </c>
      <c r="F94" s="68">
        <f>IS!Z45</f>
        <v>241524.21</v>
      </c>
      <c r="G94" s="419">
        <f>IS!AF45</f>
        <v>78752.740000000005</v>
      </c>
      <c r="H94" s="66">
        <f>H95*H91</f>
        <v>0</v>
      </c>
      <c r="I94" s="66">
        <f t="shared" ref="I94:L94" si="23">I95*I91</f>
        <v>0</v>
      </c>
      <c r="J94" s="66">
        <f t="shared" si="23"/>
        <v>0</v>
      </c>
      <c r="K94" s="66">
        <f t="shared" si="23"/>
        <v>0</v>
      </c>
      <c r="L94" s="66">
        <f t="shared" si="23"/>
        <v>0</v>
      </c>
    </row>
    <row r="95" spans="2:12" ht="15" customHeight="1">
      <c r="B95" s="31" t="s">
        <v>500</v>
      </c>
      <c r="C95" s="483"/>
      <c r="D95" s="483"/>
      <c r="E95" s="476">
        <f>E94/E91</f>
        <v>0.20198817943395522</v>
      </c>
      <c r="F95" s="476">
        <f t="shared" ref="F95:G95" si="24">F94/F91</f>
        <v>0.24221427847938776</v>
      </c>
      <c r="G95" s="487">
        <f t="shared" si="24"/>
        <v>0.23405923350125571</v>
      </c>
      <c r="H95" s="474"/>
      <c r="I95" s="474"/>
      <c r="J95" s="474"/>
      <c r="K95" s="474"/>
      <c r="L95" s="475"/>
    </row>
    <row r="96" spans="2:12" ht="15" customHeight="1">
      <c r="G96" s="205"/>
    </row>
    <row r="97" spans="1:12" ht="15" customHeight="1">
      <c r="B97" s="378" t="s">
        <v>501</v>
      </c>
      <c r="C97" s="483"/>
      <c r="D97" s="483"/>
      <c r="E97" s="68">
        <f>IS!T47</f>
        <v>128404.89</v>
      </c>
      <c r="F97" s="68">
        <f>IS!Z47</f>
        <v>755626.79</v>
      </c>
      <c r="G97" s="419">
        <f>IS!AF47</f>
        <v>257712.26</v>
      </c>
      <c r="H97" s="66">
        <f>H91-H94</f>
        <v>350000</v>
      </c>
      <c r="I97" s="66">
        <f t="shared" ref="I97:L97" si="25">I91-I94</f>
        <v>352000</v>
      </c>
      <c r="J97" s="66">
        <f t="shared" si="25"/>
        <v>350000</v>
      </c>
      <c r="K97" s="66">
        <f t="shared" si="25"/>
        <v>352000</v>
      </c>
      <c r="L97" s="66">
        <f t="shared" si="25"/>
        <v>350000</v>
      </c>
    </row>
    <row r="98" spans="1:12" ht="15" customHeight="1">
      <c r="B98" s="31" t="s">
        <v>360</v>
      </c>
      <c r="C98" s="483"/>
      <c r="D98" s="483"/>
      <c r="E98" s="476">
        <f t="shared" ref="E98:L98" si="26">E97/E59</f>
        <v>7.2252899149710295E-2</v>
      </c>
      <c r="F98" s="476">
        <f t="shared" si="26"/>
        <v>0.24016995331218413</v>
      </c>
      <c r="G98" s="486">
        <f t="shared" si="26"/>
        <v>0.11077523068478359</v>
      </c>
      <c r="H98" s="476">
        <f t="shared" si="26"/>
        <v>1</v>
      </c>
      <c r="I98" s="476">
        <f t="shared" si="26"/>
        <v>1</v>
      </c>
      <c r="J98" s="476">
        <f t="shared" si="26"/>
        <v>1</v>
      </c>
      <c r="K98" s="476">
        <f t="shared" si="26"/>
        <v>1</v>
      </c>
      <c r="L98" s="476">
        <f t="shared" si="26"/>
        <v>1</v>
      </c>
    </row>
    <row r="99" spans="1:12" ht="15" customHeight="1">
      <c r="B99" s="31"/>
      <c r="C99" s="483"/>
      <c r="D99" s="483"/>
      <c r="E99" s="488"/>
      <c r="F99" s="488"/>
      <c r="G99" s="489"/>
      <c r="H99" s="476"/>
      <c r="I99" s="476"/>
      <c r="J99" s="476"/>
      <c r="K99" s="476"/>
      <c r="L99" s="476"/>
    </row>
    <row r="100" spans="1:12" ht="15" customHeight="1">
      <c r="A100" s="383" t="s">
        <v>33</v>
      </c>
      <c r="B100" s="375" t="s">
        <v>377</v>
      </c>
      <c r="C100" s="32"/>
      <c r="D100" s="32"/>
      <c r="E100" s="453">
        <f t="shared" ref="E100:L100" si="27">E57</f>
        <v>2022</v>
      </c>
      <c r="F100" s="453">
        <f t="shared" si="27"/>
        <v>2023</v>
      </c>
      <c r="G100" s="453">
        <f t="shared" si="27"/>
        <v>2024</v>
      </c>
      <c r="H100" s="454">
        <f t="shared" si="27"/>
        <v>2025</v>
      </c>
      <c r="I100" s="454">
        <f t="shared" si="27"/>
        <v>2026</v>
      </c>
      <c r="J100" s="454">
        <f t="shared" si="27"/>
        <v>2027</v>
      </c>
      <c r="K100" s="454">
        <f t="shared" si="27"/>
        <v>2028</v>
      </c>
      <c r="L100" s="454">
        <f t="shared" si="27"/>
        <v>2029</v>
      </c>
    </row>
    <row r="101" spans="1:12" ht="3.95" customHeight="1">
      <c r="B101" s="490"/>
      <c r="C101" s="36"/>
      <c r="D101" s="36"/>
      <c r="E101" s="36"/>
      <c r="F101" s="36"/>
      <c r="G101" s="36"/>
      <c r="H101" s="36"/>
      <c r="I101" s="36"/>
      <c r="J101" s="36"/>
      <c r="K101" s="36"/>
      <c r="L101" s="36"/>
    </row>
    <row r="102" spans="1:12" ht="15" customHeight="1">
      <c r="B102" s="378" t="s">
        <v>406</v>
      </c>
      <c r="E102" s="68">
        <f>FCFF!H70</f>
        <v>169109</v>
      </c>
      <c r="F102" s="68">
        <f>FCFF!N70</f>
        <v>110980</v>
      </c>
      <c r="G102" s="419">
        <f>FCFF!T70</f>
        <v>138550</v>
      </c>
      <c r="H102" s="491">
        <f>+H103*H59/365</f>
        <v>0</v>
      </c>
      <c r="I102" s="491">
        <f t="shared" ref="I102:L102" si="28">+I103*I59/365</f>
        <v>0</v>
      </c>
      <c r="J102" s="491">
        <f t="shared" si="28"/>
        <v>0</v>
      </c>
      <c r="K102" s="491">
        <f>+K103*K59/366</f>
        <v>0</v>
      </c>
      <c r="L102" s="491">
        <f t="shared" si="28"/>
        <v>0</v>
      </c>
    </row>
    <row r="103" spans="1:12" ht="15" customHeight="1">
      <c r="B103" s="31" t="s">
        <v>407</v>
      </c>
      <c r="E103" s="324">
        <f>FCFF!H71</f>
        <v>34.732280566904819</v>
      </c>
      <c r="F103" s="324">
        <f>FCFF!N71</f>
        <v>12.875049623087028</v>
      </c>
      <c r="G103" s="420">
        <f>FCFF!T71</f>
        <v>21.737369022150983</v>
      </c>
      <c r="H103" s="492"/>
      <c r="I103" s="492"/>
      <c r="J103" s="492"/>
      <c r="K103" s="492"/>
      <c r="L103" s="492"/>
    </row>
    <row r="104" spans="1:12" ht="15" customHeight="1">
      <c r="B104" s="378"/>
      <c r="E104" s="97"/>
      <c r="F104" s="97"/>
      <c r="G104" s="421"/>
      <c r="H104" s="491"/>
      <c r="I104" s="491"/>
      <c r="J104" s="491"/>
      <c r="K104" s="491"/>
      <c r="L104" s="491"/>
    </row>
    <row r="105" spans="1:12" ht="15" customHeight="1">
      <c r="B105" s="378" t="s">
        <v>408</v>
      </c>
      <c r="E105" s="68">
        <f>FCFF!H73</f>
        <v>263316</v>
      </c>
      <c r="F105" s="68">
        <f>FCFF!N73</f>
        <v>284418</v>
      </c>
      <c r="G105" s="419">
        <f>FCFF!T73</f>
        <v>261782</v>
      </c>
      <c r="H105" s="491">
        <f>+H106*H62/365</f>
        <v>0</v>
      </c>
      <c r="I105" s="491">
        <f t="shared" ref="I105:L105" si="29">+I106*I62/365</f>
        <v>0</v>
      </c>
      <c r="J105" s="491">
        <f t="shared" si="29"/>
        <v>0</v>
      </c>
      <c r="K105" s="491">
        <f>+K106*K62/366</f>
        <v>0</v>
      </c>
      <c r="L105" s="491">
        <f t="shared" si="29"/>
        <v>0</v>
      </c>
    </row>
    <row r="106" spans="1:12" ht="15" customHeight="1">
      <c r="B106" s="31" t="s">
        <v>409</v>
      </c>
      <c r="E106" s="324">
        <f>FCFF!H74</f>
        <v>66.738657037705721</v>
      </c>
      <c r="F106" s="324">
        <f>FCFF!N74</f>
        <v>53.243768463810937</v>
      </c>
      <c r="G106" s="420">
        <f>FCFF!T74</f>
        <v>53.533491477259993</v>
      </c>
      <c r="H106" s="492"/>
      <c r="I106" s="492"/>
      <c r="J106" s="492"/>
      <c r="K106" s="492"/>
      <c r="L106" s="492"/>
    </row>
    <row r="107" spans="1:12" ht="15" customHeight="1">
      <c r="B107" s="378"/>
      <c r="E107" s="97"/>
      <c r="F107" s="97"/>
      <c r="G107" s="421"/>
    </row>
    <row r="108" spans="1:12" ht="15" customHeight="1">
      <c r="B108" s="378" t="s">
        <v>410</v>
      </c>
      <c r="E108" s="68">
        <f>FCFF!H76</f>
        <v>54581</v>
      </c>
      <c r="F108" s="68">
        <f>FCFF!N76</f>
        <v>81613</v>
      </c>
      <c r="G108" s="419">
        <f>FCFF!T76</f>
        <v>29130</v>
      </c>
      <c r="H108" s="491">
        <f>+H109*H59</f>
        <v>0</v>
      </c>
      <c r="I108" s="491">
        <f t="shared" ref="I108:L108" si="30">+I109*I59</f>
        <v>0</v>
      </c>
      <c r="J108" s="491">
        <f t="shared" si="30"/>
        <v>0</v>
      </c>
      <c r="K108" s="491">
        <f t="shared" si="30"/>
        <v>0</v>
      </c>
      <c r="L108" s="491">
        <f t="shared" si="30"/>
        <v>0</v>
      </c>
    </row>
    <row r="109" spans="1:12" s="458" customFormat="1" ht="15" customHeight="1">
      <c r="A109" s="383"/>
      <c r="B109" s="31" t="s">
        <v>360</v>
      </c>
      <c r="C109" s="26"/>
      <c r="D109" s="26"/>
      <c r="E109" s="308">
        <f>FCFF!H77</f>
        <v>3.0712502370356283E-2</v>
      </c>
      <c r="F109" s="308">
        <f>FCFF!N77</f>
        <v>2.5940041643662849E-2</v>
      </c>
      <c r="G109" s="417">
        <f>FCFF!T77</f>
        <v>1.2521260998012847E-2</v>
      </c>
      <c r="H109" s="474"/>
      <c r="I109" s="474"/>
      <c r="J109" s="474"/>
      <c r="K109" s="474"/>
      <c r="L109" s="474"/>
    </row>
    <row r="110" spans="1:12" ht="15" customHeight="1">
      <c r="B110" s="378"/>
      <c r="E110" s="97"/>
      <c r="F110" s="97"/>
      <c r="G110" s="421"/>
      <c r="H110" s="491"/>
      <c r="I110" s="491"/>
      <c r="J110" s="491"/>
      <c r="K110" s="491"/>
      <c r="L110" s="491"/>
    </row>
    <row r="111" spans="1:12" ht="15" customHeight="1">
      <c r="B111" s="378" t="s">
        <v>411</v>
      </c>
      <c r="E111" s="68">
        <f>FCFF!H79</f>
        <v>679172</v>
      </c>
      <c r="F111" s="68">
        <f>FCFF!N79</f>
        <v>744540</v>
      </c>
      <c r="G111" s="419">
        <f>FCFF!T79</f>
        <v>857234</v>
      </c>
      <c r="H111" s="66">
        <f>+G111-H112*H131-H80-H65</f>
        <v>857234</v>
      </c>
      <c r="I111" s="66">
        <f t="shared" ref="I111:L111" si="31">+H111-I112*I131-I80-I65</f>
        <v>857234</v>
      </c>
      <c r="J111" s="66">
        <f t="shared" si="31"/>
        <v>857234</v>
      </c>
      <c r="K111" s="66">
        <f t="shared" si="31"/>
        <v>857234</v>
      </c>
      <c r="L111" s="66">
        <f t="shared" si="31"/>
        <v>857234</v>
      </c>
    </row>
    <row r="112" spans="1:12" ht="15" customHeight="1">
      <c r="B112" s="31" t="s">
        <v>412</v>
      </c>
      <c r="E112" s="308">
        <f>FCFF!H80</f>
        <v>0</v>
      </c>
      <c r="F112" s="308">
        <f>FCFF!N80</f>
        <v>0</v>
      </c>
      <c r="G112" s="417">
        <f>FCFF!T80</f>
        <v>0</v>
      </c>
      <c r="H112" s="474"/>
      <c r="I112" s="474"/>
      <c r="J112" s="474"/>
      <c r="K112" s="474"/>
      <c r="L112" s="474"/>
    </row>
    <row r="113" spans="1:12" ht="15" customHeight="1">
      <c r="G113" s="205"/>
    </row>
    <row r="114" spans="1:12" ht="15" customHeight="1">
      <c r="B114" s="378" t="s">
        <v>502</v>
      </c>
      <c r="E114" s="68">
        <f>FCFF!H82</f>
        <v>62137</v>
      </c>
      <c r="F114" s="68">
        <f>FCFF!N82</f>
        <v>59903</v>
      </c>
      <c r="G114" s="419">
        <f>FCFF!T82</f>
        <v>61772</v>
      </c>
      <c r="H114" s="66">
        <f>+G114+H115*H74-(1-H112)*H131-H83</f>
        <v>61772</v>
      </c>
      <c r="I114" s="66">
        <f>+H114+I115*I74-(1-I112)*I131-I83</f>
        <v>61772</v>
      </c>
      <c r="J114" s="66">
        <f>+I114+J115*J74-(1-J112)*J131-J83</f>
        <v>61772</v>
      </c>
      <c r="K114" s="66">
        <f>+J114+K115*K74-(1-K112)*K131-K83</f>
        <v>61772</v>
      </c>
      <c r="L114" s="66">
        <f>+K114+L115*L74-(1-L112)*L131-L83</f>
        <v>61772</v>
      </c>
    </row>
    <row r="115" spans="1:12" ht="15" customHeight="1">
      <c r="B115" s="31" t="s">
        <v>503</v>
      </c>
      <c r="E115" s="308">
        <f>FCFF!H83</f>
        <v>0</v>
      </c>
      <c r="F115" s="308">
        <f>FCFF!N83</f>
        <v>0</v>
      </c>
      <c r="G115" s="417">
        <f>FCFF!T83</f>
        <v>0</v>
      </c>
      <c r="H115" s="474"/>
      <c r="I115" s="474"/>
      <c r="J115" s="474"/>
      <c r="K115" s="474"/>
      <c r="L115" s="474"/>
    </row>
    <row r="116" spans="1:12" s="458" customFormat="1" ht="15" customHeight="1">
      <c r="A116" s="383"/>
      <c r="B116" s="97"/>
      <c r="C116" s="22"/>
      <c r="D116" s="22"/>
      <c r="E116" s="97"/>
      <c r="F116" s="97"/>
      <c r="G116" s="421"/>
      <c r="H116" s="491"/>
      <c r="I116" s="491"/>
      <c r="J116" s="491"/>
      <c r="K116" s="491"/>
      <c r="L116" s="491"/>
    </row>
    <row r="117" spans="1:12" ht="15" customHeight="1">
      <c r="B117" s="378" t="s">
        <v>415</v>
      </c>
      <c r="E117" s="68">
        <f>FCFF!H85</f>
        <v>183978</v>
      </c>
      <c r="F117" s="68">
        <f>FCFF!N85</f>
        <v>182731</v>
      </c>
      <c r="G117" s="419">
        <f>FCFF!T85</f>
        <v>227743</v>
      </c>
      <c r="H117" s="66">
        <f>+H118*H62/365</f>
        <v>0</v>
      </c>
      <c r="I117" s="66">
        <f t="shared" ref="I117:L117" si="32">+I118*I62/365</f>
        <v>0</v>
      </c>
      <c r="J117" s="66">
        <f t="shared" si="32"/>
        <v>0</v>
      </c>
      <c r="K117" s="66">
        <f>+K118*K62/366</f>
        <v>0</v>
      </c>
      <c r="L117" s="66">
        <f t="shared" si="32"/>
        <v>0</v>
      </c>
    </row>
    <row r="118" spans="1:12" ht="15" customHeight="1">
      <c r="B118" s="31" t="s">
        <v>416</v>
      </c>
      <c r="E118" s="324">
        <f>FCFF!H86</f>
        <v>46.630074300395805</v>
      </c>
      <c r="F118" s="324">
        <f>FCFF!N86</f>
        <v>34.207705050878054</v>
      </c>
      <c r="G118" s="420">
        <f>FCFF!T86</f>
        <v>46.572636581222625</v>
      </c>
      <c r="H118" s="492"/>
      <c r="I118" s="492"/>
      <c r="J118" s="492"/>
      <c r="K118" s="492"/>
      <c r="L118" s="492"/>
    </row>
    <row r="119" spans="1:12" ht="15" customHeight="1">
      <c r="B119" s="378"/>
      <c r="E119" s="97"/>
      <c r="F119" s="97"/>
      <c r="G119" s="421"/>
      <c r="H119" s="493"/>
      <c r="I119" s="493"/>
      <c r="J119" s="493"/>
      <c r="K119" s="493"/>
      <c r="L119" s="493"/>
    </row>
    <row r="120" spans="1:12" ht="15" customHeight="1">
      <c r="B120" s="378" t="s">
        <v>417</v>
      </c>
      <c r="E120" s="68">
        <f>FCFF!H88</f>
        <v>0</v>
      </c>
      <c r="F120" s="68">
        <f>FCFF!N88</f>
        <v>0</v>
      </c>
      <c r="G120" s="419">
        <f>FCFF!T88</f>
        <v>0</v>
      </c>
      <c r="H120" s="66">
        <f>+H121*H71</f>
        <v>0</v>
      </c>
      <c r="I120" s="66">
        <f t="shared" ref="I120:L120" si="33">+I121*I71</f>
        <v>0</v>
      </c>
      <c r="J120" s="66">
        <f t="shared" si="33"/>
        <v>0</v>
      </c>
      <c r="K120" s="66">
        <f t="shared" si="33"/>
        <v>0</v>
      </c>
      <c r="L120" s="66">
        <f t="shared" si="33"/>
        <v>0</v>
      </c>
    </row>
    <row r="121" spans="1:12" ht="15" customHeight="1">
      <c r="B121" s="31" t="s">
        <v>418</v>
      </c>
      <c r="E121" s="308">
        <f>FCFF!H89</f>
        <v>0</v>
      </c>
      <c r="F121" s="308">
        <f>FCFF!N89</f>
        <v>0</v>
      </c>
      <c r="G121" s="417">
        <f>FCFF!T89</f>
        <v>0</v>
      </c>
      <c r="H121" s="474"/>
      <c r="I121" s="474"/>
      <c r="J121" s="474"/>
      <c r="K121" s="474"/>
      <c r="L121" s="474"/>
    </row>
    <row r="122" spans="1:12" ht="15" customHeight="1">
      <c r="B122" s="378"/>
      <c r="C122" s="483"/>
      <c r="D122" s="483"/>
      <c r="E122" s="476"/>
      <c r="F122" s="476"/>
      <c r="G122" s="486"/>
      <c r="H122" s="494"/>
      <c r="I122" s="494"/>
      <c r="J122" s="494"/>
      <c r="K122" s="494"/>
      <c r="L122" s="494"/>
    </row>
    <row r="123" spans="1:12" ht="15" customHeight="1">
      <c r="A123" s="383" t="s">
        <v>33</v>
      </c>
      <c r="B123" s="375" t="s">
        <v>504</v>
      </c>
      <c r="C123" s="375"/>
      <c r="D123" s="375"/>
      <c r="E123" s="453">
        <f t="shared" ref="E123:L123" si="34">E57</f>
        <v>2022</v>
      </c>
      <c r="F123" s="453">
        <f t="shared" si="34"/>
        <v>2023</v>
      </c>
      <c r="G123" s="453">
        <f t="shared" si="34"/>
        <v>2024</v>
      </c>
      <c r="H123" s="454">
        <f t="shared" si="34"/>
        <v>2025</v>
      </c>
      <c r="I123" s="454">
        <f t="shared" si="34"/>
        <v>2026</v>
      </c>
      <c r="J123" s="454">
        <f t="shared" si="34"/>
        <v>2027</v>
      </c>
      <c r="K123" s="454">
        <f t="shared" si="34"/>
        <v>2028</v>
      </c>
      <c r="L123" s="454">
        <f t="shared" si="34"/>
        <v>2029</v>
      </c>
    </row>
    <row r="124" spans="1:12" ht="3.95" customHeight="1">
      <c r="B124" s="36"/>
      <c r="C124" s="36"/>
      <c r="D124" s="36"/>
      <c r="E124" s="495"/>
      <c r="F124" s="495"/>
      <c r="G124" s="495"/>
      <c r="H124" s="36"/>
      <c r="I124" s="36"/>
      <c r="J124" s="36"/>
      <c r="K124" s="36"/>
      <c r="L124" s="36"/>
    </row>
    <row r="125" spans="1:12" ht="15" customHeight="1">
      <c r="B125" s="378" t="s">
        <v>367</v>
      </c>
      <c r="E125" s="68">
        <f>FCFF!H94</f>
        <v>68395</v>
      </c>
      <c r="F125" s="68">
        <f>FCFF!N94</f>
        <v>72234</v>
      </c>
      <c r="G125" s="419">
        <f>FCFF!T94</f>
        <v>80241</v>
      </c>
      <c r="H125" s="496">
        <f>+H77+H65</f>
        <v>0</v>
      </c>
      <c r="I125" s="496">
        <f t="shared" ref="I125:L125" si="35">+I77+I65</f>
        <v>0</v>
      </c>
      <c r="J125" s="496">
        <f t="shared" si="35"/>
        <v>0</v>
      </c>
      <c r="K125" s="496">
        <f t="shared" si="35"/>
        <v>0</v>
      </c>
      <c r="L125" s="496">
        <f t="shared" si="35"/>
        <v>0</v>
      </c>
    </row>
    <row r="126" spans="1:12" ht="15" customHeight="1">
      <c r="B126" s="31" t="s">
        <v>368</v>
      </c>
      <c r="E126" s="308">
        <f>FCFF!H95</f>
        <v>9.2262470845490885E-2</v>
      </c>
      <c r="F126" s="308">
        <f>FCFF!N95</f>
        <v>8.9793807640814821E-2</v>
      </c>
      <c r="G126" s="417">
        <f>FCFF!T95</f>
        <v>8.731281406214976E-2</v>
      </c>
      <c r="H126" s="497">
        <f>+H125/(H111+H114)</f>
        <v>0</v>
      </c>
      <c r="I126" s="497">
        <f>+I125/(I111+I114)</f>
        <v>0</v>
      </c>
      <c r="J126" s="497">
        <f>+J125/(J111+J114)</f>
        <v>0</v>
      </c>
      <c r="K126" s="497">
        <f>+K125/(K111+K114)</f>
        <v>0</v>
      </c>
      <c r="L126" s="497">
        <f>+L125/(L111+L114)</f>
        <v>0</v>
      </c>
    </row>
    <row r="127" spans="1:12" s="345" customFormat="1" ht="15" customHeight="1">
      <c r="A127" s="498"/>
      <c r="B127" s="97"/>
      <c r="C127" s="33"/>
      <c r="D127" s="33"/>
      <c r="E127" s="97"/>
      <c r="F127" s="97"/>
      <c r="G127" s="421"/>
      <c r="H127" s="33"/>
      <c r="I127" s="33"/>
      <c r="J127" s="33"/>
      <c r="K127" s="33"/>
      <c r="L127" s="33"/>
    </row>
    <row r="128" spans="1:12" ht="15" customHeight="1">
      <c r="B128" s="378" t="s">
        <v>424</v>
      </c>
      <c r="E128" s="68">
        <f>FCFF!H103</f>
        <v>-79092</v>
      </c>
      <c r="F128" s="68">
        <f>FCFF!N103</f>
        <v>6863</v>
      </c>
      <c r="G128" s="419">
        <f>FCFF!T103</f>
        <v>102150</v>
      </c>
      <c r="H128" s="499">
        <f>-((H102+H105+H108-H117-H120)-(G102+G105+G108-G117-G120))</f>
        <v>201719</v>
      </c>
      <c r="I128" s="499">
        <f>-((I102+I105+I108-I117-I120)-(H102+H105+H108-H117-H120))</f>
        <v>0</v>
      </c>
      <c r="J128" s="499">
        <f>-((J102+J105+J108-J117-J120)-(I102+I105+I108-I117-I120))</f>
        <v>0</v>
      </c>
      <c r="K128" s="499">
        <f>-((K102+K105+K108-K117-K120)-(J102+J105+J108-J117-J120))</f>
        <v>0</v>
      </c>
      <c r="L128" s="499">
        <f>-((L102+L105+L108-L117-L120)-(K102+K105+K108-K117-K120))</f>
        <v>0</v>
      </c>
    </row>
    <row r="129" spans="1:12" ht="15" customHeight="1">
      <c r="B129" s="31" t="s">
        <v>425</v>
      </c>
      <c r="E129" s="308">
        <f>FCFF!H104</f>
        <v>-5.8630661377759755E-2</v>
      </c>
      <c r="F129" s="308">
        <f>FCFF!N104</f>
        <v>3.8617816413725504E-3</v>
      </c>
      <c r="G129" s="417">
        <f>FCFF!T104</f>
        <v>3.2467563426171811E-2</v>
      </c>
      <c r="H129" s="457">
        <f>H128/(H59-G59)</f>
        <v>-0.10206163294362651</v>
      </c>
      <c r="I129" s="457">
        <f>I128/(I59-H59)</f>
        <v>0</v>
      </c>
      <c r="J129" s="457">
        <f>J128/(J59-I59)</f>
        <v>0</v>
      </c>
      <c r="K129" s="457">
        <f>K128/(K59-J59)</f>
        <v>0</v>
      </c>
      <c r="L129" s="457">
        <f>L128/(L59-K59)</f>
        <v>0</v>
      </c>
    </row>
    <row r="130" spans="1:12" ht="15" customHeight="1">
      <c r="B130" s="97"/>
      <c r="E130" s="97"/>
      <c r="F130" s="97"/>
      <c r="G130" s="421"/>
      <c r="H130" s="500"/>
      <c r="I130" s="500"/>
      <c r="J130" s="500"/>
      <c r="K130" s="500"/>
      <c r="L130" s="500"/>
    </row>
    <row r="131" spans="1:12" ht="15" customHeight="1">
      <c r="B131" s="378" t="s">
        <v>436</v>
      </c>
      <c r="E131" s="68">
        <f>FCFF!H106+FCFF!H109</f>
        <v>-64058</v>
      </c>
      <c r="F131" s="68">
        <f>FCFF!N106+FCFF!N109</f>
        <v>-135989</v>
      </c>
      <c r="G131" s="419">
        <f>FCFF!T106+FCFF!T109</f>
        <v>-146844</v>
      </c>
      <c r="H131" s="491">
        <f>-H132*H59</f>
        <v>0</v>
      </c>
      <c r="I131" s="491">
        <f t="shared" ref="I131:L131" si="36">-I132*I59</f>
        <v>0</v>
      </c>
      <c r="J131" s="491">
        <f t="shared" si="36"/>
        <v>0</v>
      </c>
      <c r="K131" s="491">
        <f t="shared" si="36"/>
        <v>0</v>
      </c>
      <c r="L131" s="491">
        <f t="shared" si="36"/>
        <v>0</v>
      </c>
    </row>
    <row r="132" spans="1:12" ht="15" customHeight="1">
      <c r="B132" s="31" t="s">
        <v>360</v>
      </c>
      <c r="E132" s="308">
        <f>FCFF!H107</f>
        <v>4.0738617084909119E-2</v>
      </c>
      <c r="F132" s="308">
        <f>FCFF!N107</f>
        <v>4.3407368277521861E-2</v>
      </c>
      <c r="G132" s="417">
        <f>FCFF!T107</f>
        <v>6.3236451527073731E-2</v>
      </c>
      <c r="H132" s="474"/>
      <c r="I132" s="474"/>
      <c r="J132" s="474"/>
      <c r="K132" s="474"/>
      <c r="L132" s="474"/>
    </row>
    <row r="133" spans="1:12" ht="15" customHeight="1">
      <c r="B133" s="378"/>
      <c r="G133" s="501"/>
      <c r="H133" s="25"/>
      <c r="I133" s="25"/>
      <c r="J133" s="25"/>
      <c r="K133" s="25"/>
      <c r="L133" s="25"/>
    </row>
    <row r="134" spans="1:12" ht="15" customHeight="1">
      <c r="A134" s="383" t="s">
        <v>33</v>
      </c>
      <c r="B134" s="375" t="s">
        <v>505</v>
      </c>
      <c r="C134" s="375"/>
      <c r="D134" s="375"/>
      <c r="E134" s="453"/>
      <c r="F134" s="453"/>
      <c r="G134" s="502"/>
      <c r="H134" s="454">
        <f>H57</f>
        <v>2025</v>
      </c>
      <c r="I134" s="454">
        <f>I57</f>
        <v>2026</v>
      </c>
      <c r="J134" s="454">
        <f>J57</f>
        <v>2027</v>
      </c>
      <c r="K134" s="454">
        <f>K57</f>
        <v>2028</v>
      </c>
      <c r="L134" s="454">
        <f>L57</f>
        <v>2029</v>
      </c>
    </row>
    <row r="135" spans="1:12" ht="3.95" customHeight="1">
      <c r="B135" s="36"/>
      <c r="C135" s="36"/>
      <c r="D135" s="36"/>
      <c r="E135" s="36"/>
      <c r="F135" s="36"/>
      <c r="G135" s="503"/>
      <c r="H135" s="36"/>
      <c r="I135" s="36"/>
      <c r="J135" s="36"/>
      <c r="K135" s="36"/>
      <c r="L135" s="36"/>
    </row>
    <row r="136" spans="1:12" ht="15" customHeight="1">
      <c r="B136" s="378" t="s">
        <v>506</v>
      </c>
      <c r="G136" s="205"/>
      <c r="H136" s="496">
        <f>H97</f>
        <v>350000</v>
      </c>
      <c r="I136" s="496">
        <f t="shared" ref="I136:L136" si="37">I97</f>
        <v>352000</v>
      </c>
      <c r="J136" s="496">
        <f t="shared" si="37"/>
        <v>350000</v>
      </c>
      <c r="K136" s="496">
        <f t="shared" si="37"/>
        <v>352000</v>
      </c>
      <c r="L136" s="496">
        <f t="shared" si="37"/>
        <v>350000</v>
      </c>
    </row>
    <row r="137" spans="1:12" ht="15" customHeight="1">
      <c r="B137" s="378" t="s">
        <v>507</v>
      </c>
      <c r="E137" s="496"/>
      <c r="F137" s="496"/>
      <c r="G137" s="504"/>
      <c r="H137" s="496">
        <f>+H125</f>
        <v>0</v>
      </c>
      <c r="I137" s="496">
        <f>+I125</f>
        <v>0</v>
      </c>
      <c r="J137" s="496">
        <f>+J125</f>
        <v>0</v>
      </c>
      <c r="K137" s="496">
        <f>+K125</f>
        <v>0</v>
      </c>
      <c r="L137" s="496">
        <f>+L125</f>
        <v>0</v>
      </c>
    </row>
    <row r="138" spans="1:12" ht="15" customHeight="1">
      <c r="B138" s="378" t="s">
        <v>367</v>
      </c>
      <c r="E138" s="496"/>
      <c r="F138" s="496"/>
      <c r="G138" s="505"/>
      <c r="H138" s="496">
        <f>+H128</f>
        <v>201719</v>
      </c>
      <c r="I138" s="496">
        <f>+I128</f>
        <v>0</v>
      </c>
      <c r="J138" s="496">
        <f>+J128</f>
        <v>0</v>
      </c>
      <c r="K138" s="496">
        <f>+K128</f>
        <v>0</v>
      </c>
      <c r="L138" s="496">
        <f>+L128</f>
        <v>0</v>
      </c>
    </row>
    <row r="139" spans="1:12" ht="15" customHeight="1">
      <c r="B139" s="378" t="s">
        <v>436</v>
      </c>
      <c r="E139" s="473"/>
      <c r="F139" s="473"/>
      <c r="G139" s="506"/>
      <c r="H139" s="496">
        <f>+H131</f>
        <v>0</v>
      </c>
      <c r="I139" s="496">
        <f>+I131</f>
        <v>0</v>
      </c>
      <c r="J139" s="496">
        <f>+J131</f>
        <v>0</v>
      </c>
      <c r="K139" s="496">
        <f>+K131</f>
        <v>0</v>
      </c>
      <c r="L139" s="496">
        <f>+L131</f>
        <v>0</v>
      </c>
    </row>
    <row r="140" spans="1:12" ht="15" customHeight="1">
      <c r="B140" s="507" t="s">
        <v>508</v>
      </c>
      <c r="C140" s="508"/>
      <c r="D140" s="508"/>
      <c r="E140" s="509"/>
      <c r="F140" s="509"/>
      <c r="G140" s="510"/>
      <c r="H140" s="509">
        <f>H136+H137+H138+H139</f>
        <v>551719</v>
      </c>
      <c r="I140" s="509">
        <f>I136+I137+I138+I139</f>
        <v>352000</v>
      </c>
      <c r="J140" s="509">
        <f>J136+J137+J138+J139</f>
        <v>350000</v>
      </c>
      <c r="K140" s="509">
        <f>K136+K137+K138+K139</f>
        <v>352000</v>
      </c>
      <c r="L140" s="511">
        <f>L136+L137+L138+L139</f>
        <v>350000</v>
      </c>
    </row>
    <row r="141" spans="1:12" ht="15" customHeight="1">
      <c r="G141" s="501"/>
    </row>
    <row r="142" spans="1:12" ht="15" customHeight="1">
      <c r="A142" s="383" t="s">
        <v>33</v>
      </c>
      <c r="B142" s="375" t="s">
        <v>509</v>
      </c>
      <c r="C142" s="375"/>
      <c r="D142" s="375"/>
      <c r="E142" s="453"/>
      <c r="F142" s="453"/>
      <c r="G142" s="502"/>
      <c r="H142" s="454">
        <f>H134</f>
        <v>2025</v>
      </c>
      <c r="I142" s="454">
        <f>I134</f>
        <v>2026</v>
      </c>
      <c r="J142" s="454">
        <f>J134</f>
        <v>2027</v>
      </c>
      <c r="K142" s="454">
        <f>K134</f>
        <v>2028</v>
      </c>
      <c r="L142" s="454">
        <f>L134</f>
        <v>2029</v>
      </c>
    </row>
    <row r="143" spans="1:12" ht="3.95" customHeight="1">
      <c r="B143" s="36"/>
      <c r="C143" s="36"/>
      <c r="D143" s="36"/>
      <c r="E143" s="36"/>
      <c r="F143" s="36"/>
      <c r="G143" s="503"/>
      <c r="H143" s="36"/>
      <c r="I143" s="36"/>
      <c r="J143" s="36"/>
      <c r="K143" s="36"/>
      <c r="L143" s="36"/>
    </row>
    <row r="144" spans="1:12" ht="15" customHeight="1">
      <c r="B144" s="376" t="s">
        <v>474</v>
      </c>
      <c r="C144" s="423"/>
      <c r="D144" s="423"/>
      <c r="E144" s="423"/>
      <c r="F144" s="423"/>
      <c r="G144" s="512"/>
    </row>
    <row r="145" spans="2:12" ht="15" customHeight="1">
      <c r="B145" s="513" t="s">
        <v>510</v>
      </c>
      <c r="C145" s="423"/>
      <c r="D145" s="423"/>
      <c r="E145" s="423"/>
      <c r="F145" s="423"/>
      <c r="G145" s="512"/>
      <c r="H145" s="491">
        <f>G148</f>
        <v>0</v>
      </c>
      <c r="I145" s="491">
        <f t="shared" ref="I145:L145" si="38">H148</f>
        <v>0</v>
      </c>
      <c r="J145" s="491">
        <f t="shared" si="38"/>
        <v>0</v>
      </c>
      <c r="K145" s="491">
        <f t="shared" si="38"/>
        <v>0</v>
      </c>
      <c r="L145" s="491">
        <f t="shared" si="38"/>
        <v>0</v>
      </c>
    </row>
    <row r="146" spans="2:12" ht="15" customHeight="1">
      <c r="B146" s="513" t="s">
        <v>470</v>
      </c>
      <c r="C146" s="423"/>
      <c r="D146" s="423"/>
      <c r="E146" s="423"/>
      <c r="F146" s="423"/>
      <c r="G146" s="512"/>
      <c r="H146" s="491">
        <f>H145*$J$11</f>
        <v>0</v>
      </c>
      <c r="I146" s="491">
        <f t="shared" ref="I146:L146" si="39">I145*$J$11</f>
        <v>0</v>
      </c>
      <c r="J146" s="491">
        <f t="shared" si="39"/>
        <v>0</v>
      </c>
      <c r="K146" s="491">
        <f t="shared" si="39"/>
        <v>0</v>
      </c>
      <c r="L146" s="491">
        <f t="shared" si="39"/>
        <v>0</v>
      </c>
    </row>
    <row r="147" spans="2:12" ht="15" customHeight="1">
      <c r="B147" s="513" t="s">
        <v>511</v>
      </c>
      <c r="C147" s="423"/>
      <c r="D147" s="423"/>
      <c r="E147" s="423"/>
      <c r="F147" s="423"/>
      <c r="G147" s="512"/>
      <c r="H147" s="491">
        <f>MIN(H140,H145)</f>
        <v>0</v>
      </c>
      <c r="I147" s="491">
        <f t="shared" ref="I147:L147" si="40">MIN(I140,I145)</f>
        <v>0</v>
      </c>
      <c r="J147" s="491">
        <f t="shared" si="40"/>
        <v>0</v>
      </c>
      <c r="K147" s="491">
        <f t="shared" si="40"/>
        <v>0</v>
      </c>
      <c r="L147" s="491">
        <f t="shared" si="40"/>
        <v>0</v>
      </c>
    </row>
    <row r="148" spans="2:12" ht="15" customHeight="1">
      <c r="B148" s="514" t="s">
        <v>512</v>
      </c>
      <c r="C148" s="508"/>
      <c r="D148" s="508"/>
      <c r="E148" s="509"/>
      <c r="F148" s="509"/>
      <c r="G148" s="510">
        <f>L11</f>
        <v>0</v>
      </c>
      <c r="H148" s="509">
        <f>H145-H147</f>
        <v>0</v>
      </c>
      <c r="I148" s="509">
        <f t="shared" ref="I148:L148" si="41">I145-I147</f>
        <v>0</v>
      </c>
      <c r="J148" s="509">
        <f t="shared" si="41"/>
        <v>0</v>
      </c>
      <c r="K148" s="509">
        <f t="shared" si="41"/>
        <v>0</v>
      </c>
      <c r="L148" s="511">
        <f t="shared" si="41"/>
        <v>0</v>
      </c>
    </row>
    <row r="149" spans="2:12" ht="15" customHeight="1">
      <c r="B149" s="515"/>
      <c r="E149" s="491"/>
      <c r="F149" s="491"/>
      <c r="G149" s="516"/>
      <c r="H149" s="491"/>
      <c r="I149" s="491"/>
      <c r="J149" s="491"/>
      <c r="K149" s="491"/>
      <c r="L149" s="491"/>
    </row>
    <row r="150" spans="2:12" ht="15" customHeight="1">
      <c r="B150" s="376" t="s">
        <v>476</v>
      </c>
      <c r="C150" s="423"/>
      <c r="D150" s="423"/>
      <c r="E150" s="423"/>
      <c r="F150" s="423"/>
      <c r="G150" s="512"/>
      <c r="H150" s="491"/>
    </row>
    <row r="151" spans="2:12" ht="15" customHeight="1">
      <c r="B151" s="513" t="s">
        <v>510</v>
      </c>
      <c r="C151" s="423"/>
      <c r="D151" s="423"/>
      <c r="E151" s="423"/>
      <c r="F151" s="423"/>
      <c r="G151" s="512"/>
      <c r="H151" s="491">
        <f>G154</f>
        <v>0</v>
      </c>
      <c r="I151" s="491">
        <f t="shared" ref="I151:L151" si="42">H154</f>
        <v>0</v>
      </c>
      <c r="J151" s="491">
        <f t="shared" si="42"/>
        <v>0</v>
      </c>
      <c r="K151" s="491">
        <f t="shared" si="42"/>
        <v>0</v>
      </c>
      <c r="L151" s="491">
        <f t="shared" si="42"/>
        <v>0</v>
      </c>
    </row>
    <row r="152" spans="2:12" ht="15" customHeight="1">
      <c r="B152" s="513" t="s">
        <v>470</v>
      </c>
      <c r="C152" s="423"/>
      <c r="D152" s="423"/>
      <c r="E152" s="423"/>
      <c r="F152" s="423"/>
      <c r="G152" s="512"/>
      <c r="H152" s="491">
        <f>H151*$J$12</f>
        <v>0</v>
      </c>
      <c r="I152" s="491">
        <f t="shared" ref="I152:L152" si="43">I151*$J$12</f>
        <v>0</v>
      </c>
      <c r="J152" s="491">
        <f t="shared" si="43"/>
        <v>0</v>
      </c>
      <c r="K152" s="491">
        <f t="shared" si="43"/>
        <v>0</v>
      </c>
      <c r="L152" s="491">
        <f t="shared" si="43"/>
        <v>0</v>
      </c>
    </row>
    <row r="153" spans="2:12" ht="15" customHeight="1">
      <c r="B153" s="513" t="s">
        <v>511</v>
      </c>
      <c r="C153" s="423"/>
      <c r="D153" s="423"/>
      <c r="E153" s="423"/>
      <c r="F153" s="423"/>
      <c r="G153" s="512"/>
      <c r="H153" s="491">
        <f>MIN(H151,H140-H147)</f>
        <v>0</v>
      </c>
      <c r="I153" s="491">
        <f>MIN(I151,I140-I147)</f>
        <v>0</v>
      </c>
      <c r="J153" s="491">
        <f t="shared" ref="J153:K153" si="44">MIN(J151,J140-J147)</f>
        <v>0</v>
      </c>
      <c r="K153" s="491">
        <f t="shared" si="44"/>
        <v>0</v>
      </c>
      <c r="L153" s="491">
        <f>MIN(L151,L140-L147)</f>
        <v>0</v>
      </c>
    </row>
    <row r="154" spans="2:12" ht="15" customHeight="1">
      <c r="B154" s="514" t="s">
        <v>512</v>
      </c>
      <c r="C154" s="508"/>
      <c r="D154" s="508"/>
      <c r="E154" s="509"/>
      <c r="F154" s="509"/>
      <c r="G154" s="510">
        <f>L12</f>
        <v>0</v>
      </c>
      <c r="H154" s="509">
        <f>H151-H153</f>
        <v>0</v>
      </c>
      <c r="I154" s="509">
        <f t="shared" ref="I154:L154" si="45">I151-I153</f>
        <v>0</v>
      </c>
      <c r="J154" s="509">
        <f t="shared" si="45"/>
        <v>0</v>
      </c>
      <c r="K154" s="509">
        <f t="shared" si="45"/>
        <v>0</v>
      </c>
      <c r="L154" s="511">
        <f t="shared" si="45"/>
        <v>0</v>
      </c>
    </row>
    <row r="155" spans="2:12" ht="15" customHeight="1">
      <c r="B155" s="515"/>
      <c r="E155" s="491"/>
      <c r="F155" s="491"/>
      <c r="G155" s="516"/>
      <c r="H155" s="491"/>
      <c r="I155" s="491"/>
      <c r="J155" s="491"/>
      <c r="K155" s="491"/>
      <c r="L155" s="491"/>
    </row>
    <row r="156" spans="2:12" ht="15" customHeight="1">
      <c r="B156" s="376" t="s">
        <v>513</v>
      </c>
      <c r="G156" s="501"/>
    </row>
    <row r="157" spans="2:12" ht="15" customHeight="1">
      <c r="B157" s="513" t="s">
        <v>510</v>
      </c>
      <c r="G157" s="501"/>
      <c r="H157" s="491">
        <f>G160</f>
        <v>0</v>
      </c>
      <c r="I157" s="491">
        <f t="shared" ref="I157:L157" si="46">H160</f>
        <v>0</v>
      </c>
      <c r="J157" s="491">
        <f t="shared" si="46"/>
        <v>0</v>
      </c>
      <c r="K157" s="491">
        <f t="shared" si="46"/>
        <v>0</v>
      </c>
      <c r="L157" s="491">
        <f t="shared" si="46"/>
        <v>0</v>
      </c>
    </row>
    <row r="158" spans="2:12" ht="15" customHeight="1">
      <c r="B158" s="513" t="s">
        <v>470</v>
      </c>
      <c r="G158" s="501"/>
      <c r="H158" s="491">
        <f>H157*$J$13</f>
        <v>0</v>
      </c>
      <c r="I158" s="491">
        <f t="shared" ref="I158:L158" si="47">I157*$J$13</f>
        <v>0</v>
      </c>
      <c r="J158" s="491">
        <f t="shared" si="47"/>
        <v>0</v>
      </c>
      <c r="K158" s="491">
        <f t="shared" si="47"/>
        <v>0</v>
      </c>
      <c r="L158" s="491">
        <f t="shared" si="47"/>
        <v>0</v>
      </c>
    </row>
    <row r="159" spans="2:12" ht="15" customHeight="1">
      <c r="B159" s="513" t="s">
        <v>511</v>
      </c>
      <c r="G159" s="501"/>
      <c r="H159" s="491">
        <f>MIN(H157,H140-H147-H153)</f>
        <v>0</v>
      </c>
      <c r="I159" s="491">
        <f t="shared" ref="I159:L159" si="48">MIN(I157,I140-I147-I153)</f>
        <v>0</v>
      </c>
      <c r="J159" s="491">
        <f t="shared" si="48"/>
        <v>0</v>
      </c>
      <c r="K159" s="491">
        <f t="shared" si="48"/>
        <v>0</v>
      </c>
      <c r="L159" s="491">
        <f t="shared" si="48"/>
        <v>0</v>
      </c>
    </row>
    <row r="160" spans="2:12" ht="15" customHeight="1">
      <c r="B160" s="514" t="s">
        <v>512</v>
      </c>
      <c r="C160" s="508"/>
      <c r="D160" s="508"/>
      <c r="E160" s="509"/>
      <c r="F160" s="509"/>
      <c r="G160" s="510">
        <f>L13</f>
        <v>0</v>
      </c>
      <c r="H160" s="509">
        <f>H157-H159</f>
        <v>0</v>
      </c>
      <c r="I160" s="509">
        <f t="shared" ref="I160:L160" si="49">I157-I159</f>
        <v>0</v>
      </c>
      <c r="J160" s="509">
        <f t="shared" si="49"/>
        <v>0</v>
      </c>
      <c r="K160" s="509">
        <f t="shared" si="49"/>
        <v>0</v>
      </c>
      <c r="L160" s="511">
        <f t="shared" si="49"/>
        <v>0</v>
      </c>
    </row>
    <row r="161" spans="1:12" ht="15" customHeight="1">
      <c r="G161" s="682"/>
    </row>
    <row r="162" spans="1:12" ht="15" customHeight="1">
      <c r="B162" s="376" t="s">
        <v>514</v>
      </c>
      <c r="G162" s="501"/>
    </row>
    <row r="163" spans="1:12" ht="15" customHeight="1">
      <c r="B163" s="513" t="s">
        <v>510</v>
      </c>
      <c r="G163" s="501"/>
      <c r="H163" s="491">
        <f>H145+H151+H157</f>
        <v>0</v>
      </c>
      <c r="I163" s="491">
        <f t="shared" ref="I163:L163" si="50">I145+I151+I157</f>
        <v>0</v>
      </c>
      <c r="J163" s="491">
        <f t="shared" si="50"/>
        <v>0</v>
      </c>
      <c r="K163" s="491">
        <f t="shared" si="50"/>
        <v>0</v>
      </c>
      <c r="L163" s="491">
        <f t="shared" si="50"/>
        <v>0</v>
      </c>
    </row>
    <row r="164" spans="1:12" ht="15" customHeight="1">
      <c r="B164" s="513" t="s">
        <v>470</v>
      </c>
      <c r="G164" s="501"/>
      <c r="H164" s="491">
        <f>H146+H152+H158</f>
        <v>0</v>
      </c>
      <c r="I164" s="491">
        <f t="shared" ref="I164:L164" si="51">I146+I152+I158</f>
        <v>0</v>
      </c>
      <c r="J164" s="491">
        <f t="shared" si="51"/>
        <v>0</v>
      </c>
      <c r="K164" s="491">
        <f t="shared" si="51"/>
        <v>0</v>
      </c>
      <c r="L164" s="491">
        <f t="shared" si="51"/>
        <v>0</v>
      </c>
    </row>
    <row r="165" spans="1:12" ht="15" customHeight="1">
      <c r="B165" s="513" t="s">
        <v>511</v>
      </c>
      <c r="G165" s="501"/>
      <c r="H165" s="491">
        <f>H147+H153+H159</f>
        <v>0</v>
      </c>
      <c r="I165" s="491">
        <f t="shared" ref="I165:L165" si="52">I147+I153+I159</f>
        <v>0</v>
      </c>
      <c r="J165" s="491">
        <f t="shared" si="52"/>
        <v>0</v>
      </c>
      <c r="K165" s="491">
        <f t="shared" si="52"/>
        <v>0</v>
      </c>
      <c r="L165" s="491">
        <f t="shared" si="52"/>
        <v>0</v>
      </c>
    </row>
    <row r="166" spans="1:12" ht="15" customHeight="1">
      <c r="B166" s="514" t="s">
        <v>512</v>
      </c>
      <c r="C166" s="508"/>
      <c r="D166" s="508"/>
      <c r="E166" s="509"/>
      <c r="F166" s="509"/>
      <c r="G166" s="510">
        <f>G148+G154+G160</f>
        <v>0</v>
      </c>
      <c r="H166" s="509">
        <f>H148+H154+H160</f>
        <v>0</v>
      </c>
      <c r="I166" s="509">
        <f t="shared" ref="I166:K166" si="53">I148+I154+I160</f>
        <v>0</v>
      </c>
      <c r="J166" s="509">
        <f t="shared" si="53"/>
        <v>0</v>
      </c>
      <c r="K166" s="509">
        <f t="shared" si="53"/>
        <v>0</v>
      </c>
      <c r="L166" s="511">
        <f>L148+L154+L160</f>
        <v>0</v>
      </c>
    </row>
    <row r="167" spans="1:12" s="345" customFormat="1" ht="15" customHeight="1">
      <c r="A167" s="498"/>
      <c r="B167" s="33"/>
      <c r="C167" s="33"/>
      <c r="D167" s="33"/>
      <c r="E167" s="33"/>
      <c r="F167" s="33"/>
      <c r="G167" s="33"/>
      <c r="H167" s="33"/>
      <c r="I167" s="33"/>
      <c r="J167" s="33"/>
      <c r="K167" s="33"/>
      <c r="L167" s="33"/>
    </row>
    <row r="168" spans="1:12" s="345" customFormat="1" ht="15" customHeight="1">
      <c r="A168" s="498"/>
      <c r="B168" s="375" t="s">
        <v>484</v>
      </c>
      <c r="C168" s="375"/>
      <c r="D168" s="375"/>
      <c r="E168" s="375"/>
      <c r="F168" s="375"/>
      <c r="G168" s="375"/>
      <c r="H168" s="375"/>
      <c r="I168" s="375"/>
      <c r="J168" s="375"/>
      <c r="K168" s="375"/>
      <c r="L168" s="375"/>
    </row>
    <row r="169" spans="1:12" s="345" customFormat="1" ht="15" customHeight="1">
      <c r="A169" s="498"/>
      <c r="B169" s="375"/>
      <c r="C169" s="375"/>
      <c r="D169" s="375"/>
      <c r="E169" s="375"/>
      <c r="F169" s="375"/>
      <c r="G169" s="375"/>
      <c r="H169" s="375"/>
      <c r="I169" s="375"/>
      <c r="J169" s="375"/>
      <c r="K169" s="375"/>
      <c r="L169" s="375"/>
    </row>
    <row r="170" spans="1:12" ht="15" customHeight="1">
      <c r="A170" s="383" t="s">
        <v>33</v>
      </c>
      <c r="B170" s="375"/>
      <c r="C170" s="375"/>
      <c r="D170" s="375"/>
      <c r="E170" s="453"/>
      <c r="F170" s="453"/>
      <c r="G170" s="453"/>
      <c r="H170" s="454"/>
      <c r="I170" s="454"/>
      <c r="J170" s="454"/>
      <c r="K170" s="454"/>
      <c r="L170" s="454"/>
    </row>
    <row r="171" spans="1:12" ht="3.95" customHeight="1">
      <c r="B171" s="36"/>
      <c r="C171" s="36"/>
      <c r="D171" s="36"/>
      <c r="E171" s="36"/>
      <c r="F171" s="36"/>
      <c r="G171" s="36"/>
      <c r="H171" s="36"/>
      <c r="I171" s="36"/>
      <c r="J171" s="36"/>
      <c r="K171" s="36"/>
      <c r="L171" s="36"/>
    </row>
    <row r="172" spans="1:12" ht="15" customHeight="1">
      <c r="B172" s="378" t="s">
        <v>515</v>
      </c>
      <c r="L172" s="426">
        <f>(L77+L86)</f>
        <v>350000</v>
      </c>
    </row>
    <row r="173" spans="1:12" ht="15" customHeight="1">
      <c r="B173" s="517" t="s">
        <v>486</v>
      </c>
      <c r="C173" s="356"/>
      <c r="D173" s="356"/>
      <c r="E173" s="356"/>
      <c r="F173" s="356"/>
      <c r="G173" s="356"/>
      <c r="H173" s="356"/>
      <c r="I173" s="356"/>
      <c r="J173" s="356"/>
      <c r="K173" s="356"/>
      <c r="L173" s="518">
        <f>E20</f>
        <v>0</v>
      </c>
    </row>
    <row r="174" spans="1:12" ht="15" customHeight="1">
      <c r="B174" s="378" t="s">
        <v>477</v>
      </c>
      <c r="L174" s="48">
        <f>L172*L173</f>
        <v>0</v>
      </c>
    </row>
    <row r="175" spans="1:12" ht="15" customHeight="1">
      <c r="B175" s="378" t="s">
        <v>516</v>
      </c>
      <c r="L175" s="426">
        <f>L166</f>
        <v>0</v>
      </c>
    </row>
    <row r="176" spans="1:12" ht="15" customHeight="1">
      <c r="B176" s="378" t="s">
        <v>517</v>
      </c>
      <c r="L176" s="24">
        <f>L174-L175</f>
        <v>0</v>
      </c>
    </row>
    <row r="178" spans="2:12" ht="15" customHeight="1">
      <c r="B178" s="378" t="s">
        <v>518</v>
      </c>
      <c r="L178" s="426">
        <f>C32</f>
        <v>0</v>
      </c>
    </row>
    <row r="179" spans="2:12" ht="15" customHeight="1">
      <c r="B179" s="378"/>
    </row>
    <row r="180" spans="2:12" ht="15" customHeight="1">
      <c r="B180" s="519" t="s">
        <v>482</v>
      </c>
      <c r="C180" s="520"/>
      <c r="D180" s="520"/>
      <c r="E180" s="520"/>
      <c r="F180" s="520"/>
      <c r="G180" s="520"/>
      <c r="H180" s="520"/>
      <c r="I180" s="520"/>
      <c r="J180" s="520"/>
      <c r="K180" s="520"/>
      <c r="L180" s="521" t="e">
        <f>L176/L178</f>
        <v>#DIV/0!</v>
      </c>
    </row>
    <row r="181" spans="2:12" ht="15" customHeight="1">
      <c r="B181" s="522" t="s">
        <v>484</v>
      </c>
      <c r="C181" s="523"/>
      <c r="D181" s="523"/>
      <c r="E181" s="523"/>
      <c r="F181" s="523"/>
      <c r="G181" s="523"/>
      <c r="H181" s="523"/>
      <c r="I181" s="523"/>
      <c r="J181" s="523"/>
      <c r="K181" s="523"/>
      <c r="L181" s="524" t="e">
        <f>L180^(1/5)-1</f>
        <v>#DIV/0!</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54"/>
  <sheetViews>
    <sheetView showGridLines="0" zoomScale="85" zoomScaleNormal="85" workbookViewId="0">
      <selection activeCell="X33" sqref="X33:X35"/>
    </sheetView>
  </sheetViews>
  <sheetFormatPr defaultColWidth="9" defaultRowHeight="15" customHeight="1"/>
  <cols>
    <col min="1" max="1" width="2.125" style="23" customWidth="1"/>
    <col min="2" max="19" width="9" style="23"/>
    <col min="20" max="20" width="9" style="23" customWidth="1"/>
    <col min="21" max="24" width="9.125" style="23" customWidth="1"/>
    <col min="25" max="16384" width="9" style="23"/>
  </cols>
  <sheetData>
    <row r="1" spans="2:43" s="582" customFormat="1" ht="15" customHeight="1"/>
    <row r="2" spans="2:43" s="582" customFormat="1" ht="15" customHeight="1"/>
    <row r="3" spans="2:43" s="582" customFormat="1" ht="15" customHeight="1"/>
    <row r="4" spans="2:43" s="582" customFormat="1" ht="15" customHeight="1"/>
    <row r="5" spans="2:43" s="36" customFormat="1" ht="3.95" customHeight="1"/>
    <row r="7" spans="2:43" ht="15" customHeight="1">
      <c r="B7" s="375" t="s">
        <v>519</v>
      </c>
      <c r="C7" s="186"/>
      <c r="D7" s="186"/>
      <c r="E7" s="186"/>
      <c r="F7" s="186"/>
      <c r="G7" s="186"/>
      <c r="H7" s="186"/>
      <c r="I7" s="186"/>
      <c r="J7" s="186"/>
      <c r="K7" s="186"/>
      <c r="L7" s="186"/>
      <c r="M7" s="186"/>
      <c r="N7" s="186"/>
      <c r="O7" s="186"/>
      <c r="P7" s="186"/>
      <c r="R7" s="375" t="s">
        <v>520</v>
      </c>
      <c r="S7" s="186"/>
      <c r="T7" s="186"/>
      <c r="U7" s="186"/>
      <c r="V7" s="186"/>
      <c r="W7" s="186"/>
      <c r="X7" s="186"/>
      <c r="Y7" s="186"/>
      <c r="Z7" s="186"/>
    </row>
    <row r="8" spans="2:43" ht="15" customHeight="1">
      <c r="B8" s="186"/>
      <c r="C8" s="186"/>
      <c r="D8" s="186"/>
      <c r="E8" s="186"/>
      <c r="F8" s="186"/>
      <c r="G8" s="186"/>
      <c r="H8" s="186"/>
      <c r="I8" s="186"/>
      <c r="J8" s="186"/>
      <c r="K8" s="186"/>
      <c r="L8" s="186"/>
      <c r="M8" s="186"/>
      <c r="N8" s="186"/>
      <c r="O8" s="186"/>
      <c r="P8" s="186"/>
      <c r="R8" s="186"/>
      <c r="S8" s="186"/>
      <c r="T8" s="186"/>
      <c r="U8" s="186"/>
      <c r="V8" s="186"/>
      <c r="W8" s="186"/>
      <c r="X8" s="186"/>
      <c r="Y8" s="186"/>
      <c r="Z8" s="186"/>
    </row>
    <row r="9" spans="2:43" ht="15" customHeight="1">
      <c r="B9" s="186"/>
      <c r="C9" s="186"/>
      <c r="D9" s="186"/>
      <c r="E9" s="186"/>
      <c r="F9" s="186"/>
      <c r="G9" s="186"/>
      <c r="H9" s="186"/>
      <c r="I9" s="186"/>
      <c r="J9" s="186"/>
      <c r="K9" s="186"/>
      <c r="L9" s="186"/>
      <c r="M9" s="186"/>
      <c r="N9" s="186"/>
      <c r="O9" s="186"/>
      <c r="P9" s="186"/>
      <c r="R9" s="186"/>
      <c r="S9" s="186"/>
      <c r="T9" s="186"/>
      <c r="U9" s="186"/>
      <c r="V9" s="186"/>
      <c r="W9" s="186"/>
      <c r="X9" s="186"/>
      <c r="Y9" s="186"/>
      <c r="Z9" s="186"/>
    </row>
    <row r="10" spans="2:43" ht="3.95" customHeight="1">
      <c r="B10" s="36"/>
      <c r="C10" s="36"/>
      <c r="D10" s="36"/>
      <c r="E10" s="36"/>
      <c r="F10" s="36"/>
      <c r="G10" s="36"/>
      <c r="H10" s="36"/>
      <c r="I10" s="36"/>
      <c r="J10" s="36"/>
      <c r="K10" s="36"/>
      <c r="L10" s="36"/>
      <c r="M10" s="36"/>
      <c r="N10" s="36"/>
      <c r="O10" s="36"/>
      <c r="P10" s="36"/>
      <c r="R10" s="36"/>
      <c r="S10" s="36"/>
      <c r="T10" s="36"/>
      <c r="U10" s="36"/>
      <c r="V10" s="36"/>
      <c r="W10" s="36"/>
      <c r="X10" s="36"/>
      <c r="Y10" s="36"/>
      <c r="Z10" s="36"/>
    </row>
    <row r="14" spans="2:43" ht="15" customHeight="1">
      <c r="AA14" s="25"/>
      <c r="AB14" s="25"/>
      <c r="AC14" s="25"/>
      <c r="AD14" s="25"/>
      <c r="AE14" s="25"/>
      <c r="AF14" s="25"/>
      <c r="AG14" s="25"/>
      <c r="AH14" s="25"/>
      <c r="AI14" s="25"/>
      <c r="AJ14" s="25"/>
      <c r="AK14" s="25"/>
      <c r="AL14" s="25"/>
      <c r="AM14" s="25"/>
      <c r="AN14" s="25"/>
      <c r="AO14" s="25"/>
      <c r="AP14" s="25"/>
      <c r="AQ14" s="25"/>
    </row>
    <row r="15" spans="2:43" ht="15" customHeight="1">
      <c r="AA15" s="25"/>
      <c r="AB15" s="25"/>
      <c r="AC15" s="25"/>
      <c r="AD15" s="25"/>
      <c r="AE15" s="25"/>
      <c r="AF15" s="25"/>
      <c r="AG15" s="25"/>
      <c r="AH15" s="25"/>
      <c r="AI15" s="25"/>
      <c r="AJ15" s="25"/>
      <c r="AK15" s="25"/>
      <c r="AL15" s="25"/>
      <c r="AM15" s="25"/>
      <c r="AN15" s="25"/>
      <c r="AO15" s="25"/>
      <c r="AP15" s="25"/>
      <c r="AQ15" s="25"/>
    </row>
    <row r="16" spans="2:43" ht="15" customHeight="1">
      <c r="AA16" s="25"/>
      <c r="AB16" s="25"/>
      <c r="AC16" s="25"/>
      <c r="AD16" s="25"/>
      <c r="AE16" s="25"/>
      <c r="AF16" s="25"/>
      <c r="AG16" s="25"/>
      <c r="AH16" s="25"/>
      <c r="AI16" s="25"/>
      <c r="AJ16" s="25"/>
      <c r="AK16" s="25"/>
      <c r="AL16" s="25"/>
      <c r="AM16" s="25"/>
      <c r="AN16" s="25"/>
      <c r="AO16" s="25"/>
      <c r="AP16" s="25"/>
      <c r="AQ16" s="25"/>
    </row>
    <row r="17" spans="18:43" ht="15" customHeight="1">
      <c r="AA17" s="25"/>
      <c r="AB17" s="25"/>
      <c r="AC17" s="25"/>
      <c r="AD17" s="25"/>
      <c r="AE17" s="25"/>
      <c r="AF17" s="25"/>
      <c r="AG17" s="25"/>
      <c r="AH17" s="25"/>
      <c r="AI17" s="25"/>
      <c r="AJ17" s="25"/>
      <c r="AK17" s="25"/>
      <c r="AL17" s="25"/>
      <c r="AM17" s="25"/>
      <c r="AN17" s="25"/>
      <c r="AO17" s="25"/>
      <c r="AP17" s="25"/>
      <c r="AQ17" s="25"/>
    </row>
    <row r="18" spans="18:43" ht="15" customHeight="1">
      <c r="AA18" s="25"/>
      <c r="AB18" s="25"/>
      <c r="AC18" s="25"/>
      <c r="AD18" s="25"/>
      <c r="AE18" s="25"/>
      <c r="AF18" s="25"/>
      <c r="AG18" s="25"/>
      <c r="AH18" s="25"/>
      <c r="AI18" s="25"/>
      <c r="AJ18" s="25"/>
      <c r="AK18" s="25"/>
      <c r="AL18" s="25"/>
      <c r="AM18" s="25"/>
      <c r="AN18" s="25"/>
      <c r="AO18" s="25"/>
      <c r="AP18" s="25"/>
      <c r="AQ18" s="25"/>
    </row>
    <row r="19" spans="18:43" ht="15" customHeight="1">
      <c r="AA19" s="25"/>
      <c r="AB19" s="25"/>
      <c r="AC19" s="25"/>
      <c r="AD19" s="25"/>
      <c r="AE19" s="25"/>
      <c r="AF19" s="25"/>
      <c r="AG19" s="25"/>
      <c r="AH19" s="25"/>
      <c r="AI19" s="25"/>
      <c r="AJ19" s="25"/>
      <c r="AK19" s="25"/>
      <c r="AL19" s="25"/>
      <c r="AM19" s="25"/>
      <c r="AN19" s="25"/>
      <c r="AO19" s="25"/>
      <c r="AP19" s="25"/>
      <c r="AQ19" s="25"/>
    </row>
    <row r="20" spans="18:43" ht="15" customHeight="1">
      <c r="AA20" s="25"/>
      <c r="AB20" s="25"/>
      <c r="AC20" s="25"/>
      <c r="AD20" s="25"/>
      <c r="AE20" s="25"/>
      <c r="AF20" s="25"/>
      <c r="AG20" s="25"/>
      <c r="AH20" s="25"/>
      <c r="AI20" s="25"/>
      <c r="AJ20" s="25"/>
      <c r="AK20" s="25"/>
      <c r="AL20" s="25"/>
      <c r="AM20" s="25"/>
      <c r="AN20" s="25"/>
      <c r="AO20" s="25"/>
      <c r="AP20" s="25"/>
      <c r="AQ20" s="25"/>
    </row>
    <row r="21" spans="18:43" ht="15" customHeight="1">
      <c r="AA21" s="25"/>
      <c r="AB21" s="25"/>
      <c r="AC21" s="25"/>
      <c r="AD21" s="25"/>
      <c r="AE21" s="25"/>
      <c r="AF21" s="25"/>
      <c r="AG21" s="25"/>
      <c r="AH21" s="25"/>
      <c r="AI21" s="25"/>
      <c r="AJ21" s="25"/>
      <c r="AK21" s="25"/>
      <c r="AL21" s="25"/>
      <c r="AM21" s="25"/>
      <c r="AN21" s="25"/>
      <c r="AO21" s="25"/>
      <c r="AP21" s="25"/>
      <c r="AQ21" s="25"/>
    </row>
    <row r="22" spans="18:43" ht="15" customHeight="1">
      <c r="AA22" s="25"/>
      <c r="AB22" s="25"/>
      <c r="AC22" s="25"/>
      <c r="AD22" s="25"/>
      <c r="AE22" s="25"/>
      <c r="AF22" s="25"/>
      <c r="AG22" s="25"/>
      <c r="AH22" s="25"/>
      <c r="AI22" s="25"/>
      <c r="AJ22" s="25"/>
      <c r="AK22" s="25"/>
      <c r="AL22" s="25"/>
      <c r="AM22" s="25"/>
      <c r="AN22" s="25"/>
      <c r="AO22" s="25"/>
      <c r="AP22" s="25"/>
      <c r="AQ22" s="25"/>
    </row>
    <row r="23" spans="18:43" ht="15" customHeight="1">
      <c r="AA23" s="25"/>
      <c r="AB23" s="25"/>
      <c r="AC23" s="25"/>
      <c r="AD23" s="25"/>
      <c r="AE23" s="25"/>
      <c r="AF23" s="25"/>
      <c r="AG23" s="25"/>
      <c r="AH23" s="25"/>
      <c r="AI23" s="25"/>
      <c r="AJ23" s="25"/>
      <c r="AK23" s="25"/>
      <c r="AL23" s="25"/>
      <c r="AM23" s="25"/>
      <c r="AN23" s="25"/>
      <c r="AO23" s="25"/>
      <c r="AP23" s="25"/>
      <c r="AQ23" s="25"/>
    </row>
    <row r="24" spans="18:43" ht="15" customHeight="1">
      <c r="AA24" s="25"/>
      <c r="AB24" s="25"/>
      <c r="AC24" s="25"/>
      <c r="AD24" s="25"/>
      <c r="AE24" s="25"/>
      <c r="AF24" s="25"/>
      <c r="AG24" s="25"/>
      <c r="AH24" s="25"/>
      <c r="AI24" s="25"/>
      <c r="AJ24" s="25"/>
      <c r="AK24" s="25"/>
      <c r="AL24" s="25"/>
      <c r="AM24" s="25"/>
      <c r="AN24" s="25"/>
      <c r="AO24" s="25"/>
      <c r="AP24" s="25"/>
      <c r="AQ24" s="25"/>
    </row>
    <row r="25" spans="18:43" ht="15" customHeight="1">
      <c r="AA25" s="25"/>
      <c r="AB25" s="25"/>
      <c r="AC25" s="25"/>
      <c r="AD25" s="25"/>
      <c r="AE25" s="25"/>
      <c r="AF25" s="25"/>
      <c r="AG25" s="25"/>
      <c r="AH25" s="25"/>
      <c r="AI25" s="25"/>
      <c r="AJ25" s="25"/>
      <c r="AK25" s="25"/>
      <c r="AL25" s="25"/>
      <c r="AM25" s="25"/>
      <c r="AN25" s="25"/>
      <c r="AO25" s="25"/>
      <c r="AP25" s="25"/>
      <c r="AQ25" s="25"/>
    </row>
    <row r="26" spans="18:43" ht="15" customHeight="1">
      <c r="AA26" s="25"/>
      <c r="AB26" s="25"/>
      <c r="AC26" s="25"/>
      <c r="AD26" s="25"/>
      <c r="AE26" s="25"/>
      <c r="AF26" s="25"/>
      <c r="AG26" s="25"/>
      <c r="AH26" s="25"/>
      <c r="AI26" s="25"/>
      <c r="AJ26" s="25"/>
      <c r="AK26" s="25"/>
      <c r="AL26" s="25"/>
      <c r="AM26" s="25"/>
      <c r="AN26" s="25"/>
      <c r="AO26" s="25"/>
      <c r="AP26" s="25"/>
      <c r="AQ26" s="25"/>
    </row>
    <row r="27" spans="18:43" ht="15" customHeight="1">
      <c r="AA27" s="25"/>
      <c r="AB27" s="25"/>
      <c r="AC27" s="25"/>
      <c r="AD27" s="25"/>
      <c r="AE27" s="25"/>
      <c r="AF27" s="25"/>
      <c r="AG27" s="25"/>
      <c r="AH27" s="25"/>
      <c r="AI27" s="25"/>
      <c r="AJ27" s="25"/>
      <c r="AK27" s="25"/>
      <c r="AL27" s="25"/>
      <c r="AM27" s="25"/>
      <c r="AN27" s="25"/>
      <c r="AO27" s="25"/>
      <c r="AP27" s="25"/>
      <c r="AQ27" s="25"/>
    </row>
    <row r="28" spans="18:43" ht="15" customHeight="1">
      <c r="AA28" s="25"/>
      <c r="AB28" s="25"/>
      <c r="AC28" s="25"/>
      <c r="AD28" s="25" t="str" cm="1">
        <f t="array" ref="AD28:AL34">_xlfn.SORTBY(R38:Z44,Z38:Z44,1)</f>
        <v>Capex Intensity</v>
      </c>
      <c r="AE28" s="25">
        <v>0</v>
      </c>
      <c r="AF28" s="25">
        <v>0.01</v>
      </c>
      <c r="AG28" s="25">
        <v>0</v>
      </c>
      <c r="AH28" s="25">
        <v>0</v>
      </c>
      <c r="AI28" s="25">
        <v>0</v>
      </c>
      <c r="AJ28" s="25">
        <v>-45.59</v>
      </c>
      <c r="AK28" s="25">
        <v>-45.59</v>
      </c>
      <c r="AL28" s="25">
        <v>45.59</v>
      </c>
      <c r="AM28" s="25"/>
      <c r="AN28" s="25"/>
      <c r="AO28" s="25"/>
      <c r="AP28" s="25"/>
      <c r="AQ28" s="25"/>
    </row>
    <row r="29" spans="18:43" ht="15" customHeight="1">
      <c r="AA29" s="25"/>
      <c r="AB29" s="25"/>
      <c r="AC29" s="25"/>
      <c r="AD29" s="25" t="str">
        <v>COGS Margin</v>
      </c>
      <c r="AE29" s="25">
        <v>0</v>
      </c>
      <c r="AF29" s="25">
        <v>0.02</v>
      </c>
      <c r="AG29" s="25">
        <v>0</v>
      </c>
      <c r="AH29" s="25">
        <v>0</v>
      </c>
      <c r="AI29" s="25">
        <v>0</v>
      </c>
      <c r="AJ29" s="25">
        <v>-45.59</v>
      </c>
      <c r="AK29" s="25">
        <v>-45.59</v>
      </c>
      <c r="AL29" s="25">
        <v>45.59</v>
      </c>
      <c r="AM29" s="25"/>
      <c r="AN29" s="25"/>
      <c r="AO29" s="25"/>
      <c r="AP29" s="25"/>
      <c r="AQ29" s="25"/>
    </row>
    <row r="30" spans="18:43" ht="15" customHeight="1">
      <c r="AA30" s="25"/>
      <c r="AB30" s="25"/>
      <c r="AC30" s="25"/>
      <c r="AD30" s="25" t="str">
        <v>SG&amp;A Margin</v>
      </c>
      <c r="AE30" s="25">
        <v>0</v>
      </c>
      <c r="AF30" s="25">
        <v>0.01</v>
      </c>
      <c r="AG30" s="25">
        <v>0</v>
      </c>
      <c r="AH30" s="25">
        <v>0</v>
      </c>
      <c r="AI30" s="25">
        <v>0</v>
      </c>
      <c r="AJ30" s="25">
        <v>-45.59</v>
      </c>
      <c r="AK30" s="25">
        <v>-45.59</v>
      </c>
      <c r="AL30" s="25">
        <v>45.59</v>
      </c>
      <c r="AM30" s="25"/>
      <c r="AN30" s="25"/>
      <c r="AO30" s="25"/>
      <c r="AP30" s="25"/>
      <c r="AQ30" s="25"/>
    </row>
    <row r="31" spans="18:43" ht="15" customHeight="1">
      <c r="AA31" s="25"/>
      <c r="AB31" s="25"/>
      <c r="AC31" s="25"/>
      <c r="AD31" s="25" t="str">
        <v>WACC</v>
      </c>
      <c r="AE31" s="25">
        <v>0</v>
      </c>
      <c r="AF31" s="25">
        <v>5.0000000000000001E-3</v>
      </c>
      <c r="AG31" s="25">
        <v>0</v>
      </c>
      <c r="AH31" s="25">
        <v>0</v>
      </c>
      <c r="AI31" s="25">
        <v>0</v>
      </c>
      <c r="AJ31" s="25">
        <v>-45.59</v>
      </c>
      <c r="AK31" s="25">
        <v>-45.59</v>
      </c>
      <c r="AL31" s="25">
        <v>45.59</v>
      </c>
      <c r="AM31" s="25"/>
      <c r="AN31" s="25"/>
      <c r="AO31" s="25"/>
      <c r="AP31" s="25"/>
      <c r="AQ31" s="25"/>
    </row>
    <row r="32" spans="18:43" ht="15" customHeight="1">
      <c r="R32" s="375" t="s">
        <v>521</v>
      </c>
      <c r="S32" s="32"/>
      <c r="T32" s="32"/>
      <c r="U32" s="32"/>
      <c r="V32" s="375" t="s">
        <v>522</v>
      </c>
      <c r="W32" s="32"/>
      <c r="X32" s="32"/>
      <c r="Y32" s="32"/>
      <c r="Z32" s="37" t="s">
        <v>523</v>
      </c>
      <c r="AA32" s="25"/>
      <c r="AB32" s="25"/>
      <c r="AC32" s="25"/>
      <c r="AD32" s="25" t="str">
        <v>Terminal g</v>
      </c>
      <c r="AE32" s="25">
        <v>0</v>
      </c>
      <c r="AF32" s="25">
        <v>5.0000000000000001E-3</v>
      </c>
      <c r="AG32" s="25">
        <v>0</v>
      </c>
      <c r="AH32" s="25">
        <v>0</v>
      </c>
      <c r="AI32" s="25">
        <v>0</v>
      </c>
      <c r="AJ32" s="25">
        <v>-45.59</v>
      </c>
      <c r="AK32" s="25">
        <v>-45.59</v>
      </c>
      <c r="AL32" s="25">
        <v>45.59</v>
      </c>
      <c r="AM32" s="25"/>
      <c r="AN32" s="25"/>
      <c r="AO32" s="25"/>
      <c r="AP32" s="25"/>
      <c r="AQ32" s="25"/>
    </row>
    <row r="33" spans="18:43" ht="15" customHeight="1">
      <c r="R33" s="33" t="s">
        <v>524</v>
      </c>
      <c r="T33" s="24" t="e">
        <f ca="1">+FCFF!AL169</f>
        <v>#VALUE!</v>
      </c>
      <c r="V33" s="33" t="s">
        <v>525</v>
      </c>
      <c r="W33" s="97"/>
      <c r="X33" s="622">
        <v>469</v>
      </c>
      <c r="Z33" s="23" t="s">
        <v>297</v>
      </c>
      <c r="AA33" s="25"/>
      <c r="AB33" s="25"/>
      <c r="AC33" s="25"/>
      <c r="AD33" s="25" t="str">
        <v>EBITDA Exit</v>
      </c>
      <c r="AE33" s="25">
        <v>0</v>
      </c>
      <c r="AF33" s="25">
        <v>1.5</v>
      </c>
      <c r="AG33" s="25">
        <v>0</v>
      </c>
      <c r="AH33" s="25">
        <v>0</v>
      </c>
      <c r="AI33" s="25">
        <v>0</v>
      </c>
      <c r="AJ33" s="25">
        <v>-45.59</v>
      </c>
      <c r="AK33" s="25">
        <v>-45.59</v>
      </c>
      <c r="AL33" s="25">
        <v>45.59</v>
      </c>
      <c r="AM33" s="25"/>
      <c r="AN33" s="25"/>
      <c r="AO33" s="25"/>
      <c r="AP33" s="25"/>
      <c r="AQ33" s="25"/>
    </row>
    <row r="34" spans="18:43" ht="15" customHeight="1">
      <c r="R34" s="33" t="s">
        <v>526</v>
      </c>
      <c r="T34" s="601" t="e">
        <f ca="1">+FCFF!Z169</f>
        <v>#VALUE!</v>
      </c>
      <c r="V34" s="105" t="s">
        <v>527</v>
      </c>
      <c r="W34" s="97"/>
      <c r="X34" s="622">
        <v>45.59</v>
      </c>
      <c r="AA34" s="25"/>
      <c r="AB34" s="25"/>
      <c r="AC34" s="25"/>
      <c r="AD34" s="25" t="str">
        <v>Revenue Exit</v>
      </c>
      <c r="AE34" s="25">
        <v>0</v>
      </c>
      <c r="AF34" s="25">
        <v>1</v>
      </c>
      <c r="AG34" s="25">
        <v>0</v>
      </c>
      <c r="AH34" s="25">
        <v>0</v>
      </c>
      <c r="AI34" s="25">
        <v>0</v>
      </c>
      <c r="AJ34" s="25">
        <v>-45.59</v>
      </c>
      <c r="AK34" s="25">
        <v>-45.59</v>
      </c>
      <c r="AL34" s="25">
        <v>45.59</v>
      </c>
      <c r="AM34" s="25"/>
      <c r="AN34" s="25"/>
      <c r="AO34" s="25"/>
      <c r="AP34" s="25"/>
      <c r="AQ34" s="25"/>
    </row>
    <row r="35" spans="18:43" ht="15" customHeight="1">
      <c r="R35" s="33" t="s">
        <v>528</v>
      </c>
      <c r="T35" s="601" t="e">
        <f ca="1">FCFF!AF169</f>
        <v>#VALUE!</v>
      </c>
      <c r="V35" s="33" t="s">
        <v>529</v>
      </c>
      <c r="X35" s="623">
        <v>38.33</v>
      </c>
      <c r="AA35" s="25"/>
      <c r="AB35" s="25"/>
      <c r="AC35" s="25"/>
      <c r="AD35" s="25"/>
      <c r="AE35" s="25"/>
      <c r="AF35" s="25"/>
      <c r="AG35" s="25"/>
      <c r="AH35" s="25"/>
      <c r="AI35" s="25"/>
      <c r="AJ35" s="25"/>
      <c r="AK35" s="25"/>
      <c r="AL35" s="25"/>
      <c r="AM35" s="25"/>
      <c r="AN35" s="25"/>
      <c r="AO35" s="25"/>
      <c r="AP35" s="25"/>
      <c r="AQ35" s="25"/>
    </row>
    <row r="36" spans="18:43" ht="15" customHeight="1">
      <c r="AA36" s="25"/>
      <c r="AB36" s="25"/>
      <c r="AC36" s="25"/>
      <c r="AD36" s="25"/>
      <c r="AE36" s="25"/>
      <c r="AF36" s="25"/>
      <c r="AG36" s="25"/>
      <c r="AH36" s="25"/>
      <c r="AI36" s="25"/>
      <c r="AJ36" s="25"/>
      <c r="AK36" s="25"/>
      <c r="AL36" s="25"/>
      <c r="AM36" s="25"/>
      <c r="AN36" s="25"/>
      <c r="AO36" s="25"/>
      <c r="AP36" s="25"/>
      <c r="AQ36" s="25"/>
    </row>
    <row r="37" spans="18:43" ht="15" customHeight="1">
      <c r="R37" s="32"/>
      <c r="S37" s="32"/>
      <c r="T37" s="602" t="s">
        <v>530</v>
      </c>
      <c r="U37" s="602" t="s">
        <v>531</v>
      </c>
      <c r="V37" s="603" t="s">
        <v>532</v>
      </c>
      <c r="W37" s="603" t="s">
        <v>533</v>
      </c>
      <c r="X37" s="602" t="s">
        <v>534</v>
      </c>
      <c r="Y37" s="602" t="s">
        <v>535</v>
      </c>
      <c r="Z37" s="602" t="s">
        <v>536</v>
      </c>
      <c r="AA37" s="25"/>
      <c r="AB37" s="25"/>
      <c r="AC37" s="25"/>
      <c r="AD37" s="25"/>
      <c r="AE37" s="25"/>
      <c r="AF37" s="25"/>
      <c r="AG37" s="25"/>
      <c r="AH37" s="25"/>
      <c r="AI37" s="25"/>
      <c r="AJ37" s="25"/>
      <c r="AK37" s="25"/>
      <c r="AL37" s="25"/>
      <c r="AM37" s="25"/>
      <c r="AN37" s="25"/>
      <c r="AO37" s="25"/>
      <c r="AP37" s="25"/>
      <c r="AQ37" s="25"/>
    </row>
    <row r="38" spans="18:43" ht="15" customHeight="1">
      <c r="R38" s="97" t="s">
        <v>537</v>
      </c>
      <c r="S38" s="97"/>
      <c r="T38" s="606">
        <v>0.01</v>
      </c>
      <c r="U38" s="604"/>
      <c r="V38" s="622"/>
      <c r="W38" s="622"/>
      <c r="X38" s="23" cm="1">
        <f t="array" ref="X38">+V38-_xlfn.IFS($Z$33="EBITDA",$X$34,$Z$33="Revenue",$X$35,$Z$33="Gordon",$X$33)</f>
        <v>-45.59</v>
      </c>
      <c r="Y38" s="23" cm="1">
        <f t="array" ref="Y38">+W38-_xlfn.IFS($Z$33="EBITDA",$X$34,$Z$33="Revenue",$X$35,$Z$33="Gordon",$X$33)</f>
        <v>-45.59</v>
      </c>
      <c r="Z38" s="23">
        <f>MAX(ABS(X38),ABS(Y38))</f>
        <v>45.59</v>
      </c>
      <c r="AA38" s="25"/>
      <c r="AB38" s="25"/>
      <c r="AC38" s="25"/>
      <c r="AD38" s="25"/>
      <c r="AE38" s="25"/>
      <c r="AF38" s="25"/>
      <c r="AG38" s="25"/>
      <c r="AH38" s="25"/>
      <c r="AI38" s="25"/>
      <c r="AJ38" s="25"/>
      <c r="AK38" s="25"/>
      <c r="AL38" s="25"/>
      <c r="AM38" s="25"/>
      <c r="AN38" s="25"/>
      <c r="AO38" s="25"/>
      <c r="AP38" s="25"/>
      <c r="AQ38" s="25"/>
    </row>
    <row r="39" spans="18:43" ht="15" customHeight="1">
      <c r="R39" s="97" t="s">
        <v>538</v>
      </c>
      <c r="S39" s="341"/>
      <c r="T39" s="606">
        <v>0.02</v>
      </c>
      <c r="U39" s="604"/>
      <c r="V39" s="622"/>
      <c r="W39" s="622"/>
      <c r="X39" s="23" cm="1">
        <f t="array" ref="X39">+V39-_xlfn.IFS($Z$33="EBITDA",$X$34,$Z$33="Revenue",$X$35,$Z$33="Gordon",$X$33)</f>
        <v>-45.59</v>
      </c>
      <c r="Y39" s="23" cm="1">
        <f t="array" ref="Y39">+W39-_xlfn.IFS($Z$33="EBITDA",$X$34,$Z$33="Revenue",$X$35,$Z$33="Gordon",$X$33)</f>
        <v>-45.59</v>
      </c>
      <c r="Z39" s="23">
        <f>MAX(ABS(X39),ABS(Y39))</f>
        <v>45.59</v>
      </c>
      <c r="AA39" s="25"/>
      <c r="AB39" s="25"/>
      <c r="AC39" s="25"/>
      <c r="AD39" s="25"/>
      <c r="AE39" s="25"/>
      <c r="AF39" s="25"/>
      <c r="AG39" s="25"/>
      <c r="AH39" s="25"/>
      <c r="AI39" s="25"/>
      <c r="AJ39" s="25"/>
      <c r="AK39" s="25"/>
      <c r="AL39" s="25"/>
      <c r="AM39" s="25"/>
      <c r="AN39" s="25"/>
      <c r="AO39" s="25"/>
      <c r="AP39" s="25"/>
      <c r="AQ39" s="25"/>
    </row>
    <row r="40" spans="18:43" ht="15" customHeight="1">
      <c r="R40" s="97" t="s">
        <v>539</v>
      </c>
      <c r="S40" s="97"/>
      <c r="T40" s="606">
        <v>0.01</v>
      </c>
      <c r="U40" s="604"/>
      <c r="V40" s="623"/>
      <c r="W40" s="623"/>
      <c r="X40" s="23" cm="1">
        <f t="array" ref="X40">+V40-_xlfn.IFS($Z$33="EBITDA",$X$34,$Z$33="Revenue",$X$35,$Z$33="Gordon",$X$33)</f>
        <v>-45.59</v>
      </c>
      <c r="Y40" s="23" cm="1">
        <f t="array" ref="Y40">+W40-_xlfn.IFS($Z$33="EBITDA",$X$34,$Z$33="Revenue",$X$35,$Z$33="Gordon",$X$33)</f>
        <v>-45.59</v>
      </c>
      <c r="Z40" s="23">
        <f t="shared" ref="Z40:Z44" si="0">MAX(ABS(X40),ABS(Y40))</f>
        <v>45.59</v>
      </c>
      <c r="AA40" s="25"/>
      <c r="AB40" s="25"/>
      <c r="AC40" s="25"/>
      <c r="AD40" s="25"/>
      <c r="AE40" s="25"/>
      <c r="AF40" s="25"/>
      <c r="AG40" s="25"/>
      <c r="AH40" s="25"/>
      <c r="AI40" s="25"/>
      <c r="AJ40" s="25"/>
      <c r="AK40" s="25"/>
      <c r="AL40" s="25"/>
      <c r="AM40" s="25"/>
      <c r="AN40" s="25"/>
      <c r="AO40" s="25"/>
      <c r="AP40" s="25"/>
      <c r="AQ40" s="25"/>
    </row>
    <row r="41" spans="18:43" ht="15" customHeight="1">
      <c r="R41" s="97" t="s">
        <v>339</v>
      </c>
      <c r="S41" s="97"/>
      <c r="T41" s="606">
        <v>5.0000000000000001E-3</v>
      </c>
      <c r="U41" s="604"/>
      <c r="V41" s="622"/>
      <c r="W41" s="623"/>
      <c r="X41" s="23" cm="1">
        <f t="array" ref="X41">+V41-_xlfn.IFS($Z$33="EBITDA",$X$34,$Z$33="Revenue",$X$35,$Z$33="Gordon",$X$33)</f>
        <v>-45.59</v>
      </c>
      <c r="Y41" s="23" cm="1">
        <f t="array" ref="Y41">+W41-_xlfn.IFS($Z$33="EBITDA",$X$34,$Z$33="Revenue",$X$35,$Z$33="Gordon",$X$33)</f>
        <v>-45.59</v>
      </c>
      <c r="Z41" s="23">
        <f t="shared" si="0"/>
        <v>45.59</v>
      </c>
      <c r="AA41" s="25"/>
      <c r="AB41" s="25"/>
      <c r="AC41" s="25"/>
      <c r="AD41" s="25"/>
      <c r="AE41" s="25"/>
      <c r="AF41" s="25"/>
      <c r="AG41" s="25"/>
      <c r="AH41" s="25"/>
      <c r="AI41" s="25"/>
      <c r="AJ41" s="25"/>
      <c r="AK41" s="25"/>
      <c r="AL41" s="25"/>
      <c r="AM41" s="25"/>
      <c r="AN41" s="25"/>
      <c r="AO41" s="25"/>
      <c r="AP41" s="25"/>
      <c r="AQ41" s="25"/>
    </row>
    <row r="42" spans="18:43" ht="15" customHeight="1">
      <c r="R42" s="97" t="s">
        <v>540</v>
      </c>
      <c r="S42" s="97"/>
      <c r="T42" s="606">
        <v>5.0000000000000001E-3</v>
      </c>
      <c r="U42" s="604"/>
      <c r="V42" s="622"/>
      <c r="W42" s="623"/>
      <c r="X42" s="23" cm="1">
        <f t="array" ref="X42">+V42-_xlfn.IFS($Z$33="EBITDA",$X$34,$Z$33="Revenue",$X$35,$Z$33="Gordon",$X$33)</f>
        <v>-45.59</v>
      </c>
      <c r="Y42" s="23" cm="1">
        <f t="array" ref="Y42">+W42-_xlfn.IFS($Z$33="EBITDA",$X$34,$Z$33="Revenue",$X$35,$Z$33="Gordon",$X$33)</f>
        <v>-45.59</v>
      </c>
      <c r="Z42" s="23">
        <f t="shared" si="0"/>
        <v>45.59</v>
      </c>
      <c r="AA42" s="25"/>
      <c r="AB42" s="25"/>
      <c r="AC42" s="25"/>
      <c r="AD42" s="25"/>
      <c r="AE42" s="25"/>
      <c r="AF42" s="25"/>
      <c r="AG42" s="25"/>
      <c r="AH42" s="25"/>
      <c r="AI42" s="25"/>
      <c r="AJ42" s="25"/>
      <c r="AK42" s="25"/>
      <c r="AL42" s="25"/>
      <c r="AM42" s="25"/>
      <c r="AN42" s="25"/>
      <c r="AO42" s="25"/>
      <c r="AP42" s="25"/>
      <c r="AQ42" s="25"/>
    </row>
    <row r="43" spans="18:43" ht="15" customHeight="1">
      <c r="R43" s="97" t="s">
        <v>541</v>
      </c>
      <c r="S43" s="97"/>
      <c r="T43" s="607">
        <v>1.5</v>
      </c>
      <c r="U43" s="605"/>
      <c r="V43" s="623"/>
      <c r="W43" s="623"/>
      <c r="X43" s="23" cm="1">
        <f t="array" ref="X43">+V43-_xlfn.IFS($Z$33="EBITDA",$X$34,$Z$33="Revenue",$X$35,$Z$33="Gordon",$X$33)</f>
        <v>-45.59</v>
      </c>
      <c r="Y43" s="23" cm="1">
        <f t="array" ref="Y43">+W43-_xlfn.IFS($Z$33="EBITDA",$X$34,$Z$33="Revenue",$X$35,$Z$33="Gordon",$X$33)</f>
        <v>-45.59</v>
      </c>
      <c r="Z43" s="23">
        <f t="shared" si="0"/>
        <v>45.59</v>
      </c>
      <c r="AA43" s="25"/>
      <c r="AB43" s="25"/>
      <c r="AC43" s="25"/>
      <c r="AD43" s="25"/>
      <c r="AE43" s="25"/>
      <c r="AF43" s="25"/>
      <c r="AG43" s="25"/>
      <c r="AH43" s="25"/>
      <c r="AI43" s="25"/>
      <c r="AJ43" s="25"/>
      <c r="AK43" s="25"/>
      <c r="AL43" s="25"/>
      <c r="AM43" s="25"/>
      <c r="AN43" s="25"/>
      <c r="AO43" s="25"/>
      <c r="AP43" s="25"/>
      <c r="AQ43" s="25"/>
    </row>
    <row r="44" spans="18:43" ht="15" customHeight="1">
      <c r="R44" s="97" t="s">
        <v>447</v>
      </c>
      <c r="S44" s="97"/>
      <c r="T44" s="607">
        <v>1</v>
      </c>
      <c r="U44" s="605"/>
      <c r="V44" s="622"/>
      <c r="W44" s="623"/>
      <c r="X44" s="23" cm="1">
        <f t="array" ref="X44">+V44-_xlfn.IFS($Z$33="EBITDA",$X$34,$Z$33="Revenue",$X$35,$Z$33="Gordon",$X$33)</f>
        <v>-45.59</v>
      </c>
      <c r="Y44" s="23" cm="1">
        <f t="array" ref="Y44">+W44-_xlfn.IFS($Z$33="EBITDA",$X$34,$Z$33="Revenue",$X$35,$Z$33="Gordon",$X$33)</f>
        <v>-45.59</v>
      </c>
      <c r="Z44" s="23">
        <f t="shared" si="0"/>
        <v>45.59</v>
      </c>
      <c r="AA44" s="25"/>
      <c r="AB44" s="25"/>
      <c r="AC44" s="25"/>
      <c r="AD44" s="25"/>
      <c r="AE44" s="25"/>
      <c r="AF44" s="25"/>
      <c r="AG44" s="25"/>
      <c r="AH44" s="25"/>
      <c r="AI44" s="25"/>
      <c r="AJ44" s="25"/>
      <c r="AK44" s="25"/>
      <c r="AL44" s="25"/>
      <c r="AM44" s="25"/>
      <c r="AN44" s="25"/>
      <c r="AO44" s="25"/>
      <c r="AP44" s="25"/>
      <c r="AQ44" s="25"/>
    </row>
    <row r="45" spans="18:43" ht="15" customHeight="1">
      <c r="AA45" s="25"/>
      <c r="AB45" s="25"/>
      <c r="AC45" s="25"/>
      <c r="AD45" s="25"/>
      <c r="AE45" s="25"/>
      <c r="AF45" s="25"/>
      <c r="AG45" s="25"/>
      <c r="AH45" s="25"/>
      <c r="AI45" s="25"/>
      <c r="AJ45" s="25"/>
      <c r="AK45" s="25"/>
      <c r="AL45" s="25"/>
      <c r="AM45" s="25"/>
      <c r="AN45" s="25"/>
      <c r="AO45" s="25"/>
      <c r="AP45" s="25"/>
      <c r="AQ45" s="25"/>
    </row>
    <row r="46" spans="18:43" ht="15" customHeight="1">
      <c r="AA46" s="25"/>
      <c r="AB46" s="25"/>
      <c r="AC46" s="25"/>
      <c r="AD46" s="25"/>
      <c r="AE46" s="25"/>
      <c r="AF46" s="25"/>
      <c r="AG46" s="25"/>
      <c r="AH46" s="25"/>
      <c r="AI46" s="25"/>
      <c r="AJ46" s="25"/>
      <c r="AK46" s="25"/>
      <c r="AL46" s="25"/>
      <c r="AM46" s="25"/>
      <c r="AN46" s="25"/>
      <c r="AO46" s="25"/>
      <c r="AP46" s="25"/>
      <c r="AQ46" s="25"/>
    </row>
    <row r="47" spans="18:43" ht="15" customHeight="1">
      <c r="AA47" s="25"/>
      <c r="AB47" s="25"/>
      <c r="AC47" s="25"/>
      <c r="AD47" s="25"/>
      <c r="AE47" s="25"/>
      <c r="AF47" s="25"/>
      <c r="AG47" s="25"/>
      <c r="AH47" s="25"/>
      <c r="AI47" s="25"/>
      <c r="AJ47" s="25"/>
      <c r="AK47" s="25"/>
      <c r="AL47" s="25"/>
      <c r="AM47" s="25"/>
      <c r="AN47" s="25"/>
      <c r="AO47" s="25"/>
      <c r="AP47" s="25"/>
      <c r="AQ47" s="25"/>
    </row>
    <row r="48" spans="18:43" ht="15" customHeight="1">
      <c r="AA48" s="25"/>
      <c r="AB48" s="25"/>
      <c r="AC48" s="25"/>
      <c r="AD48" s="25"/>
      <c r="AE48" s="25"/>
      <c r="AF48" s="25"/>
      <c r="AG48" s="25"/>
      <c r="AH48" s="25"/>
      <c r="AI48" s="25"/>
      <c r="AJ48" s="25"/>
      <c r="AK48" s="25"/>
      <c r="AL48" s="25"/>
      <c r="AM48" s="25"/>
      <c r="AN48" s="25"/>
      <c r="AO48" s="25"/>
      <c r="AP48" s="25"/>
      <c r="AQ48" s="25"/>
    </row>
    <row r="49" spans="27:43" ht="15" customHeight="1">
      <c r="AA49" s="25"/>
      <c r="AB49" s="25"/>
      <c r="AC49" s="25"/>
      <c r="AD49" s="25"/>
      <c r="AE49" s="25"/>
      <c r="AF49" s="25"/>
      <c r="AG49" s="25"/>
      <c r="AH49" s="25"/>
      <c r="AI49" s="25"/>
      <c r="AJ49" s="25"/>
      <c r="AK49" s="25"/>
      <c r="AL49" s="25"/>
      <c r="AM49" s="25"/>
      <c r="AN49" s="25"/>
      <c r="AO49" s="25"/>
      <c r="AP49" s="25"/>
      <c r="AQ49" s="25"/>
    </row>
    <row r="50" spans="27:43" ht="15" customHeight="1">
      <c r="AA50" s="25"/>
      <c r="AB50" s="25"/>
      <c r="AC50" s="25"/>
      <c r="AD50" s="25"/>
      <c r="AE50" s="25"/>
      <c r="AF50" s="25"/>
      <c r="AG50" s="25"/>
      <c r="AH50" s="25"/>
      <c r="AI50" s="25"/>
      <c r="AJ50" s="25"/>
      <c r="AK50" s="25"/>
      <c r="AL50" s="25"/>
      <c r="AM50" s="25"/>
      <c r="AN50" s="25"/>
      <c r="AO50" s="25"/>
      <c r="AP50" s="25"/>
      <c r="AQ50" s="25"/>
    </row>
    <row r="51" spans="27:43" ht="15" customHeight="1">
      <c r="AA51" s="25"/>
      <c r="AB51" s="25"/>
      <c r="AC51" s="25"/>
      <c r="AD51" s="25"/>
      <c r="AE51" s="25"/>
      <c r="AF51" s="25"/>
      <c r="AG51" s="25"/>
      <c r="AH51" s="25"/>
      <c r="AI51" s="25"/>
      <c r="AJ51" s="25"/>
      <c r="AK51" s="25"/>
      <c r="AL51" s="25"/>
      <c r="AM51" s="25"/>
      <c r="AN51" s="25"/>
      <c r="AO51" s="25"/>
      <c r="AP51" s="25"/>
      <c r="AQ51" s="25"/>
    </row>
    <row r="52" spans="27:43" ht="15" customHeight="1">
      <c r="AA52" s="25"/>
      <c r="AB52" s="25"/>
      <c r="AC52" s="25"/>
      <c r="AD52" s="25"/>
      <c r="AE52" s="25"/>
      <c r="AF52" s="25"/>
      <c r="AG52" s="25"/>
      <c r="AH52" s="25"/>
      <c r="AI52" s="25"/>
      <c r="AJ52" s="25"/>
      <c r="AK52" s="25"/>
      <c r="AL52" s="25"/>
      <c r="AM52" s="25"/>
      <c r="AN52" s="25"/>
      <c r="AO52" s="25"/>
      <c r="AP52" s="25"/>
      <c r="AQ52" s="25"/>
    </row>
    <row r="53" spans="27:43" ht="15" customHeight="1">
      <c r="AA53" s="25"/>
      <c r="AB53" s="25"/>
      <c r="AC53" s="25"/>
      <c r="AD53" s="25"/>
      <c r="AE53" s="25"/>
      <c r="AF53" s="25"/>
      <c r="AG53" s="25"/>
      <c r="AH53" s="25"/>
      <c r="AI53" s="25"/>
      <c r="AJ53" s="25"/>
      <c r="AK53" s="25"/>
      <c r="AL53" s="25"/>
      <c r="AM53" s="25"/>
      <c r="AN53" s="25"/>
      <c r="AO53" s="25"/>
      <c r="AP53" s="25"/>
      <c r="AQ53" s="25"/>
    </row>
    <row r="54" spans="27:43" ht="15" customHeight="1">
      <c r="AA54" s="25"/>
      <c r="AB54" s="25"/>
      <c r="AC54" s="25"/>
      <c r="AD54" s="25"/>
      <c r="AE54" s="25"/>
      <c r="AF54" s="25"/>
      <c r="AG54" s="25"/>
      <c r="AH54" s="25"/>
      <c r="AI54" s="25"/>
      <c r="AJ54" s="25"/>
      <c r="AK54" s="25"/>
      <c r="AL54" s="25"/>
      <c r="AM54" s="25"/>
      <c r="AN54" s="25"/>
      <c r="AO54" s="25"/>
      <c r="AP54" s="25"/>
      <c r="AQ54" s="25"/>
    </row>
  </sheetData>
  <dataValidations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65"/>
  <sheetViews>
    <sheetView showGridLines="0" topLeftCell="A50" zoomScaleNormal="100" workbookViewId="0">
      <selection activeCell="D50" sqref="D50"/>
    </sheetView>
  </sheetViews>
  <sheetFormatPr defaultColWidth="9" defaultRowHeight="14.25" customHeight="1" outlineLevelCol="1"/>
  <cols>
    <col min="1" max="1" width="2.125" style="97" customWidth="1"/>
    <col min="2" max="2" width="50.625" style="97" customWidth="1"/>
    <col min="3" max="3" width="3.37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7" width="9.625" style="97" customWidth="1" outlineLevel="1"/>
    <col min="38" max="38" width="11.625" style="97" customWidth="1"/>
    <col min="39" max="39" width="1.625" style="23" customWidth="1"/>
    <col min="40" max="43" width="9.625" style="97" customWidth="1" outlineLevel="1"/>
    <col min="44" max="44" width="11.625" style="97" customWidth="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2:50" s="582" customFormat="1" ht="15" customHeight="1"/>
    <row r="2" spans="2:50" s="582" customFormat="1" ht="15" customHeight="1"/>
    <row r="3" spans="2:50" s="582" customFormat="1" ht="15" customHeight="1"/>
    <row r="4" spans="2:50" s="582" customFormat="1" ht="15" customHeight="1"/>
    <row r="5" spans="2:50" s="288" customFormat="1" ht="3.95" customHeight="1">
      <c r="C5" s="36"/>
      <c r="I5" s="36"/>
      <c r="O5" s="36"/>
      <c r="U5" s="36"/>
      <c r="AA5" s="36"/>
      <c r="AG5" s="36"/>
      <c r="AM5" s="36"/>
      <c r="AS5" s="36"/>
      <c r="AU5" s="36"/>
      <c r="AV5" s="289"/>
      <c r="AW5" s="36"/>
    </row>
    <row r="7" spans="2:50" s="41" customFormat="1" ht="15" customHeight="1">
      <c r="B7" s="161" t="s">
        <v>357</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2:50" s="41" customFormat="1" ht="15" customHeight="1">
      <c r="B8" s="164"/>
      <c r="C8" s="18"/>
      <c r="D8" s="743">
        <v>2020</v>
      </c>
      <c r="E8" s="743"/>
      <c r="F8" s="743"/>
      <c r="G8" s="743"/>
      <c r="H8" s="743"/>
      <c r="I8" s="169"/>
      <c r="J8" s="743">
        <v>2021</v>
      </c>
      <c r="K8" s="743"/>
      <c r="L8" s="743"/>
      <c r="M8" s="743"/>
      <c r="N8" s="743"/>
      <c r="O8" s="169"/>
      <c r="P8" s="743">
        <v>2022</v>
      </c>
      <c r="Q8" s="743"/>
      <c r="R8" s="743"/>
      <c r="S8" s="743"/>
      <c r="T8" s="743"/>
      <c r="U8" s="169"/>
      <c r="V8" s="743">
        <v>2023</v>
      </c>
      <c r="W8" s="743"/>
      <c r="X8" s="743"/>
      <c r="Y8" s="743"/>
      <c r="Z8" s="743"/>
      <c r="AA8" s="169"/>
      <c r="AB8" s="743">
        <v>2024</v>
      </c>
      <c r="AC8" s="743"/>
      <c r="AD8" s="743"/>
      <c r="AE8" s="743"/>
      <c r="AF8" s="743"/>
      <c r="AG8" s="169"/>
      <c r="AH8" s="742">
        <v>2025</v>
      </c>
      <c r="AI8" s="742"/>
      <c r="AJ8" s="742"/>
      <c r="AK8" s="742"/>
      <c r="AL8" s="742"/>
      <c r="AM8" s="169"/>
      <c r="AN8" s="742">
        <v>2026</v>
      </c>
      <c r="AO8" s="742"/>
      <c r="AP8" s="742"/>
      <c r="AQ8" s="742"/>
      <c r="AR8" s="742"/>
      <c r="AS8" s="171"/>
      <c r="AT8" s="166">
        <v>2027</v>
      </c>
      <c r="AU8" s="167"/>
      <c r="AV8" s="166">
        <v>2028</v>
      </c>
      <c r="AW8" s="167"/>
      <c r="AX8" s="166">
        <v>2029</v>
      </c>
    </row>
    <row r="9" spans="2:50" s="41" customFormat="1" ht="14.25" customHeight="1">
      <c r="B9" s="164"/>
      <c r="C9" s="18"/>
      <c r="D9" s="168" t="s">
        <v>202</v>
      </c>
      <c r="E9" s="168" t="s">
        <v>203</v>
      </c>
      <c r="F9" s="168" t="s">
        <v>204</v>
      </c>
      <c r="G9" s="168" t="s">
        <v>205</v>
      </c>
      <c r="H9" s="168" t="s">
        <v>206</v>
      </c>
      <c r="I9" s="18"/>
      <c r="J9" s="168" t="s">
        <v>202</v>
      </c>
      <c r="K9" s="168" t="s">
        <v>203</v>
      </c>
      <c r="L9" s="168" t="s">
        <v>204</v>
      </c>
      <c r="M9" s="168" t="s">
        <v>205</v>
      </c>
      <c r="N9" s="168" t="s">
        <v>206</v>
      </c>
      <c r="O9" s="165"/>
      <c r="P9" s="168" t="s">
        <v>202</v>
      </c>
      <c r="Q9" s="168" t="s">
        <v>203</v>
      </c>
      <c r="R9" s="168" t="s">
        <v>204</v>
      </c>
      <c r="S9" s="168" t="s">
        <v>205</v>
      </c>
      <c r="T9" s="168" t="s">
        <v>206</v>
      </c>
      <c r="U9" s="165"/>
      <c r="V9" s="168" t="s">
        <v>202</v>
      </c>
      <c r="W9" s="168" t="s">
        <v>203</v>
      </c>
      <c r="X9" s="168" t="s">
        <v>204</v>
      </c>
      <c r="Y9" s="168" t="s">
        <v>205</v>
      </c>
      <c r="Z9" s="168" t="s">
        <v>206</v>
      </c>
      <c r="AA9" s="165"/>
      <c r="AB9" s="168" t="s">
        <v>202</v>
      </c>
      <c r="AC9" s="168" t="s">
        <v>203</v>
      </c>
      <c r="AD9" s="168" t="s">
        <v>204</v>
      </c>
      <c r="AE9" s="168" t="s">
        <v>205</v>
      </c>
      <c r="AF9" s="168" t="s">
        <v>206</v>
      </c>
      <c r="AG9" s="165"/>
      <c r="AH9" s="168" t="s">
        <v>202</v>
      </c>
      <c r="AI9" s="168" t="s">
        <v>203</v>
      </c>
      <c r="AJ9" s="168" t="s">
        <v>204</v>
      </c>
      <c r="AK9" s="168" t="s">
        <v>205</v>
      </c>
      <c r="AL9" s="168" t="s">
        <v>206</v>
      </c>
      <c r="AM9" s="165"/>
      <c r="AN9" s="168" t="s">
        <v>202</v>
      </c>
      <c r="AO9" s="168" t="s">
        <v>203</v>
      </c>
      <c r="AP9" s="168" t="s">
        <v>204</v>
      </c>
      <c r="AQ9" s="168" t="s">
        <v>205</v>
      </c>
      <c r="AR9" s="168" t="s">
        <v>206</v>
      </c>
      <c r="AS9" s="165"/>
      <c r="AT9" s="168" t="s">
        <v>206</v>
      </c>
      <c r="AU9" s="165"/>
      <c r="AV9" s="168" t="s">
        <v>206</v>
      </c>
      <c r="AW9" s="165"/>
      <c r="AX9" s="168" t="s">
        <v>206</v>
      </c>
    </row>
    <row r="10" spans="2:50" s="41" customFormat="1" ht="3.95" customHeight="1">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2:50" s="41" customFormat="1" ht="3.95" customHeight="1">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2:50" s="54" customFormat="1" ht="14.25" customHeight="1">
      <c r="B12" s="45" t="s">
        <v>542</v>
      </c>
      <c r="C12" s="23"/>
      <c r="D12" s="46"/>
      <c r="E12" s="46"/>
      <c r="F12" s="46"/>
      <c r="G12" s="46"/>
      <c r="H12" s="47"/>
      <c r="I12" s="48"/>
      <c r="J12" s="46"/>
      <c r="K12" s="46"/>
      <c r="L12" s="46"/>
      <c r="M12" s="46"/>
      <c r="N12" s="47"/>
      <c r="O12" s="47"/>
      <c r="P12" s="46"/>
      <c r="Q12" s="46"/>
      <c r="R12" s="46"/>
      <c r="S12" s="46"/>
      <c r="T12" s="47"/>
      <c r="U12" s="47"/>
      <c r="V12" s="46"/>
      <c r="W12" s="46"/>
      <c r="X12" s="46"/>
      <c r="Y12" s="46"/>
      <c r="Z12" s="47"/>
      <c r="AA12" s="47"/>
      <c r="AB12" s="46"/>
      <c r="AC12" s="46"/>
      <c r="AD12" s="46"/>
      <c r="AE12" s="46"/>
      <c r="AF12" s="47"/>
      <c r="AG12" s="49"/>
      <c r="AH12" s="46"/>
      <c r="AI12" s="46"/>
      <c r="AJ12" s="50"/>
      <c r="AK12" s="50"/>
      <c r="AL12" s="47"/>
      <c r="AM12" s="51"/>
      <c r="AN12" s="50"/>
      <c r="AO12" s="50"/>
      <c r="AP12" s="50"/>
      <c r="AQ12" s="50"/>
      <c r="AR12" s="47"/>
      <c r="AS12" s="51"/>
      <c r="AT12" s="52"/>
      <c r="AU12" s="53"/>
      <c r="AV12" s="52"/>
      <c r="AW12" s="53"/>
      <c r="AX12" s="52"/>
    </row>
    <row r="13" spans="2:50" s="54" customFormat="1" ht="14.25" customHeight="1">
      <c r="B13" s="56" t="s">
        <v>543</v>
      </c>
      <c r="C13" s="23"/>
      <c r="D13" s="50">
        <v>0</v>
      </c>
      <c r="E13" s="50">
        <v>0</v>
      </c>
      <c r="F13" s="50">
        <v>0</v>
      </c>
      <c r="G13" s="50">
        <v>0</v>
      </c>
      <c r="H13" s="52">
        <v>0</v>
      </c>
      <c r="I13" s="48"/>
      <c r="J13" s="50">
        <v>0</v>
      </c>
      <c r="K13" s="50">
        <v>0</v>
      </c>
      <c r="L13" s="50">
        <v>0</v>
      </c>
      <c r="M13" s="50">
        <v>0</v>
      </c>
      <c r="N13" s="52">
        <v>0</v>
      </c>
      <c r="O13" s="47"/>
      <c r="P13" s="50">
        <v>0</v>
      </c>
      <c r="Q13" s="50">
        <v>0</v>
      </c>
      <c r="R13" s="50">
        <v>0</v>
      </c>
      <c r="S13" s="50">
        <v>0</v>
      </c>
      <c r="T13" s="52">
        <v>0</v>
      </c>
      <c r="U13" s="47"/>
      <c r="V13" s="50">
        <v>0</v>
      </c>
      <c r="W13" s="50">
        <v>0</v>
      </c>
      <c r="X13" s="50">
        <v>0</v>
      </c>
      <c r="Y13" s="50">
        <v>0</v>
      </c>
      <c r="Z13" s="52">
        <v>0</v>
      </c>
      <c r="AA13" s="47"/>
      <c r="AB13" s="50">
        <v>0</v>
      </c>
      <c r="AC13" s="50">
        <v>0</v>
      </c>
      <c r="AD13" s="50">
        <v>0</v>
      </c>
      <c r="AE13" s="50">
        <v>0</v>
      </c>
      <c r="AF13" s="52">
        <v>0</v>
      </c>
      <c r="AG13" s="49"/>
      <c r="AH13" s="50">
        <v>0</v>
      </c>
      <c r="AI13" s="50">
        <v>0</v>
      </c>
      <c r="AJ13" s="50">
        <v>0</v>
      </c>
      <c r="AK13" s="50">
        <v>0</v>
      </c>
      <c r="AL13" s="52">
        <v>0</v>
      </c>
      <c r="AM13" s="51"/>
      <c r="AN13" s="50">
        <v>0</v>
      </c>
      <c r="AO13" s="50">
        <v>0</v>
      </c>
      <c r="AP13" s="50">
        <v>0</v>
      </c>
      <c r="AQ13" s="50">
        <v>0</v>
      </c>
      <c r="AR13" s="52">
        <v>0</v>
      </c>
      <c r="AS13" s="51"/>
      <c r="AT13" s="52">
        <v>0</v>
      </c>
      <c r="AU13" s="53"/>
      <c r="AV13" s="52">
        <v>0</v>
      </c>
      <c r="AW13" s="53"/>
      <c r="AX13" s="52">
        <v>0</v>
      </c>
    </row>
    <row r="14" spans="2:50" s="54" customFormat="1" ht="14.25" customHeight="1">
      <c r="B14" s="56" t="s">
        <v>544</v>
      </c>
      <c r="C14" s="23"/>
      <c r="D14" s="50">
        <v>0</v>
      </c>
      <c r="E14" s="50">
        <v>0</v>
      </c>
      <c r="F14" s="50">
        <v>0</v>
      </c>
      <c r="G14" s="50">
        <v>0</v>
      </c>
      <c r="H14" s="52">
        <v>0</v>
      </c>
      <c r="I14" s="48"/>
      <c r="J14" s="50">
        <v>0</v>
      </c>
      <c r="K14" s="50">
        <v>0</v>
      </c>
      <c r="L14" s="50">
        <v>0</v>
      </c>
      <c r="M14" s="50">
        <v>0</v>
      </c>
      <c r="N14" s="52">
        <v>0</v>
      </c>
      <c r="O14" s="47"/>
      <c r="P14" s="50">
        <v>0</v>
      </c>
      <c r="Q14" s="50">
        <v>0</v>
      </c>
      <c r="R14" s="50">
        <v>0</v>
      </c>
      <c r="S14" s="50">
        <v>0</v>
      </c>
      <c r="T14" s="52">
        <v>0</v>
      </c>
      <c r="U14" s="47"/>
      <c r="V14" s="50">
        <v>0</v>
      </c>
      <c r="W14" s="50">
        <v>0</v>
      </c>
      <c r="X14" s="50">
        <v>0</v>
      </c>
      <c r="Y14" s="50">
        <v>0</v>
      </c>
      <c r="Z14" s="52">
        <v>0</v>
      </c>
      <c r="AA14" s="47"/>
      <c r="AB14" s="50">
        <v>0</v>
      </c>
      <c r="AC14" s="50">
        <v>0</v>
      </c>
      <c r="AD14" s="50">
        <v>0</v>
      </c>
      <c r="AE14" s="50">
        <v>0</v>
      </c>
      <c r="AF14" s="52">
        <v>0</v>
      </c>
      <c r="AG14" s="49"/>
      <c r="AH14" s="50">
        <v>0</v>
      </c>
      <c r="AI14" s="50">
        <v>0</v>
      </c>
      <c r="AJ14" s="50">
        <v>0</v>
      </c>
      <c r="AK14" s="50">
        <v>0</v>
      </c>
      <c r="AL14" s="52">
        <v>0</v>
      </c>
      <c r="AM14" s="51"/>
      <c r="AN14" s="50">
        <v>0</v>
      </c>
      <c r="AO14" s="50">
        <v>0</v>
      </c>
      <c r="AP14" s="50">
        <v>0</v>
      </c>
      <c r="AQ14" s="50">
        <v>0</v>
      </c>
      <c r="AR14" s="52">
        <v>0</v>
      </c>
      <c r="AS14" s="51"/>
      <c r="AT14" s="52">
        <v>0</v>
      </c>
      <c r="AU14" s="53"/>
      <c r="AV14" s="52">
        <v>0</v>
      </c>
      <c r="AW14" s="53"/>
      <c r="AX14" s="52">
        <v>0</v>
      </c>
    </row>
    <row r="15" spans="2:50" s="54" customFormat="1" ht="14.25" customHeight="1">
      <c r="B15" s="56" t="s">
        <v>545</v>
      </c>
      <c r="C15" s="23"/>
      <c r="D15" s="50">
        <v>0</v>
      </c>
      <c r="E15" s="50">
        <v>0</v>
      </c>
      <c r="F15" s="50">
        <v>0</v>
      </c>
      <c r="G15" s="50">
        <v>0</v>
      </c>
      <c r="H15" s="52">
        <v>0</v>
      </c>
      <c r="I15" s="48"/>
      <c r="J15" s="50">
        <v>0</v>
      </c>
      <c r="K15" s="50">
        <v>0</v>
      </c>
      <c r="L15" s="50">
        <v>0</v>
      </c>
      <c r="M15" s="50">
        <v>0</v>
      </c>
      <c r="N15" s="52">
        <v>0</v>
      </c>
      <c r="O15" s="47"/>
      <c r="P15" s="50">
        <v>0</v>
      </c>
      <c r="Q15" s="50">
        <v>0</v>
      </c>
      <c r="R15" s="50">
        <v>0</v>
      </c>
      <c r="S15" s="50">
        <v>0</v>
      </c>
      <c r="T15" s="52">
        <v>0</v>
      </c>
      <c r="U15" s="47"/>
      <c r="V15" s="50">
        <v>0</v>
      </c>
      <c r="W15" s="50">
        <v>0</v>
      </c>
      <c r="X15" s="50">
        <v>0</v>
      </c>
      <c r="Y15" s="50">
        <v>0</v>
      </c>
      <c r="Z15" s="52">
        <v>0</v>
      </c>
      <c r="AA15" s="47"/>
      <c r="AB15" s="50">
        <v>0</v>
      </c>
      <c r="AC15" s="50">
        <v>0</v>
      </c>
      <c r="AD15" s="50">
        <v>0</v>
      </c>
      <c r="AE15" s="50">
        <v>0</v>
      </c>
      <c r="AF15" s="52">
        <v>0</v>
      </c>
      <c r="AG15" s="49"/>
      <c r="AH15" s="50">
        <v>0</v>
      </c>
      <c r="AI15" s="50">
        <v>0</v>
      </c>
      <c r="AJ15" s="50">
        <v>0</v>
      </c>
      <c r="AK15" s="50">
        <v>0</v>
      </c>
      <c r="AL15" s="52">
        <v>0</v>
      </c>
      <c r="AM15" s="51"/>
      <c r="AN15" s="50">
        <v>0</v>
      </c>
      <c r="AO15" s="50">
        <v>0</v>
      </c>
      <c r="AP15" s="50">
        <v>0</v>
      </c>
      <c r="AQ15" s="50">
        <v>0</v>
      </c>
      <c r="AR15" s="52">
        <v>0</v>
      </c>
      <c r="AS15" s="51"/>
      <c r="AT15" s="52">
        <v>0</v>
      </c>
      <c r="AU15" s="53"/>
      <c r="AV15" s="52">
        <v>0</v>
      </c>
      <c r="AW15" s="53"/>
      <c r="AX15" s="52">
        <v>0</v>
      </c>
    </row>
    <row r="16" spans="2:50" s="54" customFormat="1" ht="14.25" customHeight="1">
      <c r="B16" s="56" t="s">
        <v>546</v>
      </c>
      <c r="C16" s="23"/>
      <c r="D16" s="50">
        <v>0</v>
      </c>
      <c r="E16" s="50">
        <v>0</v>
      </c>
      <c r="F16" s="50">
        <v>0</v>
      </c>
      <c r="G16" s="50">
        <v>0</v>
      </c>
      <c r="H16" s="58">
        <v>0</v>
      </c>
      <c r="I16" s="48"/>
      <c r="J16" s="50">
        <v>0</v>
      </c>
      <c r="K16" s="50">
        <v>0</v>
      </c>
      <c r="L16" s="50">
        <v>0</v>
      </c>
      <c r="M16" s="50">
        <v>0</v>
      </c>
      <c r="N16" s="58">
        <v>0</v>
      </c>
      <c r="O16" s="57"/>
      <c r="P16" s="50">
        <v>0</v>
      </c>
      <c r="Q16" s="50">
        <v>0</v>
      </c>
      <c r="R16" s="50">
        <v>0</v>
      </c>
      <c r="S16" s="50">
        <v>0</v>
      </c>
      <c r="T16" s="58">
        <v>0</v>
      </c>
      <c r="U16" s="57"/>
      <c r="V16" s="50">
        <v>0</v>
      </c>
      <c r="W16" s="50">
        <v>0</v>
      </c>
      <c r="X16" s="50">
        <v>0</v>
      </c>
      <c r="Y16" s="50">
        <v>0</v>
      </c>
      <c r="Z16" s="58">
        <v>0</v>
      </c>
      <c r="AA16" s="57"/>
      <c r="AB16" s="50">
        <v>0</v>
      </c>
      <c r="AC16" s="50">
        <v>0</v>
      </c>
      <c r="AD16" s="50">
        <v>0</v>
      </c>
      <c r="AE16" s="50">
        <v>0</v>
      </c>
      <c r="AF16" s="58">
        <v>0</v>
      </c>
      <c r="AG16" s="49"/>
      <c r="AH16" s="50">
        <v>0</v>
      </c>
      <c r="AI16" s="50">
        <v>0</v>
      </c>
      <c r="AJ16" s="50">
        <v>0</v>
      </c>
      <c r="AK16" s="50">
        <v>0</v>
      </c>
      <c r="AL16" s="58">
        <v>0</v>
      </c>
      <c r="AM16" s="51"/>
      <c r="AN16" s="50">
        <v>0</v>
      </c>
      <c r="AO16" s="50">
        <v>0</v>
      </c>
      <c r="AP16" s="50">
        <v>0</v>
      </c>
      <c r="AQ16" s="50">
        <v>0</v>
      </c>
      <c r="AR16" s="58">
        <v>0</v>
      </c>
      <c r="AS16" s="51"/>
      <c r="AT16" s="58">
        <v>0</v>
      </c>
      <c r="AU16" s="53"/>
      <c r="AV16" s="58">
        <v>0</v>
      </c>
      <c r="AW16" s="53"/>
      <c r="AX16" s="58">
        <v>0</v>
      </c>
    </row>
    <row r="17" spans="1:50" s="54" customFormat="1" ht="14.25" customHeight="1">
      <c r="A17" s="55"/>
      <c r="B17" s="56" t="s">
        <v>547</v>
      </c>
      <c r="C17" s="23"/>
      <c r="D17" s="50">
        <v>0</v>
      </c>
      <c r="E17" s="50">
        <v>0</v>
      </c>
      <c r="F17" s="50">
        <v>0</v>
      </c>
      <c r="G17" s="50">
        <v>0</v>
      </c>
      <c r="H17" s="58">
        <v>0</v>
      </c>
      <c r="I17" s="48"/>
      <c r="J17" s="50">
        <v>0</v>
      </c>
      <c r="K17" s="50">
        <v>0</v>
      </c>
      <c r="L17" s="50">
        <v>0</v>
      </c>
      <c r="M17" s="50">
        <v>0</v>
      </c>
      <c r="N17" s="58">
        <v>0</v>
      </c>
      <c r="O17" s="57"/>
      <c r="P17" s="50">
        <v>0</v>
      </c>
      <c r="Q17" s="50">
        <v>0</v>
      </c>
      <c r="R17" s="50">
        <v>0</v>
      </c>
      <c r="S17" s="50">
        <v>0</v>
      </c>
      <c r="T17" s="58">
        <v>0</v>
      </c>
      <c r="U17" s="57"/>
      <c r="V17" s="50">
        <v>0</v>
      </c>
      <c r="W17" s="50">
        <v>0</v>
      </c>
      <c r="X17" s="50">
        <v>0</v>
      </c>
      <c r="Y17" s="50">
        <v>0</v>
      </c>
      <c r="Z17" s="58">
        <v>0</v>
      </c>
      <c r="AA17" s="57"/>
      <c r="AB17" s="50">
        <v>0</v>
      </c>
      <c r="AC17" s="50">
        <v>0</v>
      </c>
      <c r="AD17" s="50">
        <v>0</v>
      </c>
      <c r="AE17" s="50">
        <v>0</v>
      </c>
      <c r="AF17" s="58">
        <v>0</v>
      </c>
      <c r="AG17" s="49"/>
      <c r="AH17" s="50">
        <v>0</v>
      </c>
      <c r="AI17" s="50">
        <v>0</v>
      </c>
      <c r="AJ17" s="50">
        <v>0</v>
      </c>
      <c r="AK17" s="50">
        <v>0</v>
      </c>
      <c r="AL17" s="58">
        <v>0</v>
      </c>
      <c r="AM17" s="51"/>
      <c r="AN17" s="50">
        <v>0</v>
      </c>
      <c r="AO17" s="50">
        <v>0</v>
      </c>
      <c r="AP17" s="50">
        <v>0</v>
      </c>
      <c r="AQ17" s="50">
        <v>0</v>
      </c>
      <c r="AR17" s="58">
        <v>0</v>
      </c>
      <c r="AS17" s="51"/>
      <c r="AT17" s="58">
        <v>0</v>
      </c>
      <c r="AU17" s="53"/>
      <c r="AV17" s="58">
        <v>0</v>
      </c>
      <c r="AW17" s="53"/>
      <c r="AX17" s="58">
        <v>0</v>
      </c>
    </row>
    <row r="18" spans="1:50" s="54" customFormat="1" ht="14.25" customHeight="1">
      <c r="A18" s="55"/>
      <c r="B18" s="59" t="s">
        <v>211</v>
      </c>
      <c r="C18" s="23"/>
      <c r="D18" s="60">
        <v>241166</v>
      </c>
      <c r="E18" s="60">
        <v>311522</v>
      </c>
      <c r="F18" s="60">
        <v>345588</v>
      </c>
      <c r="G18" s="60">
        <v>453333</v>
      </c>
      <c r="H18" s="61">
        <v>1351609</v>
      </c>
      <c r="I18" s="48"/>
      <c r="J18" s="60">
        <v>292782</v>
      </c>
      <c r="K18" s="60">
        <v>347328</v>
      </c>
      <c r="L18" s="60">
        <v>359080</v>
      </c>
      <c r="M18" s="60">
        <v>349798</v>
      </c>
      <c r="N18" s="61">
        <v>1348987</v>
      </c>
      <c r="O18" s="47"/>
      <c r="P18" s="60">
        <v>331704</v>
      </c>
      <c r="Q18" s="60">
        <v>381723</v>
      </c>
      <c r="R18" s="60">
        <v>477485</v>
      </c>
      <c r="S18" s="60">
        <v>592964</v>
      </c>
      <c r="T18" s="61">
        <v>1777159</v>
      </c>
      <c r="U18" s="47"/>
      <c r="V18" s="60">
        <v>658344</v>
      </c>
      <c r="W18" s="60">
        <v>801700</v>
      </c>
      <c r="X18" s="60">
        <v>997493</v>
      </c>
      <c r="Y18" s="60">
        <v>688680</v>
      </c>
      <c r="Z18" s="61">
        <v>3146217</v>
      </c>
      <c r="AA18" s="47"/>
      <c r="AB18" s="60">
        <v>459344</v>
      </c>
      <c r="AC18" s="60">
        <v>523234</v>
      </c>
      <c r="AD18" s="60">
        <v>703076</v>
      </c>
      <c r="AE18" s="60">
        <v>640789</v>
      </c>
      <c r="AF18" s="61">
        <v>2326443</v>
      </c>
      <c r="AG18" s="49"/>
      <c r="AH18" s="60">
        <v>785871</v>
      </c>
      <c r="AI18" s="60">
        <v>954671</v>
      </c>
      <c r="AJ18" s="62">
        <v>25000</v>
      </c>
      <c r="AK18" s="62">
        <v>25000</v>
      </c>
      <c r="AL18" s="63">
        <v>1790542</v>
      </c>
      <c r="AM18" s="51"/>
      <c r="AN18" s="62">
        <v>22000</v>
      </c>
      <c r="AO18" s="62">
        <v>22000</v>
      </c>
      <c r="AP18" s="62">
        <v>22000</v>
      </c>
      <c r="AQ18" s="62">
        <v>22000</v>
      </c>
      <c r="AR18" s="63">
        <v>88000</v>
      </c>
      <c r="AS18" s="51"/>
      <c r="AT18" s="63">
        <v>90000</v>
      </c>
      <c r="AU18" s="53"/>
      <c r="AV18" s="63">
        <v>87000</v>
      </c>
      <c r="AW18" s="53"/>
      <c r="AX18" s="63">
        <v>105000</v>
      </c>
    </row>
    <row r="19" spans="1:50" s="54" customFormat="1" ht="14.25" customHeight="1">
      <c r="A19" s="55"/>
      <c r="B19" s="64"/>
      <c r="C19" s="23"/>
      <c r="D19" s="46"/>
      <c r="E19" s="46"/>
      <c r="F19" s="46"/>
      <c r="G19" s="46"/>
      <c r="H19" s="47"/>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572"/>
      <c r="AI19" s="46"/>
      <c r="AJ19" s="50"/>
      <c r="AK19" s="50"/>
      <c r="AL19" s="52"/>
      <c r="AM19" s="51"/>
      <c r="AN19" s="50"/>
      <c r="AO19" s="50"/>
      <c r="AP19" s="50"/>
      <c r="AQ19" s="50"/>
      <c r="AR19" s="52"/>
      <c r="AS19" s="51"/>
      <c r="AT19" s="52"/>
      <c r="AU19" s="53"/>
      <c r="AV19" s="52"/>
      <c r="AW19" s="53"/>
      <c r="AX19" s="52"/>
    </row>
    <row r="20" spans="1:50" s="54" customFormat="1" ht="14.25" customHeight="1">
      <c r="A20" s="44" t="s">
        <v>33</v>
      </c>
      <c r="B20" s="65" t="s">
        <v>548</v>
      </c>
      <c r="C20" s="21"/>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67"/>
      <c r="AN20" s="50"/>
      <c r="AO20" s="50"/>
      <c r="AP20" s="50"/>
      <c r="AQ20" s="50"/>
      <c r="AR20" s="68"/>
      <c r="AS20" s="67"/>
      <c r="AT20" s="68"/>
      <c r="AU20" s="69"/>
      <c r="AV20" s="68"/>
      <c r="AW20" s="69"/>
      <c r="AX20" s="68"/>
    </row>
    <row r="21" spans="1:50" s="54" customFormat="1" ht="14.25" customHeight="1">
      <c r="A21" s="55"/>
      <c r="B21" s="70" t="s">
        <v>549</v>
      </c>
      <c r="C21" s="24"/>
      <c r="D21" s="60">
        <v>262291</v>
      </c>
      <c r="E21" s="60">
        <v>282147</v>
      </c>
      <c r="F21" s="60">
        <v>295760</v>
      </c>
      <c r="G21" s="60">
        <v>331823</v>
      </c>
      <c r="H21" s="66">
        <v>1172021</v>
      </c>
      <c r="I21" s="48"/>
      <c r="J21" s="60">
        <v>276017</v>
      </c>
      <c r="K21" s="60">
        <v>288877</v>
      </c>
      <c r="L21" s="60">
        <v>311563</v>
      </c>
      <c r="M21" s="60">
        <v>311869</v>
      </c>
      <c r="N21" s="66">
        <v>1188326</v>
      </c>
      <c r="O21" s="48"/>
      <c r="P21" s="60">
        <v>325059</v>
      </c>
      <c r="Q21" s="60">
        <v>337976</v>
      </c>
      <c r="R21" s="60">
        <v>385903</v>
      </c>
      <c r="S21" s="60">
        <v>397879</v>
      </c>
      <c r="T21" s="66">
        <v>1440100</v>
      </c>
      <c r="U21" s="48"/>
      <c r="V21" s="60">
        <v>440854</v>
      </c>
      <c r="W21" s="60">
        <v>483851</v>
      </c>
      <c r="X21" s="60">
        <v>534467</v>
      </c>
      <c r="Y21" s="60">
        <v>490588</v>
      </c>
      <c r="Z21" s="66">
        <v>1949760</v>
      </c>
      <c r="AA21" s="51"/>
      <c r="AB21" s="60">
        <v>413911</v>
      </c>
      <c r="AC21" s="60">
        <v>432104</v>
      </c>
      <c r="AD21" s="60">
        <v>484504</v>
      </c>
      <c r="AE21" s="60">
        <v>454353</v>
      </c>
      <c r="AF21" s="66">
        <v>1784872</v>
      </c>
      <c r="AG21" s="49"/>
      <c r="AH21" s="60">
        <v>538653</v>
      </c>
      <c r="AI21" s="60">
        <v>598629</v>
      </c>
      <c r="AJ21" s="50">
        <v>0</v>
      </c>
      <c r="AK21" s="50">
        <v>0</v>
      </c>
      <c r="AL21" s="68">
        <v>1137282</v>
      </c>
      <c r="AM21" s="71"/>
      <c r="AN21" s="50">
        <v>0</v>
      </c>
      <c r="AO21" s="50">
        <v>0</v>
      </c>
      <c r="AP21" s="50">
        <v>0</v>
      </c>
      <c r="AQ21" s="50">
        <v>0</v>
      </c>
      <c r="AR21" s="68">
        <v>0</v>
      </c>
      <c r="AS21" s="71"/>
      <c r="AT21" s="68">
        <v>0</v>
      </c>
      <c r="AU21" s="72"/>
      <c r="AV21" s="68">
        <v>0</v>
      </c>
      <c r="AW21" s="72"/>
      <c r="AX21" s="68">
        <v>0</v>
      </c>
    </row>
    <row r="22" spans="1:50" s="54" customFormat="1" ht="14.25" customHeight="1">
      <c r="A22" s="73"/>
      <c r="B22" s="70" t="s">
        <v>550</v>
      </c>
      <c r="C22" s="21"/>
      <c r="D22" s="60">
        <f>FCFF!D94</f>
        <v>17389</v>
      </c>
      <c r="E22" s="60">
        <f>FCFF!E94</f>
        <v>16580</v>
      </c>
      <c r="F22" s="60">
        <f>FCFF!F94</f>
        <v>17027</v>
      </c>
      <c r="G22" s="60">
        <f>FCFF!G94</f>
        <v>17399</v>
      </c>
      <c r="H22" s="60">
        <f>FCFF!H94</f>
        <v>68395</v>
      </c>
      <c r="I22" s="60">
        <f>FCFF!I94</f>
        <v>0</v>
      </c>
      <c r="J22" s="60">
        <f>FCFF!J94</f>
        <v>17312</v>
      </c>
      <c r="K22" s="60">
        <f>FCFF!K94</f>
        <v>17417</v>
      </c>
      <c r="L22" s="60">
        <f>FCFF!L94</f>
        <v>18469</v>
      </c>
      <c r="M22" s="60">
        <f>FCFF!M94</f>
        <v>19036</v>
      </c>
      <c r="N22" s="60">
        <f>FCFF!N94</f>
        <v>72234</v>
      </c>
      <c r="O22" s="60">
        <f>FCFF!O94</f>
        <v>0</v>
      </c>
      <c r="P22" s="60">
        <f>FCFF!P94</f>
        <v>19340</v>
      </c>
      <c r="Q22" s="60">
        <f>FCFF!Q94</f>
        <v>20054</v>
      </c>
      <c r="R22" s="60">
        <f>FCFF!R94</f>
        <v>19757</v>
      </c>
      <c r="S22" s="60">
        <f>FCFF!S94</f>
        <v>21090</v>
      </c>
      <c r="T22" s="60">
        <f>FCFF!T94</f>
        <v>80241</v>
      </c>
      <c r="U22" s="60">
        <f>FCFF!U94</f>
        <v>0</v>
      </c>
      <c r="V22" s="60">
        <f>FCFF!V94</f>
        <v>22048</v>
      </c>
      <c r="W22" s="60">
        <f>FCFF!W94</f>
        <v>23770</v>
      </c>
      <c r="X22" s="60">
        <f>FCFF!X94</f>
        <v>0</v>
      </c>
      <c r="Y22" s="60">
        <f>FCFF!Y94</f>
        <v>0</v>
      </c>
      <c r="Z22" s="60">
        <f>FCFF!Z94</f>
        <v>45818</v>
      </c>
      <c r="AA22" s="60">
        <f>FCFF!AA94</f>
        <v>0</v>
      </c>
      <c r="AB22" s="60">
        <f>FCFF!AB94</f>
        <v>0</v>
      </c>
      <c r="AC22" s="60">
        <f>FCFF!AC94</f>
        <v>0</v>
      </c>
      <c r="AD22" s="60">
        <f>FCFF!AD94</f>
        <v>0</v>
      </c>
      <c r="AE22" s="60">
        <f>FCFF!AE94</f>
        <v>0</v>
      </c>
      <c r="AF22" s="60">
        <f>FCFF!AF94</f>
        <v>0</v>
      </c>
      <c r="AG22" s="60">
        <f>FCFF!AG94</f>
        <v>0</v>
      </c>
      <c r="AH22" s="60">
        <f>FCFF!AH94</f>
        <v>0</v>
      </c>
      <c r="AI22" s="60">
        <f>FCFF!AI94</f>
        <v>0</v>
      </c>
      <c r="AJ22" s="50">
        <v>0</v>
      </c>
      <c r="AK22" s="50">
        <v>0</v>
      </c>
      <c r="AL22" s="75">
        <v>0</v>
      </c>
      <c r="AM22" s="71"/>
      <c r="AN22" s="50">
        <v>0</v>
      </c>
      <c r="AO22" s="50">
        <v>0</v>
      </c>
      <c r="AP22" s="50">
        <v>0</v>
      </c>
      <c r="AQ22" s="50">
        <v>0</v>
      </c>
      <c r="AR22" s="75">
        <v>0</v>
      </c>
      <c r="AS22" s="71"/>
      <c r="AT22" s="75">
        <v>0</v>
      </c>
      <c r="AU22" s="72"/>
      <c r="AV22" s="75">
        <v>0</v>
      </c>
      <c r="AW22" s="72"/>
      <c r="AX22" s="75">
        <v>0</v>
      </c>
    </row>
    <row r="23" spans="1:50" s="54" customFormat="1" ht="14.25" customHeight="1">
      <c r="A23" s="55"/>
      <c r="B23" s="76" t="s">
        <v>551</v>
      </c>
      <c r="C23" s="23"/>
      <c r="D23" s="46">
        <v>262291</v>
      </c>
      <c r="E23" s="46">
        <v>282147</v>
      </c>
      <c r="F23" s="46">
        <v>295760</v>
      </c>
      <c r="G23" s="46">
        <v>331823</v>
      </c>
      <c r="H23" s="77">
        <v>1172021</v>
      </c>
      <c r="I23" s="48"/>
      <c r="J23" s="46">
        <v>276017</v>
      </c>
      <c r="K23" s="46">
        <v>288877</v>
      </c>
      <c r="L23" s="46">
        <v>311563</v>
      </c>
      <c r="M23" s="46">
        <v>311869</v>
      </c>
      <c r="N23" s="77">
        <v>1188326</v>
      </c>
      <c r="O23" s="48"/>
      <c r="P23" s="46">
        <v>325059</v>
      </c>
      <c r="Q23" s="46">
        <v>337976</v>
      </c>
      <c r="R23" s="46">
        <v>385903</v>
      </c>
      <c r="S23" s="46">
        <v>397879</v>
      </c>
      <c r="T23" s="77">
        <v>1440100</v>
      </c>
      <c r="U23" s="48"/>
      <c r="V23" s="46">
        <v>440854</v>
      </c>
      <c r="W23" s="46">
        <v>483851</v>
      </c>
      <c r="X23" s="46">
        <v>534467</v>
      </c>
      <c r="Y23" s="46">
        <v>490588</v>
      </c>
      <c r="Z23" s="77">
        <v>1949760</v>
      </c>
      <c r="AA23" s="51"/>
      <c r="AB23" s="46">
        <v>413911</v>
      </c>
      <c r="AC23" s="46">
        <v>432104</v>
      </c>
      <c r="AD23" s="46">
        <v>484504</v>
      </c>
      <c r="AE23" s="46">
        <v>454353</v>
      </c>
      <c r="AF23" s="77">
        <v>1784872</v>
      </c>
      <c r="AG23" s="49"/>
      <c r="AH23" s="46">
        <v>538653</v>
      </c>
      <c r="AI23" s="46">
        <v>598629</v>
      </c>
      <c r="AJ23" s="50">
        <v>25000</v>
      </c>
      <c r="AK23" s="50">
        <v>25000</v>
      </c>
      <c r="AL23" s="78">
        <v>653260</v>
      </c>
      <c r="AM23" s="71"/>
      <c r="AN23" s="50">
        <v>22000</v>
      </c>
      <c r="AO23" s="50">
        <v>22000</v>
      </c>
      <c r="AP23" s="50">
        <v>22000</v>
      </c>
      <c r="AQ23" s="50">
        <v>22000</v>
      </c>
      <c r="AR23" s="78">
        <v>88000</v>
      </c>
      <c r="AS23" s="71"/>
      <c r="AT23" s="78">
        <v>90000</v>
      </c>
      <c r="AU23" s="72"/>
      <c r="AV23" s="78">
        <v>87000</v>
      </c>
      <c r="AW23" s="72"/>
      <c r="AX23" s="78">
        <v>105000</v>
      </c>
    </row>
    <row r="24" spans="1:50" s="54" customFormat="1" ht="14.25" customHeight="1">
      <c r="A24" s="73"/>
      <c r="B24" s="79" t="s">
        <v>231</v>
      </c>
      <c r="C24" s="21"/>
      <c r="D24" s="46">
        <v>-21125</v>
      </c>
      <c r="E24" s="46">
        <v>29375</v>
      </c>
      <c r="F24" s="46">
        <v>49828</v>
      </c>
      <c r="G24" s="46">
        <v>121510</v>
      </c>
      <c r="H24" s="77">
        <v>179588</v>
      </c>
      <c r="I24" s="48"/>
      <c r="J24" s="46">
        <v>16765</v>
      </c>
      <c r="K24" s="46">
        <v>58451</v>
      </c>
      <c r="L24" s="46">
        <v>47517</v>
      </c>
      <c r="M24" s="46">
        <v>37929</v>
      </c>
      <c r="N24" s="77">
        <v>160661</v>
      </c>
      <c r="O24" s="48"/>
      <c r="P24" s="46">
        <v>6645</v>
      </c>
      <c r="Q24" s="46">
        <v>43747</v>
      </c>
      <c r="R24" s="46">
        <v>91582</v>
      </c>
      <c r="S24" s="46">
        <v>195085</v>
      </c>
      <c r="T24" s="77">
        <v>337059</v>
      </c>
      <c r="U24" s="48"/>
      <c r="V24" s="46">
        <v>217490</v>
      </c>
      <c r="W24" s="46">
        <v>317849</v>
      </c>
      <c r="X24" s="46">
        <v>463026</v>
      </c>
      <c r="Y24" s="46">
        <v>198092</v>
      </c>
      <c r="Z24" s="77">
        <v>1196457</v>
      </c>
      <c r="AA24" s="51"/>
      <c r="AB24" s="46">
        <v>45433</v>
      </c>
      <c r="AC24" s="46">
        <v>91130</v>
      </c>
      <c r="AD24" s="46">
        <v>218572</v>
      </c>
      <c r="AE24" s="46">
        <v>186436</v>
      </c>
      <c r="AF24" s="77">
        <v>541571</v>
      </c>
      <c r="AG24" s="49"/>
      <c r="AH24" s="46">
        <v>247218</v>
      </c>
      <c r="AI24" s="46">
        <v>356042</v>
      </c>
      <c r="AJ24" s="50">
        <v>25000</v>
      </c>
      <c r="AK24" s="50">
        <v>25000</v>
      </c>
      <c r="AL24" s="78">
        <v>653260</v>
      </c>
      <c r="AM24" s="71"/>
      <c r="AN24" s="50">
        <v>22000</v>
      </c>
      <c r="AO24" s="50">
        <v>22000</v>
      </c>
      <c r="AP24" s="50">
        <v>22000</v>
      </c>
      <c r="AQ24" s="50">
        <v>22000</v>
      </c>
      <c r="AR24" s="78">
        <v>88000</v>
      </c>
      <c r="AS24" s="71"/>
      <c r="AT24" s="78">
        <v>90000</v>
      </c>
      <c r="AU24" s="72"/>
      <c r="AV24" s="78">
        <v>87000</v>
      </c>
      <c r="AW24" s="72"/>
      <c r="AX24" s="78">
        <v>105000</v>
      </c>
    </row>
    <row r="25" spans="1:50" s="54" customFormat="1" ht="14.25" customHeight="1">
      <c r="A25" s="55"/>
      <c r="B25" s="80"/>
      <c r="C25" s="23"/>
      <c r="D25" s="46"/>
      <c r="E25" s="46"/>
      <c r="F25" s="46"/>
      <c r="G25" s="46"/>
      <c r="H25" s="66"/>
      <c r="I25" s="48"/>
      <c r="J25" s="46"/>
      <c r="K25" s="46"/>
      <c r="L25" s="46"/>
      <c r="M25" s="46"/>
      <c r="N25" s="66"/>
      <c r="O25" s="48"/>
      <c r="P25" s="46"/>
      <c r="Q25" s="46"/>
      <c r="R25" s="46"/>
      <c r="S25" s="46"/>
      <c r="T25" s="66"/>
      <c r="U25" s="48"/>
      <c r="V25" s="46"/>
      <c r="W25" s="46"/>
      <c r="X25" s="46"/>
      <c r="Y25" s="46"/>
      <c r="Z25" s="66"/>
      <c r="AA25" s="51"/>
      <c r="AB25" s="46"/>
      <c r="AC25" s="46"/>
      <c r="AD25" s="46"/>
      <c r="AE25" s="46"/>
      <c r="AF25" s="66"/>
      <c r="AG25" s="49"/>
      <c r="AH25" s="46"/>
      <c r="AI25" s="46"/>
      <c r="AJ25" s="50"/>
      <c r="AK25" s="50"/>
      <c r="AL25" s="68"/>
      <c r="AM25" s="71"/>
      <c r="AN25" s="50"/>
      <c r="AO25" s="50"/>
      <c r="AP25" s="50"/>
      <c r="AQ25" s="50"/>
      <c r="AR25" s="68"/>
      <c r="AS25" s="71"/>
      <c r="AT25" s="68"/>
      <c r="AU25" s="72"/>
      <c r="AV25" s="68"/>
      <c r="AW25" s="72"/>
      <c r="AX25" s="68"/>
    </row>
    <row r="26" spans="1:50" s="54" customFormat="1" ht="14.25" customHeight="1">
      <c r="A26" s="44" t="s">
        <v>33</v>
      </c>
      <c r="B26" s="65" t="s">
        <v>552</v>
      </c>
      <c r="C26" s="21"/>
      <c r="D26" s="46"/>
      <c r="E26" s="46"/>
      <c r="F26" s="46"/>
      <c r="G26" s="46"/>
      <c r="H26" s="66"/>
      <c r="I26" s="48"/>
      <c r="J26" s="46"/>
      <c r="K26" s="46"/>
      <c r="L26" s="46"/>
      <c r="M26" s="46"/>
      <c r="N26" s="66"/>
      <c r="O26" s="48"/>
      <c r="P26" s="46"/>
      <c r="Q26" s="46"/>
      <c r="R26" s="46"/>
      <c r="S26" s="46"/>
      <c r="T26" s="66"/>
      <c r="U26" s="48"/>
      <c r="V26" s="46"/>
      <c r="W26" s="46"/>
      <c r="X26" s="46"/>
      <c r="Y26" s="46"/>
      <c r="Z26" s="66"/>
      <c r="AA26" s="81"/>
      <c r="AB26" s="46"/>
      <c r="AC26" s="46"/>
      <c r="AD26" s="46"/>
      <c r="AE26" s="46"/>
      <c r="AF26" s="66"/>
      <c r="AG26" s="82"/>
      <c r="AH26" s="46"/>
      <c r="AI26" s="46"/>
      <c r="AJ26" s="50"/>
      <c r="AK26" s="50"/>
      <c r="AL26" s="68"/>
      <c r="AM26" s="81"/>
      <c r="AN26" s="50"/>
      <c r="AO26" s="50"/>
      <c r="AP26" s="50"/>
      <c r="AQ26" s="50"/>
      <c r="AR26" s="68"/>
      <c r="AS26" s="81"/>
      <c r="AT26" s="68"/>
      <c r="AU26" s="83"/>
      <c r="AV26" s="68"/>
      <c r="AW26" s="83"/>
      <c r="AX26" s="68"/>
    </row>
    <row r="27" spans="1:50" s="54" customFormat="1" ht="14.25" customHeight="1">
      <c r="A27" s="84"/>
      <c r="B27" s="70" t="s">
        <v>553</v>
      </c>
      <c r="C27" s="26"/>
      <c r="D27" s="46">
        <v>42475</v>
      </c>
      <c r="E27" s="46">
        <v>45728</v>
      </c>
      <c r="F27" s="46">
        <v>44231</v>
      </c>
      <c r="G27" s="46">
        <v>45803</v>
      </c>
      <c r="H27" s="66">
        <v>176237</v>
      </c>
      <c r="I27" s="48"/>
      <c r="J27" s="46">
        <v>43965</v>
      </c>
      <c r="K27" s="46">
        <v>43873</v>
      </c>
      <c r="L27" s="46">
        <v>47656</v>
      </c>
      <c r="M27" s="46">
        <v>48449</v>
      </c>
      <c r="N27" s="66">
        <v>183943</v>
      </c>
      <c r="O27" s="48"/>
      <c r="P27" s="46">
        <v>46525</v>
      </c>
      <c r="Q27" s="46">
        <v>47780</v>
      </c>
      <c r="R27" s="46">
        <v>52686</v>
      </c>
      <c r="S27" s="46">
        <v>51640</v>
      </c>
      <c r="T27" s="66">
        <v>198631</v>
      </c>
      <c r="U27" s="48"/>
      <c r="V27" s="46">
        <v>53607</v>
      </c>
      <c r="W27" s="46">
        <v>57952</v>
      </c>
      <c r="X27" s="46">
        <v>58489</v>
      </c>
      <c r="Y27" s="46">
        <v>62159</v>
      </c>
      <c r="Z27" s="66">
        <v>232207</v>
      </c>
      <c r="AA27" s="81"/>
      <c r="AB27" s="46">
        <v>52246</v>
      </c>
      <c r="AC27" s="46">
        <v>76578</v>
      </c>
      <c r="AD27" s="46">
        <v>66020</v>
      </c>
      <c r="AE27" s="46">
        <v>57781</v>
      </c>
      <c r="AF27" s="66">
        <v>252625</v>
      </c>
      <c r="AG27" s="82"/>
      <c r="AH27" s="46">
        <v>61932</v>
      </c>
      <c r="AI27" s="46">
        <v>77633</v>
      </c>
      <c r="AJ27" s="50">
        <v>0</v>
      </c>
      <c r="AK27" s="50">
        <v>0</v>
      </c>
      <c r="AL27" s="68">
        <v>139565</v>
      </c>
      <c r="AM27" s="81"/>
      <c r="AN27" s="50">
        <v>0</v>
      </c>
      <c r="AO27" s="50">
        <v>0</v>
      </c>
      <c r="AP27" s="50">
        <v>0</v>
      </c>
      <c r="AQ27" s="50">
        <v>0</v>
      </c>
      <c r="AR27" s="68">
        <v>0</v>
      </c>
      <c r="AS27" s="81"/>
      <c r="AT27" s="68">
        <v>0</v>
      </c>
      <c r="AU27" s="83"/>
      <c r="AV27" s="68">
        <v>0</v>
      </c>
      <c r="AW27" s="83"/>
      <c r="AX27" s="68">
        <v>0</v>
      </c>
    </row>
    <row r="28" spans="1:50" s="54" customFormat="1" ht="14.25" customHeight="1">
      <c r="A28" s="55"/>
      <c r="B28" s="70" t="s">
        <v>554</v>
      </c>
      <c r="C28" s="23"/>
      <c r="D28" s="46">
        <f>FCFF!D94</f>
        <v>17389</v>
      </c>
      <c r="E28" s="46">
        <f>FCFF!E94</f>
        <v>16580</v>
      </c>
      <c r="F28" s="46">
        <f>FCFF!F94</f>
        <v>17027</v>
      </c>
      <c r="G28" s="46">
        <f>FCFF!G94</f>
        <v>17399</v>
      </c>
      <c r="H28" s="46">
        <f>FCFF!H94</f>
        <v>68395</v>
      </c>
      <c r="I28" s="46">
        <f>FCFF!I94</f>
        <v>0</v>
      </c>
      <c r="J28" s="46">
        <f>FCFF!J94</f>
        <v>17312</v>
      </c>
      <c r="K28" s="46">
        <f>FCFF!K94</f>
        <v>17417</v>
      </c>
      <c r="L28" s="46">
        <f>FCFF!L94</f>
        <v>18469</v>
      </c>
      <c r="M28" s="46">
        <f>FCFF!M94</f>
        <v>19036</v>
      </c>
      <c r="N28" s="46">
        <f>FCFF!N94</f>
        <v>72234</v>
      </c>
      <c r="O28" s="46">
        <f>FCFF!O94</f>
        <v>0</v>
      </c>
      <c r="P28" s="46">
        <f>FCFF!P94</f>
        <v>19340</v>
      </c>
      <c r="Q28" s="46">
        <f>FCFF!Q94</f>
        <v>20054</v>
      </c>
      <c r="R28" s="46">
        <f>FCFF!R94</f>
        <v>19757</v>
      </c>
      <c r="S28" s="46">
        <f>FCFF!S94</f>
        <v>21090</v>
      </c>
      <c r="T28" s="46">
        <f>FCFF!T94</f>
        <v>80241</v>
      </c>
      <c r="U28" s="46">
        <f>FCFF!U94</f>
        <v>0</v>
      </c>
      <c r="V28" s="46">
        <f>FCFF!V94</f>
        <v>22048</v>
      </c>
      <c r="W28" s="46">
        <f>FCFF!W94</f>
        <v>23770</v>
      </c>
      <c r="X28" s="46">
        <f>FCFF!X94</f>
        <v>0</v>
      </c>
      <c r="Y28" s="46">
        <f>FCFF!Y94</f>
        <v>0</v>
      </c>
      <c r="Z28" s="46">
        <f>FCFF!Z94</f>
        <v>45818</v>
      </c>
      <c r="AA28" s="46">
        <f>FCFF!AA94</f>
        <v>0</v>
      </c>
      <c r="AB28" s="46">
        <f>FCFF!AB94</f>
        <v>0</v>
      </c>
      <c r="AC28" s="46">
        <f>FCFF!AC94</f>
        <v>0</v>
      </c>
      <c r="AD28" s="46">
        <f>FCFF!AD94</f>
        <v>0</v>
      </c>
      <c r="AE28" s="46">
        <f>FCFF!AE94</f>
        <v>0</v>
      </c>
      <c r="AF28" s="46">
        <f>FCFF!AF94</f>
        <v>0</v>
      </c>
      <c r="AG28" s="46">
        <f>FCFF!AG94</f>
        <v>0</v>
      </c>
      <c r="AH28" s="46">
        <f>FCFF!AH94</f>
        <v>0</v>
      </c>
      <c r="AI28" s="46">
        <f>FCFF!AI94</f>
        <v>0</v>
      </c>
      <c r="AJ28" s="50">
        <v>0</v>
      </c>
      <c r="AK28" s="50">
        <v>0</v>
      </c>
      <c r="AL28" s="68">
        <v>0</v>
      </c>
      <c r="AM28" s="71"/>
      <c r="AN28" s="50">
        <v>0</v>
      </c>
      <c r="AO28" s="50">
        <v>0</v>
      </c>
      <c r="AP28" s="50">
        <v>0</v>
      </c>
      <c r="AQ28" s="50">
        <v>0</v>
      </c>
      <c r="AR28" s="68">
        <v>0</v>
      </c>
      <c r="AS28" s="71"/>
      <c r="AT28" s="68">
        <v>0</v>
      </c>
      <c r="AU28" s="72"/>
      <c r="AV28" s="68">
        <v>0</v>
      </c>
      <c r="AW28" s="72"/>
      <c r="AX28" s="68">
        <v>0</v>
      </c>
    </row>
    <row r="29" spans="1:50" s="54" customFormat="1" ht="14.25" customHeight="1">
      <c r="A29" s="73"/>
      <c r="B29" s="70" t="s">
        <v>555</v>
      </c>
      <c r="C29" s="21"/>
      <c r="D29" s="46">
        <v>0</v>
      </c>
      <c r="E29" s="46">
        <v>0</v>
      </c>
      <c r="F29" s="46">
        <v>0</v>
      </c>
      <c r="G29" s="46">
        <v>0</v>
      </c>
      <c r="H29" s="66">
        <v>0</v>
      </c>
      <c r="I29" s="48"/>
      <c r="J29" s="46">
        <v>0</v>
      </c>
      <c r="K29" s="46">
        <v>0</v>
      </c>
      <c r="L29" s="46">
        <v>0</v>
      </c>
      <c r="M29" s="46">
        <v>0</v>
      </c>
      <c r="N29" s="66">
        <v>0</v>
      </c>
      <c r="O29" s="48"/>
      <c r="P29" s="46">
        <v>0</v>
      </c>
      <c r="Q29" s="46">
        <v>0</v>
      </c>
      <c r="R29" s="46">
        <v>0</v>
      </c>
      <c r="S29" s="46">
        <v>0</v>
      </c>
      <c r="T29" s="66">
        <v>0</v>
      </c>
      <c r="U29" s="48"/>
      <c r="V29" s="46">
        <v>0</v>
      </c>
      <c r="W29" s="46">
        <v>0</v>
      </c>
      <c r="X29" s="46">
        <v>0</v>
      </c>
      <c r="Y29" s="46">
        <v>0</v>
      </c>
      <c r="Z29" s="66">
        <v>0</v>
      </c>
      <c r="AA29" s="81"/>
      <c r="AB29" s="46">
        <v>0</v>
      </c>
      <c r="AC29" s="46">
        <v>0</v>
      </c>
      <c r="AD29" s="46">
        <v>0</v>
      </c>
      <c r="AE29" s="46">
        <v>0</v>
      </c>
      <c r="AF29" s="66">
        <v>0</v>
      </c>
      <c r="AG29" s="82"/>
      <c r="AH29" s="46">
        <v>0</v>
      </c>
      <c r="AI29" s="46">
        <v>0</v>
      </c>
      <c r="AJ29" s="50">
        <v>0</v>
      </c>
      <c r="AK29" s="50">
        <v>0</v>
      </c>
      <c r="AL29" s="68">
        <v>0</v>
      </c>
      <c r="AM29" s="81"/>
      <c r="AN29" s="50">
        <v>0</v>
      </c>
      <c r="AO29" s="50">
        <v>0</v>
      </c>
      <c r="AP29" s="50">
        <v>0</v>
      </c>
      <c r="AQ29" s="50">
        <v>0</v>
      </c>
      <c r="AR29" s="68">
        <v>0</v>
      </c>
      <c r="AS29" s="81"/>
      <c r="AT29" s="68">
        <v>0</v>
      </c>
      <c r="AU29" s="83"/>
      <c r="AV29" s="68">
        <v>0</v>
      </c>
      <c r="AW29" s="83"/>
      <c r="AX29" s="68">
        <v>0</v>
      </c>
    </row>
    <row r="30" spans="1:50" s="54" customFormat="1" ht="14.25" customHeight="1">
      <c r="A30" s="55"/>
      <c r="B30" s="70" t="s">
        <v>556</v>
      </c>
      <c r="C30" s="23"/>
      <c r="D30" s="46">
        <v>-2919</v>
      </c>
      <c r="E30" s="46">
        <v>0</v>
      </c>
      <c r="F30" s="46">
        <v>0</v>
      </c>
      <c r="G30" s="46">
        <v>0</v>
      </c>
      <c r="H30" s="74">
        <v>-2919</v>
      </c>
      <c r="I30" s="48"/>
      <c r="J30" s="46">
        <v>0</v>
      </c>
      <c r="K30" s="46">
        <v>0</v>
      </c>
      <c r="L30" s="46">
        <v>0</v>
      </c>
      <c r="M30" s="46">
        <v>0</v>
      </c>
      <c r="N30" s="74">
        <v>0</v>
      </c>
      <c r="O30" s="48"/>
      <c r="P30" s="46">
        <v>0</v>
      </c>
      <c r="Q30" s="46">
        <v>0</v>
      </c>
      <c r="R30" s="46">
        <v>0</v>
      </c>
      <c r="S30" s="46">
        <v>0</v>
      </c>
      <c r="T30" s="74">
        <v>0</v>
      </c>
      <c r="U30" s="48"/>
      <c r="V30" s="46">
        <v>0</v>
      </c>
      <c r="W30" s="46">
        <v>0</v>
      </c>
      <c r="X30" s="46">
        <v>0</v>
      </c>
      <c r="Y30" s="46">
        <v>0</v>
      </c>
      <c r="Z30" s="74">
        <v>0</v>
      </c>
      <c r="AA30" s="51"/>
      <c r="AB30" s="46">
        <v>0</v>
      </c>
      <c r="AC30" s="46">
        <v>0</v>
      </c>
      <c r="AD30" s="46">
        <v>0</v>
      </c>
      <c r="AE30" s="46">
        <v>0</v>
      </c>
      <c r="AF30" s="74">
        <v>0</v>
      </c>
      <c r="AG30" s="49"/>
      <c r="AH30" s="46">
        <v>146</v>
      </c>
      <c r="AI30" s="46">
        <v>0</v>
      </c>
      <c r="AJ30" s="50">
        <v>0</v>
      </c>
      <c r="AK30" s="50">
        <v>0</v>
      </c>
      <c r="AL30" s="75">
        <v>146</v>
      </c>
      <c r="AM30" s="71"/>
      <c r="AN30" s="50">
        <v>0</v>
      </c>
      <c r="AO30" s="50">
        <v>0</v>
      </c>
      <c r="AP30" s="50">
        <v>0</v>
      </c>
      <c r="AQ30" s="50">
        <v>0</v>
      </c>
      <c r="AR30" s="75">
        <v>0</v>
      </c>
      <c r="AS30" s="71"/>
      <c r="AT30" s="75">
        <v>0</v>
      </c>
      <c r="AU30" s="72"/>
      <c r="AV30" s="75">
        <v>0</v>
      </c>
      <c r="AW30" s="72"/>
      <c r="AX30" s="75">
        <v>0</v>
      </c>
    </row>
    <row r="31" spans="1:50" s="54" customFormat="1" ht="14.25" customHeight="1">
      <c r="A31" s="73"/>
      <c r="B31" s="76" t="s">
        <v>557</v>
      </c>
      <c r="C31" s="21"/>
      <c r="D31" s="46">
        <v>39556</v>
      </c>
      <c r="E31" s="46">
        <v>45728</v>
      </c>
      <c r="F31" s="46">
        <v>44231</v>
      </c>
      <c r="G31" s="46">
        <v>45803</v>
      </c>
      <c r="H31" s="85">
        <v>173318</v>
      </c>
      <c r="I31" s="48"/>
      <c r="J31" s="46">
        <v>43965</v>
      </c>
      <c r="K31" s="46">
        <v>43873</v>
      </c>
      <c r="L31" s="46">
        <v>47656</v>
      </c>
      <c r="M31" s="46">
        <v>48449</v>
      </c>
      <c r="N31" s="85">
        <v>183943</v>
      </c>
      <c r="O31" s="48"/>
      <c r="P31" s="46">
        <v>46525</v>
      </c>
      <c r="Q31" s="46">
        <v>47780</v>
      </c>
      <c r="R31" s="46">
        <v>52686</v>
      </c>
      <c r="S31" s="46">
        <v>51640</v>
      </c>
      <c r="T31" s="85">
        <v>198631</v>
      </c>
      <c r="U31" s="48"/>
      <c r="V31" s="46">
        <v>53607</v>
      </c>
      <c r="W31" s="46">
        <v>57952</v>
      </c>
      <c r="X31" s="46">
        <v>58489</v>
      </c>
      <c r="Y31" s="46">
        <v>62159</v>
      </c>
      <c r="Z31" s="85">
        <v>232207</v>
      </c>
      <c r="AA31" s="81"/>
      <c r="AB31" s="46">
        <v>52246</v>
      </c>
      <c r="AC31" s="46">
        <v>76578</v>
      </c>
      <c r="AD31" s="46">
        <v>66020</v>
      </c>
      <c r="AE31" s="46">
        <v>57781</v>
      </c>
      <c r="AF31" s="85">
        <v>252625</v>
      </c>
      <c r="AG31" s="82"/>
      <c r="AH31" s="46">
        <v>62078</v>
      </c>
      <c r="AI31" s="46">
        <v>77633</v>
      </c>
      <c r="AJ31" s="46">
        <v>0</v>
      </c>
      <c r="AK31" s="46">
        <v>0</v>
      </c>
      <c r="AL31" s="361">
        <v>139711</v>
      </c>
      <c r="AM31" s="81"/>
      <c r="AN31" s="46">
        <v>0</v>
      </c>
      <c r="AO31" s="46">
        <v>0</v>
      </c>
      <c r="AP31" s="46">
        <v>0</v>
      </c>
      <c r="AQ31" s="46">
        <v>0</v>
      </c>
      <c r="AR31" s="361">
        <v>0</v>
      </c>
      <c r="AS31" s="81"/>
      <c r="AT31" s="361">
        <v>0</v>
      </c>
      <c r="AU31" s="83"/>
      <c r="AV31" s="361">
        <v>0</v>
      </c>
      <c r="AW31" s="83"/>
      <c r="AX31" s="361">
        <v>0</v>
      </c>
    </row>
    <row r="32" spans="1:50" s="54" customFormat="1" ht="14.25" customHeight="1">
      <c r="A32" s="73"/>
      <c r="B32" s="76" t="s">
        <v>558</v>
      </c>
      <c r="C32" s="21"/>
      <c r="D32" s="46">
        <v>0</v>
      </c>
      <c r="E32" s="46">
        <v>0</v>
      </c>
      <c r="F32" s="46">
        <v>0</v>
      </c>
      <c r="G32" s="46">
        <v>0</v>
      </c>
      <c r="H32" s="74">
        <v>0</v>
      </c>
      <c r="I32" s="48"/>
      <c r="J32" s="46">
        <v>0</v>
      </c>
      <c r="K32" s="46">
        <v>0</v>
      </c>
      <c r="L32" s="46">
        <v>0</v>
      </c>
      <c r="M32" s="46">
        <v>0</v>
      </c>
      <c r="N32" s="74">
        <v>0</v>
      </c>
      <c r="O32" s="48"/>
      <c r="P32" s="46">
        <v>0</v>
      </c>
      <c r="Q32" s="46">
        <v>0</v>
      </c>
      <c r="R32" s="46">
        <v>0</v>
      </c>
      <c r="S32" s="46">
        <v>0</v>
      </c>
      <c r="T32" s="74">
        <v>0</v>
      </c>
      <c r="U32" s="48"/>
      <c r="V32" s="46">
        <v>0</v>
      </c>
      <c r="W32" s="46">
        <v>0</v>
      </c>
      <c r="X32" s="46">
        <v>0</v>
      </c>
      <c r="Y32" s="46">
        <v>0</v>
      </c>
      <c r="Z32" s="74">
        <v>0</v>
      </c>
      <c r="AA32" s="86"/>
      <c r="AB32" s="46">
        <v>0</v>
      </c>
      <c r="AC32" s="46">
        <v>0</v>
      </c>
      <c r="AD32" s="46">
        <v>0</v>
      </c>
      <c r="AE32" s="46">
        <v>0</v>
      </c>
      <c r="AF32" s="74">
        <v>0</v>
      </c>
      <c r="AG32" s="82"/>
      <c r="AH32" s="46">
        <v>0</v>
      </c>
      <c r="AI32" s="46">
        <v>0</v>
      </c>
      <c r="AJ32" s="50"/>
      <c r="AK32" s="50"/>
      <c r="AL32" s="75"/>
      <c r="AM32" s="86"/>
      <c r="AN32" s="50"/>
      <c r="AO32" s="50"/>
      <c r="AP32" s="50"/>
      <c r="AQ32" s="50"/>
      <c r="AR32" s="75"/>
      <c r="AS32" s="86"/>
      <c r="AT32" s="75"/>
      <c r="AU32" s="87"/>
      <c r="AV32" s="75"/>
      <c r="AW32" s="87"/>
      <c r="AX32" s="75"/>
    </row>
    <row r="33" spans="1:50" s="54" customFormat="1" ht="14.25" customHeight="1">
      <c r="A33" s="55"/>
      <c r="B33" s="79" t="s">
        <v>559</v>
      </c>
      <c r="C33" s="23"/>
      <c r="D33" s="46">
        <v>-60681</v>
      </c>
      <c r="E33" s="46">
        <v>-16353</v>
      </c>
      <c r="F33" s="46">
        <v>5597</v>
      </c>
      <c r="G33" s="46">
        <v>75707</v>
      </c>
      <c r="H33" s="74">
        <v>6270</v>
      </c>
      <c r="I33" s="48"/>
      <c r="J33" s="46">
        <v>-27200</v>
      </c>
      <c r="K33" s="46">
        <v>14578</v>
      </c>
      <c r="L33" s="46">
        <v>-139</v>
      </c>
      <c r="M33" s="46">
        <v>-10520</v>
      </c>
      <c r="N33" s="74">
        <v>-23282</v>
      </c>
      <c r="O33" s="48"/>
      <c r="P33" s="46">
        <v>-39880</v>
      </c>
      <c r="Q33" s="46">
        <v>-4033</v>
      </c>
      <c r="R33" s="46">
        <v>38896</v>
      </c>
      <c r="S33" s="46">
        <v>143445</v>
      </c>
      <c r="T33" s="74">
        <v>138428</v>
      </c>
      <c r="U33" s="48"/>
      <c r="V33" s="46">
        <v>163883</v>
      </c>
      <c r="W33" s="46">
        <v>259897</v>
      </c>
      <c r="X33" s="46">
        <v>404537</v>
      </c>
      <c r="Y33" s="46">
        <v>135933</v>
      </c>
      <c r="Z33" s="74">
        <v>964250</v>
      </c>
      <c r="AA33" s="51"/>
      <c r="AB33" s="46">
        <v>-6813</v>
      </c>
      <c r="AC33" s="46">
        <v>14552</v>
      </c>
      <c r="AD33" s="46">
        <v>152552</v>
      </c>
      <c r="AE33" s="46">
        <v>128655</v>
      </c>
      <c r="AF33" s="74">
        <v>288946</v>
      </c>
      <c r="AG33" s="49"/>
      <c r="AH33" s="46">
        <v>185140</v>
      </c>
      <c r="AI33" s="46">
        <v>278409</v>
      </c>
      <c r="AJ33" s="50">
        <v>25000</v>
      </c>
      <c r="AK33" s="50">
        <v>25000</v>
      </c>
      <c r="AL33" s="75">
        <v>513549</v>
      </c>
      <c r="AM33" s="71"/>
      <c r="AN33" s="50">
        <v>22000</v>
      </c>
      <c r="AO33" s="50">
        <v>22000</v>
      </c>
      <c r="AP33" s="50">
        <v>22000</v>
      </c>
      <c r="AQ33" s="50">
        <v>22000</v>
      </c>
      <c r="AR33" s="75">
        <v>88000</v>
      </c>
      <c r="AS33" s="71"/>
      <c r="AT33" s="75">
        <v>90000</v>
      </c>
      <c r="AU33" s="72"/>
      <c r="AV33" s="75">
        <v>87000</v>
      </c>
      <c r="AW33" s="72"/>
      <c r="AX33" s="75">
        <v>105000</v>
      </c>
    </row>
    <row r="34" spans="1:50" s="54" customFormat="1" ht="14.25" customHeight="1">
      <c r="A34" s="73"/>
      <c r="B34" s="73"/>
      <c r="C34" s="21"/>
      <c r="D34" s="46"/>
      <c r="E34" s="46"/>
      <c r="F34" s="46"/>
      <c r="G34" s="46"/>
      <c r="H34" s="66"/>
      <c r="I34" s="48"/>
      <c r="J34" s="46"/>
      <c r="K34" s="46"/>
      <c r="L34" s="46"/>
      <c r="M34" s="46"/>
      <c r="N34" s="66"/>
      <c r="O34" s="48"/>
      <c r="P34" s="46"/>
      <c r="Q34" s="46"/>
      <c r="R34" s="46"/>
      <c r="S34" s="46"/>
      <c r="T34" s="66"/>
      <c r="U34" s="48"/>
      <c r="V34" s="46"/>
      <c r="W34" s="46"/>
      <c r="X34" s="46"/>
      <c r="Y34" s="46"/>
      <c r="Z34" s="66"/>
      <c r="AA34" s="81"/>
      <c r="AB34" s="46"/>
      <c r="AC34" s="46"/>
      <c r="AD34" s="46"/>
      <c r="AE34" s="46"/>
      <c r="AF34" s="66"/>
      <c r="AG34" s="82"/>
      <c r="AH34" s="46"/>
      <c r="AI34" s="46"/>
      <c r="AJ34" s="50"/>
      <c r="AK34" s="50"/>
      <c r="AL34" s="68"/>
      <c r="AM34" s="88"/>
      <c r="AN34" s="50"/>
      <c r="AO34" s="50"/>
      <c r="AP34" s="50"/>
      <c r="AQ34" s="50"/>
      <c r="AR34" s="68"/>
      <c r="AS34" s="88"/>
      <c r="AT34" s="68"/>
      <c r="AU34" s="89"/>
      <c r="AV34" s="68"/>
      <c r="AW34" s="89"/>
      <c r="AX34" s="68"/>
    </row>
    <row r="35" spans="1:50" s="54" customFormat="1" ht="14.25" customHeight="1">
      <c r="A35" s="44" t="s">
        <v>33</v>
      </c>
      <c r="B35" s="65" t="s">
        <v>560</v>
      </c>
      <c r="C35" s="23"/>
      <c r="D35" s="46"/>
      <c r="E35" s="46"/>
      <c r="F35" s="46"/>
      <c r="G35" s="46"/>
      <c r="H35" s="66"/>
      <c r="I35" s="48"/>
      <c r="J35" s="46"/>
      <c r="K35" s="46"/>
      <c r="L35" s="46"/>
      <c r="M35" s="46"/>
      <c r="N35" s="66"/>
      <c r="O35" s="48"/>
      <c r="P35" s="46"/>
      <c r="Q35" s="46"/>
      <c r="R35" s="46"/>
      <c r="S35" s="46"/>
      <c r="T35" s="66"/>
      <c r="U35" s="48"/>
      <c r="V35" s="46"/>
      <c r="W35" s="46"/>
      <c r="X35" s="46"/>
      <c r="Y35" s="46"/>
      <c r="Z35" s="66"/>
      <c r="AA35" s="51"/>
      <c r="AB35" s="46"/>
      <c r="AC35" s="46"/>
      <c r="AD35" s="46"/>
      <c r="AE35" s="46"/>
      <c r="AF35" s="66"/>
      <c r="AG35" s="49"/>
      <c r="AH35" s="46"/>
      <c r="AI35" s="46"/>
      <c r="AJ35" s="50"/>
      <c r="AK35" s="50"/>
      <c r="AL35" s="68"/>
      <c r="AM35" s="71"/>
      <c r="AN35" s="50"/>
      <c r="AO35" s="50"/>
      <c r="AP35" s="50"/>
      <c r="AQ35" s="50"/>
      <c r="AR35" s="68"/>
      <c r="AS35" s="71"/>
      <c r="AT35" s="68"/>
      <c r="AU35" s="72"/>
      <c r="AV35" s="68"/>
      <c r="AW35" s="72"/>
      <c r="AX35" s="68"/>
    </row>
    <row r="36" spans="1:50" s="54" customFormat="1" ht="14.25" customHeight="1">
      <c r="A36" s="44"/>
      <c r="B36" s="70" t="s">
        <v>561</v>
      </c>
      <c r="C36" s="23"/>
      <c r="D36" s="46">
        <v>0</v>
      </c>
      <c r="E36" s="46">
        <v>0</v>
      </c>
      <c r="F36" s="46">
        <v>77</v>
      </c>
      <c r="G36" s="46">
        <v>0</v>
      </c>
      <c r="H36" s="66">
        <v>498</v>
      </c>
      <c r="I36" s="48"/>
      <c r="J36" s="46">
        <v>0</v>
      </c>
      <c r="K36" s="46">
        <v>0</v>
      </c>
      <c r="L36" s="46">
        <v>0</v>
      </c>
      <c r="M36" s="46">
        <v>0</v>
      </c>
      <c r="N36" s="66">
        <v>213</v>
      </c>
      <c r="O36" s="48"/>
      <c r="P36" s="46">
        <v>0</v>
      </c>
      <c r="Q36" s="46">
        <v>0</v>
      </c>
      <c r="R36" s="46">
        <v>79</v>
      </c>
      <c r="S36" s="46">
        <v>0</v>
      </c>
      <c r="T36" s="66">
        <v>403</v>
      </c>
      <c r="U36" s="48"/>
      <c r="V36" s="46">
        <v>0</v>
      </c>
      <c r="W36" s="46">
        <v>0</v>
      </c>
      <c r="X36" s="46">
        <v>0</v>
      </c>
      <c r="Y36" s="46">
        <v>0</v>
      </c>
      <c r="Z36" s="66">
        <v>583</v>
      </c>
      <c r="AA36" s="51"/>
      <c r="AB36" s="46">
        <v>0</v>
      </c>
      <c r="AC36" s="46">
        <v>0</v>
      </c>
      <c r="AD36" s="46">
        <v>0</v>
      </c>
      <c r="AE36" s="46">
        <v>0</v>
      </c>
      <c r="AF36" s="66">
        <v>549</v>
      </c>
      <c r="AG36" s="49"/>
      <c r="AH36" s="46">
        <v>0</v>
      </c>
      <c r="AI36" s="46">
        <v>0</v>
      </c>
      <c r="AJ36" s="50"/>
      <c r="AK36" s="50"/>
      <c r="AL36" s="68"/>
      <c r="AM36" s="71"/>
      <c r="AN36" s="50"/>
      <c r="AO36" s="50"/>
      <c r="AP36" s="50"/>
      <c r="AQ36" s="50"/>
      <c r="AR36" s="68"/>
      <c r="AS36" s="71"/>
      <c r="AT36" s="68"/>
      <c r="AU36" s="72"/>
      <c r="AV36" s="68"/>
      <c r="AW36" s="72"/>
      <c r="AX36" s="68"/>
    </row>
    <row r="37" spans="1:50" s="54" customFormat="1" ht="14.25" customHeight="1">
      <c r="A37" s="44"/>
      <c r="B37" s="70" t="s">
        <v>562</v>
      </c>
      <c r="C37" s="23"/>
      <c r="D37" s="46">
        <v>0</v>
      </c>
      <c r="E37" s="46">
        <v>0</v>
      </c>
      <c r="F37" s="46">
        <v>880</v>
      </c>
      <c r="G37" s="46">
        <v>0</v>
      </c>
      <c r="H37" s="66">
        <v>4962</v>
      </c>
      <c r="I37" s="48"/>
      <c r="J37" s="46">
        <v>925</v>
      </c>
      <c r="K37" s="46">
        <v>664</v>
      </c>
      <c r="L37" s="46">
        <v>591</v>
      </c>
      <c r="M37" s="46">
        <v>0</v>
      </c>
      <c r="N37" s="66">
        <v>2828</v>
      </c>
      <c r="O37" s="48"/>
      <c r="P37" s="46">
        <v>232</v>
      </c>
      <c r="Q37" s="46">
        <v>129</v>
      </c>
      <c r="R37" s="46">
        <v>79</v>
      </c>
      <c r="S37" s="46">
        <v>0</v>
      </c>
      <c r="T37" s="66">
        <v>988</v>
      </c>
      <c r="U37" s="48"/>
      <c r="V37" s="46">
        <v>903</v>
      </c>
      <c r="W37" s="46">
        <v>1930</v>
      </c>
      <c r="X37" s="46">
        <v>0</v>
      </c>
      <c r="Y37" s="46">
        <v>0</v>
      </c>
      <c r="Z37" s="66">
        <v>18553</v>
      </c>
      <c r="AA37" s="51"/>
      <c r="AB37" s="46">
        <v>7346</v>
      </c>
      <c r="AC37" s="46">
        <v>6987</v>
      </c>
      <c r="AD37" s="46">
        <v>7554</v>
      </c>
      <c r="AE37" s="46">
        <v>0</v>
      </c>
      <c r="AF37" s="66">
        <v>32275</v>
      </c>
      <c r="AG37" s="49"/>
      <c r="AH37" s="46">
        <v>9785</v>
      </c>
      <c r="AI37" s="46">
        <v>9770</v>
      </c>
      <c r="AJ37" s="50"/>
      <c r="AK37" s="50"/>
      <c r="AL37" s="68"/>
      <c r="AM37" s="71"/>
      <c r="AN37" s="50"/>
      <c r="AO37" s="50"/>
      <c r="AP37" s="50"/>
      <c r="AQ37" s="50"/>
      <c r="AR37" s="68"/>
      <c r="AS37" s="71"/>
      <c r="AT37" s="68"/>
      <c r="AU37" s="72"/>
      <c r="AV37" s="68"/>
      <c r="AW37" s="72"/>
      <c r="AX37" s="68"/>
    </row>
    <row r="38" spans="1:50" s="54" customFormat="1" ht="14.25" customHeight="1">
      <c r="A38" s="55" t="s">
        <v>33</v>
      </c>
      <c r="B38" s="76" t="s">
        <v>563</v>
      </c>
      <c r="C38" s="23"/>
      <c r="D38" s="46">
        <v>-1685</v>
      </c>
      <c r="E38" s="46">
        <v>-1140</v>
      </c>
      <c r="F38" s="46">
        <v>-803</v>
      </c>
      <c r="G38" s="46">
        <v>0</v>
      </c>
      <c r="H38" s="66">
        <v>-4464</v>
      </c>
      <c r="I38" s="48"/>
      <c r="J38" s="46">
        <v>-925</v>
      </c>
      <c r="K38" s="46">
        <v>-664</v>
      </c>
      <c r="L38" s="46">
        <v>-591</v>
      </c>
      <c r="M38" s="46">
        <v>0</v>
      </c>
      <c r="N38" s="66">
        <v>-2615</v>
      </c>
      <c r="O38" s="48"/>
      <c r="P38" s="46">
        <v>-232</v>
      </c>
      <c r="Q38" s="46">
        <v>-129</v>
      </c>
      <c r="R38" s="46">
        <v>0</v>
      </c>
      <c r="S38" s="46">
        <v>0</v>
      </c>
      <c r="T38" s="66">
        <v>-585</v>
      </c>
      <c r="U38" s="48"/>
      <c r="V38" s="46">
        <v>-903</v>
      </c>
      <c r="W38" s="46">
        <v>-1930</v>
      </c>
      <c r="X38" s="46">
        <v>0</v>
      </c>
      <c r="Y38" s="46">
        <v>0</v>
      </c>
      <c r="Z38" s="66">
        <v>-17970</v>
      </c>
      <c r="AA38" s="51"/>
      <c r="AB38" s="46">
        <v>-7346</v>
      </c>
      <c r="AC38" s="46">
        <v>-6987</v>
      </c>
      <c r="AD38" s="46">
        <v>-7554</v>
      </c>
      <c r="AE38" s="46">
        <v>0</v>
      </c>
      <c r="AF38" s="66">
        <v>-31726</v>
      </c>
      <c r="AG38" s="49"/>
      <c r="AH38" s="46">
        <v>-9785</v>
      </c>
      <c r="AI38" s="46">
        <v>-9770</v>
      </c>
      <c r="AJ38" s="50"/>
      <c r="AK38" s="50"/>
      <c r="AL38" s="68"/>
      <c r="AM38" s="71"/>
      <c r="AN38" s="50"/>
      <c r="AO38" s="50"/>
      <c r="AP38" s="50"/>
      <c r="AQ38" s="50"/>
      <c r="AR38" s="68"/>
      <c r="AS38" s="71"/>
      <c r="AT38" s="68"/>
      <c r="AU38" s="72"/>
      <c r="AV38" s="68"/>
      <c r="AW38" s="72"/>
      <c r="AX38" s="68"/>
    </row>
    <row r="39" spans="1:50" s="54" customFormat="1" ht="14.25" customHeight="1">
      <c r="A39" s="73"/>
      <c r="B39" s="76" t="s">
        <v>564</v>
      </c>
      <c r="C39" s="21"/>
      <c r="D39" s="46">
        <v>0</v>
      </c>
      <c r="E39" s="46">
        <v>0</v>
      </c>
      <c r="F39" s="46">
        <v>0</v>
      </c>
      <c r="G39" s="46">
        <v>0</v>
      </c>
      <c r="H39" s="66">
        <v>0</v>
      </c>
      <c r="I39" s="48"/>
      <c r="J39" s="46">
        <v>0</v>
      </c>
      <c r="K39" s="46">
        <v>0</v>
      </c>
      <c r="L39" s="46">
        <v>0</v>
      </c>
      <c r="M39" s="46">
        <v>0</v>
      </c>
      <c r="N39" s="66">
        <v>0</v>
      </c>
      <c r="O39" s="48"/>
      <c r="P39" s="46">
        <v>0</v>
      </c>
      <c r="Q39" s="46">
        <v>0</v>
      </c>
      <c r="R39" s="46">
        <v>0</v>
      </c>
      <c r="S39" s="46">
        <v>0</v>
      </c>
      <c r="T39" s="66">
        <v>0</v>
      </c>
      <c r="U39" s="48"/>
      <c r="V39" s="46">
        <v>0</v>
      </c>
      <c r="W39" s="46">
        <v>0</v>
      </c>
      <c r="X39" s="46">
        <v>0</v>
      </c>
      <c r="Y39" s="46">
        <v>0</v>
      </c>
      <c r="Z39" s="66">
        <v>0</v>
      </c>
      <c r="AA39" s="81"/>
      <c r="AB39" s="46">
        <v>0</v>
      </c>
      <c r="AC39" s="46">
        <v>0</v>
      </c>
      <c r="AD39" s="46">
        <v>0</v>
      </c>
      <c r="AE39" s="46">
        <v>0</v>
      </c>
      <c r="AF39" s="66">
        <v>0</v>
      </c>
      <c r="AG39" s="82"/>
      <c r="AH39" s="46">
        <v>0</v>
      </c>
      <c r="AI39" s="46">
        <v>0</v>
      </c>
      <c r="AJ39" s="50"/>
      <c r="AK39" s="50"/>
      <c r="AL39" s="68"/>
      <c r="AM39" s="81"/>
      <c r="AN39" s="50"/>
      <c r="AO39" s="50"/>
      <c r="AP39" s="50"/>
      <c r="AQ39" s="50"/>
      <c r="AR39" s="68"/>
      <c r="AS39" s="81"/>
      <c r="AT39" s="68"/>
      <c r="AU39" s="83"/>
      <c r="AV39" s="68"/>
      <c r="AW39" s="83"/>
      <c r="AX39" s="68"/>
    </row>
    <row r="40" spans="1:50" s="54" customFormat="1" ht="14.25" customHeight="1">
      <c r="A40" s="55"/>
      <c r="B40" s="76" t="s">
        <v>565</v>
      </c>
      <c r="C40" s="23"/>
      <c r="D40" s="46">
        <v>-1293</v>
      </c>
      <c r="E40" s="46">
        <v>-376</v>
      </c>
      <c r="F40" s="46">
        <v>-12034</v>
      </c>
      <c r="G40" s="46">
        <v>-1459</v>
      </c>
      <c r="H40" s="74">
        <v>-14326</v>
      </c>
      <c r="I40" s="48"/>
      <c r="J40" s="46">
        <v>-773</v>
      </c>
      <c r="K40" s="46">
        <v>-774</v>
      </c>
      <c r="L40" s="46">
        <v>-11734</v>
      </c>
      <c r="M40" s="46">
        <v>-853</v>
      </c>
      <c r="N40" s="74">
        <v>-13700</v>
      </c>
      <c r="O40" s="48"/>
      <c r="P40" s="46">
        <v>-5571</v>
      </c>
      <c r="Q40" s="46">
        <v>-2404</v>
      </c>
      <c r="R40" s="46">
        <v>-13478</v>
      </c>
      <c r="S40" s="46">
        <v>-664</v>
      </c>
      <c r="T40" s="74">
        <v>-21893</v>
      </c>
      <c r="U40" s="48"/>
      <c r="V40" s="46">
        <v>-727</v>
      </c>
      <c r="W40" s="46">
        <v>-470</v>
      </c>
      <c r="X40" s="46">
        <v>-17104</v>
      </c>
      <c r="Y40" s="46">
        <v>-11767</v>
      </c>
      <c r="Z40" s="74">
        <v>-14931</v>
      </c>
      <c r="AA40" s="51"/>
      <c r="AB40" s="46">
        <v>-144</v>
      </c>
      <c r="AC40" s="46">
        <v>-897</v>
      </c>
      <c r="AD40" s="46">
        <v>-14818</v>
      </c>
      <c r="AE40" s="46">
        <v>-9773</v>
      </c>
      <c r="AF40" s="74">
        <v>-15793</v>
      </c>
      <c r="AG40" s="49"/>
      <c r="AH40" s="46">
        <v>-1211</v>
      </c>
      <c r="AI40" s="46">
        <v>-1130</v>
      </c>
      <c r="AJ40" s="50"/>
      <c r="AK40" s="50"/>
      <c r="AL40" s="75"/>
      <c r="AM40" s="51"/>
      <c r="AN40" s="50"/>
      <c r="AO40" s="50"/>
      <c r="AP40" s="50"/>
      <c r="AQ40" s="50"/>
      <c r="AR40" s="75"/>
      <c r="AS40" s="51"/>
      <c r="AT40" s="75"/>
      <c r="AU40" s="53"/>
      <c r="AV40" s="75"/>
      <c r="AW40" s="53"/>
      <c r="AX40" s="75"/>
    </row>
    <row r="41" spans="1:50" s="54" customFormat="1" ht="14.25" customHeight="1">
      <c r="A41" s="73"/>
      <c r="B41" s="79" t="s">
        <v>566</v>
      </c>
      <c r="C41" s="21"/>
      <c r="D41" s="46">
        <v>-2978</v>
      </c>
      <c r="E41" s="46">
        <v>-1516</v>
      </c>
      <c r="F41" s="46">
        <v>-12837</v>
      </c>
      <c r="G41" s="46">
        <v>-1459</v>
      </c>
      <c r="H41" s="77">
        <v>-18790</v>
      </c>
      <c r="I41" s="48"/>
      <c r="J41" s="46">
        <v>-1698</v>
      </c>
      <c r="K41" s="46">
        <v>-1438</v>
      </c>
      <c r="L41" s="46">
        <v>-12325</v>
      </c>
      <c r="M41" s="46">
        <v>-853</v>
      </c>
      <c r="N41" s="77">
        <v>-16315</v>
      </c>
      <c r="O41" s="48"/>
      <c r="P41" s="46">
        <v>-5803</v>
      </c>
      <c r="Q41" s="46">
        <v>-2533</v>
      </c>
      <c r="R41" s="46">
        <v>-13478</v>
      </c>
      <c r="S41" s="46">
        <v>-664</v>
      </c>
      <c r="T41" s="77">
        <v>-22478</v>
      </c>
      <c r="U41" s="48"/>
      <c r="V41" s="46">
        <v>-1630</v>
      </c>
      <c r="W41" s="46">
        <v>-2400</v>
      </c>
      <c r="X41" s="46">
        <v>-17104</v>
      </c>
      <c r="Y41" s="46">
        <v>-11767</v>
      </c>
      <c r="Z41" s="77">
        <v>-32901</v>
      </c>
      <c r="AA41" s="86"/>
      <c r="AB41" s="46">
        <v>-7490</v>
      </c>
      <c r="AC41" s="46">
        <v>-7884</v>
      </c>
      <c r="AD41" s="46">
        <v>-22372</v>
      </c>
      <c r="AE41" s="46">
        <v>-9773</v>
      </c>
      <c r="AF41" s="77">
        <v>-47519</v>
      </c>
      <c r="AG41" s="82"/>
      <c r="AH41" s="46">
        <v>-10996</v>
      </c>
      <c r="AI41" s="46">
        <v>-10900</v>
      </c>
      <c r="AJ41" s="50"/>
      <c r="AK41" s="50"/>
      <c r="AL41" s="78"/>
      <c r="AM41" s="81"/>
      <c r="AN41" s="50"/>
      <c r="AO41" s="50"/>
      <c r="AP41" s="50"/>
      <c r="AQ41" s="50"/>
      <c r="AR41" s="78"/>
      <c r="AS41" s="81"/>
      <c r="AT41" s="78"/>
      <c r="AU41" s="83"/>
      <c r="AV41" s="78"/>
      <c r="AW41" s="83"/>
      <c r="AX41" s="78"/>
    </row>
    <row r="42" spans="1:50" s="54" customFormat="1" ht="14.25" customHeight="1">
      <c r="A42" s="84"/>
      <c r="B42" s="90" t="s">
        <v>498</v>
      </c>
      <c r="C42" s="22"/>
      <c r="D42" s="46">
        <v>-57703</v>
      </c>
      <c r="E42" s="46">
        <v>-14837</v>
      </c>
      <c r="F42" s="46">
        <v>18434</v>
      </c>
      <c r="G42" s="46">
        <v>77166</v>
      </c>
      <c r="H42" s="77">
        <v>25060</v>
      </c>
      <c r="I42" s="48"/>
      <c r="J42" s="46">
        <v>-25502</v>
      </c>
      <c r="K42" s="46">
        <v>16016</v>
      </c>
      <c r="L42" s="46">
        <v>12186</v>
      </c>
      <c r="M42" s="46">
        <v>-9667</v>
      </c>
      <c r="N42" s="77">
        <v>-6967</v>
      </c>
      <c r="O42" s="48"/>
      <c r="P42" s="46">
        <v>-34077</v>
      </c>
      <c r="Q42" s="46">
        <v>-1500</v>
      </c>
      <c r="R42" s="46">
        <v>52374</v>
      </c>
      <c r="S42" s="46">
        <v>144109</v>
      </c>
      <c r="T42" s="77">
        <v>160906</v>
      </c>
      <c r="U42" s="48"/>
      <c r="V42" s="46">
        <v>165513</v>
      </c>
      <c r="W42" s="46">
        <v>262297</v>
      </c>
      <c r="X42" s="46">
        <v>421641</v>
      </c>
      <c r="Y42" s="46">
        <v>147700</v>
      </c>
      <c r="Z42" s="77">
        <v>997151</v>
      </c>
      <c r="AA42" s="51"/>
      <c r="AB42" s="46">
        <v>677</v>
      </c>
      <c r="AC42" s="46">
        <v>22436</v>
      </c>
      <c r="AD42" s="46">
        <v>174924</v>
      </c>
      <c r="AE42" s="46">
        <v>138428</v>
      </c>
      <c r="AF42" s="77">
        <v>336465</v>
      </c>
      <c r="AG42" s="49"/>
      <c r="AH42" s="46">
        <v>196136</v>
      </c>
      <c r="AI42" s="46">
        <v>289309</v>
      </c>
      <c r="AJ42" s="50"/>
      <c r="AK42" s="50"/>
      <c r="AL42" s="78"/>
      <c r="AM42" s="51"/>
      <c r="AN42" s="50"/>
      <c r="AO42" s="50"/>
      <c r="AP42" s="50"/>
      <c r="AQ42" s="50"/>
      <c r="AR42" s="78"/>
      <c r="AS42" s="51"/>
      <c r="AT42" s="78"/>
      <c r="AU42" s="53"/>
      <c r="AV42" s="78"/>
      <c r="AW42" s="53"/>
      <c r="AX42" s="78"/>
    </row>
    <row r="43" spans="1:50" s="54" customFormat="1" ht="14.25" customHeight="1">
      <c r="A43" s="73"/>
      <c r="B43" s="76"/>
      <c r="C43" s="21"/>
      <c r="D43" s="46"/>
      <c r="E43" s="46"/>
      <c r="F43" s="46"/>
      <c r="G43" s="46"/>
      <c r="H43" s="66"/>
      <c r="I43" s="48"/>
      <c r="J43" s="46"/>
      <c r="K43" s="46"/>
      <c r="L43" s="46"/>
      <c r="M43" s="46"/>
      <c r="N43" s="66"/>
      <c r="O43" s="48"/>
      <c r="P43" s="46"/>
      <c r="Q43" s="46"/>
      <c r="R43" s="46"/>
      <c r="S43" s="46"/>
      <c r="T43" s="66"/>
      <c r="U43" s="48"/>
      <c r="V43" s="46"/>
      <c r="W43" s="46"/>
      <c r="X43" s="46"/>
      <c r="Y43" s="46"/>
      <c r="Z43" s="66"/>
      <c r="AA43" s="51"/>
      <c r="AB43" s="46"/>
      <c r="AC43" s="46"/>
      <c r="AD43" s="46"/>
      <c r="AE43" s="46"/>
      <c r="AF43" s="66"/>
      <c r="AG43" s="49"/>
      <c r="AH43" s="46"/>
      <c r="AI43" s="46"/>
      <c r="AJ43" s="50"/>
      <c r="AK43" s="50"/>
      <c r="AL43" s="68"/>
      <c r="AM43" s="51"/>
      <c r="AN43" s="50"/>
      <c r="AO43" s="50"/>
      <c r="AP43" s="50"/>
      <c r="AQ43" s="50"/>
      <c r="AR43" s="68"/>
      <c r="AS43" s="51"/>
      <c r="AT43" s="68"/>
      <c r="AU43" s="53"/>
      <c r="AV43" s="68"/>
      <c r="AW43" s="53"/>
      <c r="AX43" s="68"/>
    </row>
    <row r="44" spans="1:50" s="54" customFormat="1" ht="14.25" customHeight="1">
      <c r="A44" s="44" t="s">
        <v>33</v>
      </c>
      <c r="B44" s="65" t="s">
        <v>567</v>
      </c>
      <c r="C44" s="21"/>
      <c r="D44" s="46"/>
      <c r="E44" s="46"/>
      <c r="F44" s="46"/>
      <c r="G44" s="46"/>
      <c r="H44" s="66"/>
      <c r="I44" s="48"/>
      <c r="J44" s="46"/>
      <c r="K44" s="46"/>
      <c r="L44" s="46"/>
      <c r="M44" s="46"/>
      <c r="N44" s="66"/>
      <c r="O44" s="48"/>
      <c r="P44" s="46"/>
      <c r="Q44" s="46"/>
      <c r="R44" s="46"/>
      <c r="S44" s="46"/>
      <c r="T44" s="66"/>
      <c r="U44" s="48"/>
      <c r="V44" s="46"/>
      <c r="W44" s="46"/>
      <c r="X44" s="46"/>
      <c r="Y44" s="46"/>
      <c r="Z44" s="66"/>
      <c r="AA44" s="51"/>
      <c r="AB44" s="46"/>
      <c r="AC44" s="46"/>
      <c r="AD44" s="46"/>
      <c r="AE44" s="46"/>
      <c r="AF44" s="66"/>
      <c r="AG44" s="49"/>
      <c r="AH44" s="46"/>
      <c r="AI44" s="46"/>
      <c r="AJ44" s="50"/>
      <c r="AK44" s="50"/>
      <c r="AL44" s="68"/>
      <c r="AM44" s="51"/>
      <c r="AN44" s="50"/>
      <c r="AO44" s="50"/>
      <c r="AP44" s="50"/>
      <c r="AQ44" s="50"/>
      <c r="AR44" s="68"/>
      <c r="AS44" s="51"/>
      <c r="AT44" s="68"/>
      <c r="AU44" s="53"/>
      <c r="AV44" s="68"/>
      <c r="AW44" s="53"/>
      <c r="AX44" s="68"/>
    </row>
    <row r="45" spans="1:50" s="54" customFormat="1" ht="14.25" customHeight="1">
      <c r="A45" s="84"/>
      <c r="B45" s="70" t="s">
        <v>499</v>
      </c>
      <c r="C45" s="22"/>
      <c r="D45" s="46">
        <v>-14185.31</v>
      </c>
      <c r="E45" s="46">
        <v>-4818.4799999999996</v>
      </c>
      <c r="F45" s="46">
        <v>4358.8500000000004</v>
      </c>
      <c r="G45" s="46">
        <v>17006.150000000001</v>
      </c>
      <c r="H45" s="66">
        <v>2781.21</v>
      </c>
      <c r="I45" s="48"/>
      <c r="J45" s="46">
        <v>-6121.17</v>
      </c>
      <c r="K45" s="46">
        <v>3782.79</v>
      </c>
      <c r="L45" s="46">
        <v>-1641.66</v>
      </c>
      <c r="M45" s="46">
        <v>-7402.74</v>
      </c>
      <c r="N45" s="66">
        <v>-11382.78</v>
      </c>
      <c r="O45" s="48"/>
      <c r="P45" s="46">
        <v>-15882.73</v>
      </c>
      <c r="Q45" s="46">
        <v>-1090.28</v>
      </c>
      <c r="R45" s="46">
        <v>13452.46</v>
      </c>
      <c r="S45" s="46">
        <v>36021.660000000003</v>
      </c>
      <c r="T45" s="66">
        <v>32501.11</v>
      </c>
      <c r="U45" s="48"/>
      <c r="V45" s="46">
        <v>40352.93</v>
      </c>
      <c r="W45" s="46">
        <v>63980.09</v>
      </c>
      <c r="X45" s="46">
        <v>101436.34</v>
      </c>
      <c r="Y45" s="46">
        <v>35754.85</v>
      </c>
      <c r="Z45" s="66">
        <v>241524.21</v>
      </c>
      <c r="AA45" s="71"/>
      <c r="AB45" s="46">
        <v>310.24</v>
      </c>
      <c r="AC45" s="46">
        <v>5606.78</v>
      </c>
      <c r="AD45" s="46">
        <v>36646.65</v>
      </c>
      <c r="AE45" s="46">
        <v>36189.07</v>
      </c>
      <c r="AF45" s="66">
        <v>78752.740000000005</v>
      </c>
      <c r="AG45" s="49"/>
      <c r="AH45" s="46">
        <v>47981.43</v>
      </c>
      <c r="AI45" s="46">
        <v>70675.08</v>
      </c>
      <c r="AJ45" s="50"/>
      <c r="AK45" s="50"/>
      <c r="AL45" s="68"/>
      <c r="AM45" s="91"/>
      <c r="AN45" s="50"/>
      <c r="AO45" s="50"/>
      <c r="AP45" s="50"/>
      <c r="AQ45" s="50"/>
      <c r="AR45" s="68"/>
      <c r="AS45" s="71"/>
      <c r="AT45" s="68"/>
      <c r="AU45" s="72"/>
      <c r="AV45" s="68"/>
      <c r="AW45" s="72"/>
      <c r="AX45" s="68"/>
    </row>
    <row r="46" spans="1:50" s="54" customFormat="1" ht="14.25" customHeight="1">
      <c r="A46" s="84"/>
      <c r="B46" s="70" t="s">
        <v>568</v>
      </c>
      <c r="C46" s="22"/>
      <c r="D46" s="46">
        <v>0</v>
      </c>
      <c r="E46" s="46">
        <v>0</v>
      </c>
      <c r="F46" s="46">
        <v>0</v>
      </c>
      <c r="G46" s="46">
        <v>0</v>
      </c>
      <c r="H46" s="66">
        <v>0</v>
      </c>
      <c r="I46" s="48"/>
      <c r="J46" s="46">
        <v>0</v>
      </c>
      <c r="K46" s="46">
        <v>0</v>
      </c>
      <c r="L46" s="46">
        <v>0</v>
      </c>
      <c r="M46" s="46">
        <v>0</v>
      </c>
      <c r="N46" s="66">
        <v>0</v>
      </c>
      <c r="O46" s="48"/>
      <c r="P46" s="46">
        <v>0</v>
      </c>
      <c r="Q46" s="46">
        <v>0</v>
      </c>
      <c r="R46" s="46">
        <v>0</v>
      </c>
      <c r="S46" s="46">
        <v>0</v>
      </c>
      <c r="T46" s="66">
        <v>0</v>
      </c>
      <c r="U46" s="48"/>
      <c r="V46" s="46">
        <v>0</v>
      </c>
      <c r="W46" s="46">
        <v>0</v>
      </c>
      <c r="X46" s="46">
        <v>0</v>
      </c>
      <c r="Y46" s="46">
        <v>0</v>
      </c>
      <c r="Z46" s="66">
        <v>0</v>
      </c>
      <c r="AA46" s="51"/>
      <c r="AB46" s="46">
        <v>0</v>
      </c>
      <c r="AC46" s="46">
        <v>0</v>
      </c>
      <c r="AD46" s="46">
        <v>0</v>
      </c>
      <c r="AE46" s="46">
        <v>0</v>
      </c>
      <c r="AF46" s="66">
        <v>0</v>
      </c>
      <c r="AG46" s="49"/>
      <c r="AH46" s="46">
        <v>0</v>
      </c>
      <c r="AI46" s="46">
        <v>0</v>
      </c>
      <c r="AJ46" s="50"/>
      <c r="AK46" s="50"/>
      <c r="AL46" s="68"/>
      <c r="AM46" s="92"/>
      <c r="AN46" s="50"/>
      <c r="AO46" s="50"/>
      <c r="AP46" s="50"/>
      <c r="AQ46" s="50"/>
      <c r="AR46" s="68"/>
      <c r="AS46" s="51"/>
      <c r="AT46" s="68"/>
      <c r="AU46" s="53"/>
      <c r="AV46" s="68"/>
      <c r="AW46" s="53"/>
      <c r="AX46" s="68"/>
    </row>
    <row r="47" spans="1:50" s="54" customFormat="1" ht="14.25" customHeight="1" thickBot="1">
      <c r="A47" s="73"/>
      <c r="B47" s="70" t="s">
        <v>569</v>
      </c>
      <c r="C47" s="21"/>
      <c r="D47" s="46">
        <v>-43517.69</v>
      </c>
      <c r="E47" s="46">
        <v>-10018.52</v>
      </c>
      <c r="F47" s="46">
        <v>14075.15</v>
      </c>
      <c r="G47" s="46">
        <v>60159.85</v>
      </c>
      <c r="H47" s="93">
        <v>22278.79</v>
      </c>
      <c r="I47" s="48"/>
      <c r="J47" s="46">
        <v>-19380.830000000002</v>
      </c>
      <c r="K47" s="46">
        <v>12233.21</v>
      </c>
      <c r="L47" s="46">
        <v>13827.66</v>
      </c>
      <c r="M47" s="46">
        <v>-2264.2600000000002</v>
      </c>
      <c r="N47" s="93">
        <v>4415.78</v>
      </c>
      <c r="O47" s="48"/>
      <c r="P47" s="46">
        <v>-18194.27</v>
      </c>
      <c r="Q47" s="46">
        <v>-409.72</v>
      </c>
      <c r="R47" s="46">
        <v>38921.54</v>
      </c>
      <c r="S47" s="46">
        <v>108087.34</v>
      </c>
      <c r="T47" s="93">
        <v>128404.89</v>
      </c>
      <c r="U47" s="48"/>
      <c r="V47" s="46">
        <v>125160.07</v>
      </c>
      <c r="W47" s="46">
        <v>198316.91</v>
      </c>
      <c r="X47" s="46">
        <v>320204.65999999997</v>
      </c>
      <c r="Y47" s="46">
        <v>111945.15</v>
      </c>
      <c r="Z47" s="93">
        <v>755626.79</v>
      </c>
      <c r="AA47" s="51"/>
      <c r="AB47" s="46">
        <v>366.76</v>
      </c>
      <c r="AC47" s="46">
        <v>16829.22</v>
      </c>
      <c r="AD47" s="46">
        <v>138277.35</v>
      </c>
      <c r="AE47" s="46">
        <v>102238.93</v>
      </c>
      <c r="AF47" s="93">
        <v>257712.26</v>
      </c>
      <c r="AG47" s="49"/>
      <c r="AH47" s="46">
        <v>148154.57</v>
      </c>
      <c r="AI47" s="46">
        <v>218633.92</v>
      </c>
      <c r="AJ47" s="50"/>
      <c r="AK47" s="50"/>
      <c r="AL47" s="94"/>
      <c r="AM47" s="92"/>
      <c r="AN47" s="50"/>
      <c r="AO47" s="50"/>
      <c r="AP47" s="50"/>
      <c r="AQ47" s="50"/>
      <c r="AR47" s="94"/>
      <c r="AS47" s="51"/>
      <c r="AT47" s="94"/>
      <c r="AU47" s="53"/>
      <c r="AV47" s="94"/>
      <c r="AW47" s="53"/>
      <c r="AX47" s="94"/>
    </row>
    <row r="49" spans="1:50" s="54" customFormat="1" ht="14.25" customHeight="1">
      <c r="A49" s="44" t="s">
        <v>33</v>
      </c>
      <c r="B49" s="65" t="s">
        <v>570</v>
      </c>
      <c r="C49" s="23"/>
      <c r="D49" s="46"/>
      <c r="E49" s="46"/>
      <c r="F49" s="46"/>
      <c r="G49" s="46"/>
      <c r="H49" s="66"/>
      <c r="I49" s="48"/>
      <c r="J49" s="46"/>
      <c r="K49" s="46"/>
      <c r="L49" s="46"/>
      <c r="M49" s="46"/>
      <c r="N49" s="66"/>
      <c r="O49" s="48"/>
      <c r="P49" s="46"/>
      <c r="Q49" s="46"/>
      <c r="R49" s="46"/>
      <c r="S49" s="46"/>
      <c r="T49" s="66"/>
      <c r="U49" s="48"/>
      <c r="V49" s="46"/>
      <c r="W49" s="46"/>
      <c r="X49" s="46"/>
      <c r="Y49" s="46"/>
      <c r="Z49" s="66"/>
      <c r="AA49" s="48"/>
      <c r="AB49" s="46"/>
      <c r="AC49" s="46"/>
      <c r="AD49" s="46"/>
      <c r="AE49" s="46"/>
      <c r="AF49" s="66"/>
      <c r="AG49" s="95"/>
      <c r="AH49" s="46"/>
      <c r="AI49" s="46"/>
      <c r="AJ49" s="50"/>
      <c r="AK49" s="50"/>
      <c r="AL49" s="68"/>
      <c r="AM49" s="48"/>
      <c r="AN49" s="50"/>
      <c r="AO49" s="50"/>
      <c r="AP49" s="50"/>
      <c r="AQ49" s="50"/>
      <c r="AR49" s="68"/>
      <c r="AS49" s="48"/>
      <c r="AT49" s="68"/>
      <c r="AU49" s="96"/>
      <c r="AV49" s="68"/>
      <c r="AW49" s="96"/>
      <c r="AX49" s="68"/>
    </row>
    <row r="50" spans="1:50" s="54" customFormat="1" ht="14.25" customHeight="1">
      <c r="A50" s="73"/>
      <c r="B50" s="70" t="s">
        <v>571</v>
      </c>
      <c r="C50" s="21"/>
      <c r="D50" s="46">
        <v>0</v>
      </c>
      <c r="E50" s="46">
        <v>0</v>
      </c>
      <c r="F50" s="46">
        <v>0</v>
      </c>
      <c r="G50" s="46">
        <v>0</v>
      </c>
      <c r="H50" s="66">
        <v>0</v>
      </c>
      <c r="I50" s="48"/>
      <c r="J50" s="46">
        <v>0</v>
      </c>
      <c r="K50" s="46">
        <v>0</v>
      </c>
      <c r="L50" s="46">
        <v>0</v>
      </c>
      <c r="M50" s="46">
        <v>0</v>
      </c>
      <c r="N50" s="66">
        <v>0</v>
      </c>
      <c r="O50" s="48"/>
      <c r="P50" s="46">
        <v>0</v>
      </c>
      <c r="Q50" s="46">
        <v>0</v>
      </c>
      <c r="R50" s="46">
        <v>0</v>
      </c>
      <c r="S50" s="46">
        <v>0</v>
      </c>
      <c r="T50" s="66">
        <v>0</v>
      </c>
      <c r="U50" s="48"/>
      <c r="V50" s="46">
        <v>0</v>
      </c>
      <c r="W50" s="46">
        <v>0</v>
      </c>
      <c r="X50" s="46">
        <v>0</v>
      </c>
      <c r="Y50" s="46">
        <v>0</v>
      </c>
      <c r="Z50" s="66">
        <v>0</v>
      </c>
      <c r="AA50" s="81"/>
      <c r="AB50" s="46">
        <v>0</v>
      </c>
      <c r="AC50" s="46">
        <v>0</v>
      </c>
      <c r="AD50" s="46">
        <v>0</v>
      </c>
      <c r="AE50" s="46">
        <v>0</v>
      </c>
      <c r="AF50" s="66">
        <v>0</v>
      </c>
      <c r="AG50" s="82"/>
      <c r="AH50" s="46">
        <v>0</v>
      </c>
      <c r="AI50" s="46">
        <v>0</v>
      </c>
      <c r="AJ50" s="50"/>
      <c r="AK50" s="50"/>
      <c r="AL50" s="68"/>
      <c r="AM50" s="81"/>
      <c r="AN50" s="50"/>
      <c r="AO50" s="50"/>
      <c r="AP50" s="50"/>
      <c r="AQ50" s="50"/>
      <c r="AR50" s="68"/>
      <c r="AS50" s="81"/>
      <c r="AT50" s="68"/>
      <c r="AU50" s="83"/>
      <c r="AV50" s="68"/>
      <c r="AW50" s="83"/>
      <c r="AX50" s="68"/>
    </row>
    <row r="51" spans="1:50" s="54" customFormat="1" ht="14.25" customHeight="1">
      <c r="A51" s="55"/>
      <c r="B51" s="70" t="s">
        <v>572</v>
      </c>
      <c r="C51" s="23"/>
      <c r="D51" s="46">
        <v>39</v>
      </c>
      <c r="E51" s="46">
        <v>-125</v>
      </c>
      <c r="F51" s="46">
        <v>22</v>
      </c>
      <c r="G51" s="46">
        <v>1</v>
      </c>
      <c r="H51" s="74">
        <v>-63</v>
      </c>
      <c r="I51" s="48"/>
      <c r="J51" s="46">
        <v>0</v>
      </c>
      <c r="K51" s="46">
        <v>0</v>
      </c>
      <c r="L51" s="46">
        <v>0</v>
      </c>
      <c r="M51" s="46">
        <v>0</v>
      </c>
      <c r="N51" s="74">
        <v>0</v>
      </c>
      <c r="O51" s="48"/>
      <c r="P51" s="46">
        <v>0</v>
      </c>
      <c r="Q51" s="46">
        <v>-28</v>
      </c>
      <c r="R51" s="46">
        <v>-63</v>
      </c>
      <c r="S51" s="46">
        <v>-118</v>
      </c>
      <c r="T51" s="74">
        <v>-209</v>
      </c>
      <c r="U51" s="48"/>
      <c r="V51" s="46">
        <v>-153</v>
      </c>
      <c r="W51" s="46">
        <v>-293</v>
      </c>
      <c r="X51" s="46">
        <v>-450</v>
      </c>
      <c r="Y51" s="46">
        <v>-396</v>
      </c>
      <c r="Z51" s="74">
        <v>-1292</v>
      </c>
      <c r="AA51" s="48"/>
      <c r="AB51" s="46">
        <v>-515</v>
      </c>
      <c r="AC51" s="46">
        <v>-431</v>
      </c>
      <c r="AD51" s="46">
        <v>-349</v>
      </c>
      <c r="AE51" s="46">
        <v>-311</v>
      </c>
      <c r="AF51" s="74">
        <v>-1606</v>
      </c>
      <c r="AG51" s="95"/>
      <c r="AH51" s="46">
        <v>-386</v>
      </c>
      <c r="AI51" s="46">
        <v>-705</v>
      </c>
      <c r="AJ51" s="50"/>
      <c r="AK51" s="50"/>
      <c r="AL51" s="75"/>
      <c r="AM51" s="48"/>
      <c r="AN51" s="50"/>
      <c r="AO51" s="50"/>
      <c r="AP51" s="50"/>
      <c r="AQ51" s="50"/>
      <c r="AR51" s="75"/>
      <c r="AS51" s="48"/>
      <c r="AT51" s="75"/>
      <c r="AU51" s="96"/>
      <c r="AV51" s="75"/>
      <c r="AW51" s="96"/>
      <c r="AX51" s="75"/>
    </row>
    <row r="52" spans="1:50" s="54" customFormat="1" ht="14.25" customHeight="1" thickBot="1">
      <c r="A52" s="73"/>
      <c r="B52" s="76" t="s">
        <v>573</v>
      </c>
      <c r="C52" s="21"/>
      <c r="D52" s="46">
        <v>-43556.69</v>
      </c>
      <c r="E52" s="46">
        <v>-9893.52</v>
      </c>
      <c r="F52" s="46">
        <v>14053.15</v>
      </c>
      <c r="G52" s="46">
        <v>60158.85</v>
      </c>
      <c r="H52" s="93">
        <v>22341.79</v>
      </c>
      <c r="I52" s="48"/>
      <c r="J52" s="46">
        <v>-19380.830000000002</v>
      </c>
      <c r="K52" s="46">
        <v>12233.21</v>
      </c>
      <c r="L52" s="46">
        <v>13827.66</v>
      </c>
      <c r="M52" s="46">
        <v>-2264.2600000000002</v>
      </c>
      <c r="N52" s="93">
        <v>4415.78</v>
      </c>
      <c r="O52" s="48"/>
      <c r="P52" s="46">
        <v>-18194.27</v>
      </c>
      <c r="Q52" s="46">
        <v>-381.72</v>
      </c>
      <c r="R52" s="46">
        <v>38984.54</v>
      </c>
      <c r="S52" s="46">
        <v>108205.34</v>
      </c>
      <c r="T52" s="93">
        <v>128613.89</v>
      </c>
      <c r="U52" s="48"/>
      <c r="V52" s="46">
        <v>125313.07</v>
      </c>
      <c r="W52" s="46">
        <v>198609.91</v>
      </c>
      <c r="X52" s="46">
        <v>320654.65999999997</v>
      </c>
      <c r="Y52" s="46">
        <v>112341.15</v>
      </c>
      <c r="Z52" s="93">
        <v>756918.79</v>
      </c>
      <c r="AA52" s="48"/>
      <c r="AB52" s="46">
        <v>881.76</v>
      </c>
      <c r="AC52" s="46">
        <v>17260.22</v>
      </c>
      <c r="AD52" s="46">
        <v>138626.35</v>
      </c>
      <c r="AE52" s="46">
        <v>102549.93</v>
      </c>
      <c r="AF52" s="93">
        <v>259318.26</v>
      </c>
      <c r="AG52" s="95"/>
      <c r="AH52" s="46">
        <v>148540.57</v>
      </c>
      <c r="AI52" s="46">
        <v>219338.92</v>
      </c>
      <c r="AJ52" s="50"/>
      <c r="AK52" s="50"/>
      <c r="AL52" s="94"/>
      <c r="AM52" s="48"/>
      <c r="AN52" s="50"/>
      <c r="AO52" s="50"/>
      <c r="AP52" s="50"/>
      <c r="AQ52" s="50"/>
      <c r="AR52" s="94"/>
      <c r="AS52" s="48"/>
      <c r="AT52" s="94"/>
      <c r="AU52" s="96"/>
      <c r="AV52" s="94"/>
      <c r="AW52" s="96"/>
      <c r="AX52" s="94"/>
    </row>
    <row r="53" spans="1:50" s="54" customFormat="1" ht="14.25" customHeight="1" thickTop="1">
      <c r="A53" s="55"/>
      <c r="B53" s="97"/>
      <c r="C53" s="23"/>
      <c r="D53" s="46"/>
      <c r="E53" s="46"/>
      <c r="F53" s="46"/>
      <c r="G53" s="46"/>
      <c r="H53" s="66"/>
      <c r="I53" s="48"/>
      <c r="J53" s="46"/>
      <c r="K53" s="46"/>
      <c r="L53" s="46"/>
      <c r="M53" s="46"/>
      <c r="N53" s="66"/>
      <c r="O53" s="48"/>
      <c r="P53" s="46"/>
      <c r="Q53" s="46"/>
      <c r="R53" s="46"/>
      <c r="S53" s="46"/>
      <c r="T53" s="66"/>
      <c r="U53" s="48"/>
      <c r="V53" s="46"/>
      <c r="W53" s="46"/>
      <c r="X53" s="46"/>
      <c r="Y53" s="46"/>
      <c r="Z53" s="66"/>
      <c r="AA53" s="48"/>
      <c r="AB53" s="46"/>
      <c r="AC53" s="46"/>
      <c r="AD53" s="46"/>
      <c r="AE53" s="46"/>
      <c r="AF53" s="66"/>
      <c r="AG53" s="95"/>
      <c r="AH53" s="46"/>
      <c r="AI53" s="46"/>
      <c r="AJ53" s="50"/>
      <c r="AK53" s="50"/>
      <c r="AL53" s="68"/>
      <c r="AM53" s="48"/>
      <c r="AN53" s="50"/>
      <c r="AO53" s="50"/>
      <c r="AP53" s="50"/>
      <c r="AQ53" s="50"/>
      <c r="AR53" s="68"/>
      <c r="AS53" s="48"/>
      <c r="AT53" s="68"/>
      <c r="AU53" s="96"/>
      <c r="AV53" s="68"/>
      <c r="AW53" s="96"/>
      <c r="AX53" s="68"/>
    </row>
    <row r="54" spans="1:50" s="54" customFormat="1" ht="14.25" customHeight="1">
      <c r="A54" s="44" t="s">
        <v>33</v>
      </c>
      <c r="B54" s="65" t="s">
        <v>574</v>
      </c>
      <c r="C54" s="21"/>
      <c r="D54" s="46"/>
      <c r="E54" s="46"/>
      <c r="F54" s="46"/>
      <c r="G54" s="46"/>
      <c r="H54" s="66"/>
      <c r="I54" s="48"/>
      <c r="J54" s="46"/>
      <c r="K54" s="46"/>
      <c r="L54" s="46"/>
      <c r="M54" s="46"/>
      <c r="N54" s="66"/>
      <c r="O54" s="48"/>
      <c r="P54" s="46"/>
      <c r="Q54" s="46"/>
      <c r="R54" s="46"/>
      <c r="S54" s="46"/>
      <c r="T54" s="66"/>
      <c r="U54" s="48"/>
      <c r="V54" s="46"/>
      <c r="W54" s="46"/>
      <c r="X54" s="46"/>
      <c r="Y54" s="46"/>
      <c r="Z54" s="66"/>
      <c r="AA54" s="48"/>
      <c r="AB54" s="46"/>
      <c r="AC54" s="46"/>
      <c r="AD54" s="46"/>
      <c r="AE54" s="46"/>
      <c r="AF54" s="66"/>
      <c r="AG54" s="95"/>
      <c r="AH54" s="46"/>
      <c r="AI54" s="46"/>
      <c r="AJ54" s="50"/>
      <c r="AK54" s="50"/>
      <c r="AL54" s="68"/>
      <c r="AM54" s="48"/>
      <c r="AN54" s="50"/>
      <c r="AO54" s="50"/>
      <c r="AP54" s="50"/>
      <c r="AQ54" s="50"/>
      <c r="AR54" s="68"/>
      <c r="AS54" s="48"/>
      <c r="AT54" s="68"/>
      <c r="AU54" s="96"/>
      <c r="AV54" s="68"/>
      <c r="AW54" s="96"/>
      <c r="AX54" s="68"/>
    </row>
    <row r="55" spans="1:50" s="54" customFormat="1" ht="14.25" customHeight="1">
      <c r="A55" s="55"/>
      <c r="B55" s="76" t="s">
        <v>575</v>
      </c>
      <c r="C55" s="23"/>
      <c r="D55" s="98">
        <v>-0.89910000000000001</v>
      </c>
      <c r="E55" s="98">
        <v>-0.20419999999999999</v>
      </c>
      <c r="F55" s="98">
        <v>0.28989999999999999</v>
      </c>
      <c r="G55" s="98">
        <v>1.2403999999999999</v>
      </c>
      <c r="H55" s="99">
        <v>0.46100000000000002</v>
      </c>
      <c r="I55" s="100"/>
      <c r="J55" s="98">
        <v>-0.39960000000000001</v>
      </c>
      <c r="K55" s="98">
        <v>0.25219999999999998</v>
      </c>
      <c r="L55" s="98">
        <v>0.28489999999999999</v>
      </c>
      <c r="M55" s="98">
        <v>-4.6600000000000003E-2</v>
      </c>
      <c r="N55" s="99">
        <v>9.0999999999999998E-2</v>
      </c>
      <c r="O55" s="100"/>
      <c r="P55" s="98">
        <v>-0.37240000000000001</v>
      </c>
      <c r="Q55" s="98">
        <v>-7.7999999999999996E-3</v>
      </c>
      <c r="R55" s="98">
        <v>0.79749999999999999</v>
      </c>
      <c r="S55" s="98">
        <v>2.2254</v>
      </c>
      <c r="T55" s="99">
        <v>2.6474000000000002</v>
      </c>
      <c r="U55" s="100"/>
      <c r="V55" s="98">
        <v>2.5771999999999999</v>
      </c>
      <c r="W55" s="98">
        <v>4.0846</v>
      </c>
      <c r="X55" s="98">
        <v>6.5906000000000002</v>
      </c>
      <c r="Y55" s="98">
        <v>2.3073000000000001</v>
      </c>
      <c r="Z55" s="99">
        <v>15.559100000000001</v>
      </c>
      <c r="AA55" s="100"/>
      <c r="AB55" s="98">
        <v>1.8100000000000002E-2</v>
      </c>
      <c r="AC55" s="98">
        <v>0.35449999999999998</v>
      </c>
      <c r="AD55" s="98">
        <v>2.8450000000000002</v>
      </c>
      <c r="AE55" s="98">
        <v>2.1031</v>
      </c>
      <c r="AF55" s="99">
        <v>5.3230000000000004</v>
      </c>
      <c r="AG55" s="101"/>
      <c r="AH55" s="98">
        <v>3.0463</v>
      </c>
      <c r="AI55" s="98">
        <v>4.4978999999999996</v>
      </c>
      <c r="AJ55" s="102"/>
      <c r="AK55" s="102"/>
      <c r="AL55" s="103"/>
      <c r="AM55" s="100"/>
      <c r="AN55" s="102"/>
      <c r="AO55" s="102"/>
      <c r="AP55" s="102"/>
      <c r="AQ55" s="102"/>
      <c r="AR55" s="103"/>
      <c r="AS55" s="100"/>
      <c r="AT55" s="103"/>
      <c r="AU55" s="104"/>
      <c r="AV55" s="103"/>
      <c r="AW55" s="104"/>
      <c r="AX55" s="103"/>
    </row>
    <row r="56" spans="1:50" s="54" customFormat="1" ht="14.25" customHeight="1">
      <c r="A56" s="73"/>
      <c r="B56" s="76" t="s">
        <v>576</v>
      </c>
      <c r="C56" s="21"/>
      <c r="D56" s="98">
        <v>-0.89910000000000001</v>
      </c>
      <c r="E56" s="98">
        <v>-0.20649999999999999</v>
      </c>
      <c r="F56" s="98">
        <v>0.2863</v>
      </c>
      <c r="G56" s="98">
        <v>1.2337</v>
      </c>
      <c r="H56" s="99">
        <v>0.46100000000000002</v>
      </c>
      <c r="I56" s="100"/>
      <c r="J56" s="98">
        <v>-0.39960000000000001</v>
      </c>
      <c r="K56" s="98">
        <v>0.25159999999999999</v>
      </c>
      <c r="L56" s="98">
        <v>0.28489999999999999</v>
      </c>
      <c r="M56" s="98">
        <v>-4.9299999999999997E-2</v>
      </c>
      <c r="N56" s="99">
        <v>8.8400000000000006E-2</v>
      </c>
      <c r="O56" s="100"/>
      <c r="P56" s="98">
        <v>-0.37340000000000001</v>
      </c>
      <c r="Q56" s="98">
        <v>-1.17E-2</v>
      </c>
      <c r="R56" s="98">
        <v>0.79749999999999999</v>
      </c>
      <c r="S56" s="98">
        <v>2.2134999999999998</v>
      </c>
      <c r="T56" s="99">
        <v>2.6372</v>
      </c>
      <c r="U56" s="100"/>
      <c r="V56" s="98">
        <v>2.5705</v>
      </c>
      <c r="W56" s="98">
        <v>4.0705</v>
      </c>
      <c r="X56" s="98">
        <v>6.5674999999999999</v>
      </c>
      <c r="Y56" s="98">
        <v>2.2989000000000002</v>
      </c>
      <c r="Z56" s="99">
        <v>15.497400000000001</v>
      </c>
      <c r="AA56" s="100"/>
      <c r="AB56" s="98">
        <v>1.8100000000000002E-2</v>
      </c>
      <c r="AC56" s="98">
        <v>0.35449999999999998</v>
      </c>
      <c r="AD56" s="98">
        <v>2.8346</v>
      </c>
      <c r="AE56" s="98">
        <v>2.1013999999999999</v>
      </c>
      <c r="AF56" s="99">
        <v>5.31</v>
      </c>
      <c r="AG56" s="101"/>
      <c r="AH56" s="98">
        <v>3.0306999999999999</v>
      </c>
      <c r="AI56" s="98">
        <v>4.4756</v>
      </c>
      <c r="AJ56" s="102"/>
      <c r="AK56" s="102"/>
      <c r="AL56" s="103"/>
      <c r="AM56" s="100"/>
      <c r="AN56" s="102"/>
      <c r="AO56" s="102"/>
      <c r="AP56" s="102"/>
      <c r="AQ56" s="102"/>
      <c r="AR56" s="103"/>
      <c r="AS56" s="100"/>
      <c r="AT56" s="103"/>
      <c r="AU56" s="104"/>
      <c r="AV56" s="103"/>
      <c r="AW56" s="104"/>
      <c r="AX56" s="103"/>
    </row>
    <row r="57" spans="1:50" s="54" customFormat="1" ht="14.25" customHeight="1">
      <c r="A57" s="55"/>
      <c r="B57" s="97"/>
      <c r="C57" s="23"/>
      <c r="D57" s="46"/>
      <c r="E57" s="46"/>
      <c r="F57" s="46"/>
      <c r="G57" s="46"/>
      <c r="H57" s="66"/>
      <c r="I57" s="48"/>
      <c r="J57" s="46"/>
      <c r="K57" s="46"/>
      <c r="L57" s="46"/>
      <c r="M57" s="46"/>
      <c r="N57" s="66"/>
      <c r="O57" s="48"/>
      <c r="P57" s="46"/>
      <c r="Q57" s="46"/>
      <c r="R57" s="46"/>
      <c r="S57" s="46"/>
      <c r="T57" s="66"/>
      <c r="U57" s="48"/>
      <c r="V57" s="46"/>
      <c r="W57" s="46"/>
      <c r="X57" s="46"/>
      <c r="Y57" s="46"/>
      <c r="Z57" s="66"/>
      <c r="AA57" s="48"/>
      <c r="AB57" s="46"/>
      <c r="AC57" s="46"/>
      <c r="AD57" s="46"/>
      <c r="AE57" s="46"/>
      <c r="AF57" s="66"/>
      <c r="AG57" s="95"/>
      <c r="AH57" s="46"/>
      <c r="AI57" s="46"/>
      <c r="AJ57" s="50"/>
      <c r="AK57" s="50"/>
      <c r="AL57" s="68"/>
      <c r="AM57" s="48"/>
      <c r="AN57" s="50"/>
      <c r="AO57" s="50"/>
      <c r="AP57" s="50"/>
      <c r="AQ57" s="50"/>
      <c r="AR57" s="68"/>
      <c r="AS57" s="48"/>
      <c r="AT57" s="68"/>
      <c r="AU57" s="96"/>
      <c r="AV57" s="68"/>
      <c r="AW57" s="96"/>
      <c r="AX57" s="68"/>
    </row>
    <row r="58" spans="1:50" s="54" customFormat="1" ht="14.25" customHeight="1">
      <c r="A58" s="44" t="s">
        <v>33</v>
      </c>
      <c r="B58" s="65" t="s">
        <v>577</v>
      </c>
      <c r="C58" s="21"/>
      <c r="D58" s="46"/>
      <c r="E58" s="46"/>
      <c r="F58" s="46"/>
      <c r="G58" s="46"/>
      <c r="H58" s="66"/>
      <c r="I58" s="48"/>
      <c r="J58" s="46"/>
      <c r="K58" s="46"/>
      <c r="L58" s="46"/>
      <c r="M58" s="46"/>
      <c r="N58" s="66"/>
      <c r="O58" s="48"/>
      <c r="P58" s="46"/>
      <c r="Q58" s="46"/>
      <c r="R58" s="46"/>
      <c r="S58" s="46"/>
      <c r="T58" s="66"/>
      <c r="U58" s="48"/>
      <c r="V58" s="46"/>
      <c r="W58" s="46"/>
      <c r="X58" s="46"/>
      <c r="Y58" s="46"/>
      <c r="Z58" s="66"/>
      <c r="AA58" s="48"/>
      <c r="AB58" s="46"/>
      <c r="AC58" s="46"/>
      <c r="AD58" s="46"/>
      <c r="AE58" s="46"/>
      <c r="AF58" s="66"/>
      <c r="AG58" s="95"/>
      <c r="AH58" s="46"/>
      <c r="AI58" s="46"/>
      <c r="AJ58" s="50"/>
      <c r="AK58" s="50"/>
      <c r="AL58" s="68"/>
      <c r="AM58" s="48"/>
      <c r="AN58" s="50"/>
      <c r="AO58" s="50"/>
      <c r="AP58" s="50"/>
      <c r="AQ58" s="50"/>
      <c r="AR58" s="68"/>
      <c r="AS58" s="48"/>
      <c r="AT58" s="68"/>
      <c r="AU58" s="96"/>
      <c r="AV58" s="68"/>
      <c r="AW58" s="96"/>
      <c r="AX58" s="68"/>
    </row>
    <row r="59" spans="1:50" s="54" customFormat="1" ht="14.25" customHeight="1">
      <c r="A59" s="97"/>
      <c r="B59" s="70" t="s">
        <v>578</v>
      </c>
      <c r="C59" s="23"/>
      <c r="D59" s="320">
        <v>48446</v>
      </c>
      <c r="E59" s="320">
        <v>48447</v>
      </c>
      <c r="F59" s="320">
        <v>48473</v>
      </c>
      <c r="G59" s="320">
        <v>48501</v>
      </c>
      <c r="H59" s="330">
        <v>48467</v>
      </c>
      <c r="I59" s="331"/>
      <c r="J59" s="320">
        <v>48501</v>
      </c>
      <c r="K59" s="320">
        <v>48501</v>
      </c>
      <c r="L59" s="320">
        <v>48530</v>
      </c>
      <c r="M59" s="320">
        <v>48636</v>
      </c>
      <c r="N59" s="330">
        <v>48522</v>
      </c>
      <c r="O59" s="331"/>
      <c r="P59" s="320">
        <v>48858</v>
      </c>
      <c r="Q59" s="320">
        <v>48857</v>
      </c>
      <c r="R59" s="320">
        <v>48886</v>
      </c>
      <c r="S59" s="320">
        <v>48622</v>
      </c>
      <c r="T59" s="330">
        <v>48581</v>
      </c>
      <c r="U59" s="331"/>
      <c r="V59" s="320">
        <v>48623</v>
      </c>
      <c r="W59" s="320">
        <v>48624</v>
      </c>
      <c r="X59" s="320">
        <v>48653</v>
      </c>
      <c r="Y59" s="320">
        <v>48689</v>
      </c>
      <c r="Z59" s="330">
        <v>48648</v>
      </c>
      <c r="AA59" s="331"/>
      <c r="AB59" s="320">
        <v>48690</v>
      </c>
      <c r="AC59" s="320">
        <v>48690</v>
      </c>
      <c r="AD59" s="320">
        <v>48727</v>
      </c>
      <c r="AE59" s="320">
        <v>48761</v>
      </c>
      <c r="AF59" s="330">
        <v>48717</v>
      </c>
      <c r="AG59" s="332"/>
      <c r="AH59" s="320">
        <v>48761</v>
      </c>
      <c r="AI59" s="320">
        <v>48765</v>
      </c>
      <c r="AJ59" s="333" t="e">
        <v>#DIV/0!</v>
      </c>
      <c r="AK59" s="333" t="e">
        <v>#DIV/0!</v>
      </c>
      <c r="AL59" s="360" t="e">
        <v>#DIV/0!</v>
      </c>
      <c r="AM59" s="331"/>
      <c r="AN59" s="333" t="e">
        <v>#DIV/0!</v>
      </c>
      <c r="AO59" s="333" t="e">
        <v>#DIV/0!</v>
      </c>
      <c r="AP59" s="333" t="e">
        <v>#DIV/0!</v>
      </c>
      <c r="AQ59" s="333" t="e">
        <v>#DIV/0!</v>
      </c>
      <c r="AR59" s="360" t="e">
        <v>#DIV/0!</v>
      </c>
      <c r="AS59" s="48"/>
      <c r="AT59" s="360" t="e">
        <v>#DIV/0!</v>
      </c>
      <c r="AU59" s="96"/>
      <c r="AV59" s="360" t="e">
        <v>#DIV/0!</v>
      </c>
      <c r="AW59" s="96"/>
      <c r="AX59" s="360" t="e">
        <v>#DIV/0!</v>
      </c>
    </row>
    <row r="60" spans="1:50" s="54" customFormat="1" ht="14.25" customHeight="1">
      <c r="A60" s="97"/>
      <c r="B60" s="70" t="s">
        <v>579</v>
      </c>
      <c r="C60" s="23"/>
      <c r="D60" s="320">
        <v>48446</v>
      </c>
      <c r="E60" s="320">
        <v>48447</v>
      </c>
      <c r="F60" s="320">
        <v>48588</v>
      </c>
      <c r="G60" s="320">
        <v>48608</v>
      </c>
      <c r="H60" s="330">
        <v>48584</v>
      </c>
      <c r="I60" s="331"/>
      <c r="J60" s="320">
        <v>48501</v>
      </c>
      <c r="K60" s="320">
        <v>48645</v>
      </c>
      <c r="L60" s="320">
        <v>48659</v>
      </c>
      <c r="M60" s="320">
        <v>48636</v>
      </c>
      <c r="N60" s="330">
        <v>48656</v>
      </c>
      <c r="O60" s="331"/>
      <c r="P60" s="320">
        <v>48858</v>
      </c>
      <c r="Q60" s="320">
        <v>49016</v>
      </c>
      <c r="R60" s="320">
        <v>49036</v>
      </c>
      <c r="S60" s="320">
        <v>48791</v>
      </c>
      <c r="T60" s="330">
        <v>48734</v>
      </c>
      <c r="U60" s="331"/>
      <c r="V60" s="320">
        <v>48811</v>
      </c>
      <c r="W60" s="320">
        <v>48840</v>
      </c>
      <c r="X60" s="320">
        <v>48842</v>
      </c>
      <c r="Y60" s="320">
        <v>48838</v>
      </c>
      <c r="Z60" s="330">
        <v>48834</v>
      </c>
      <c r="AA60" s="331"/>
      <c r="AB60" s="320">
        <v>48840</v>
      </c>
      <c r="AC60" s="320">
        <v>48866</v>
      </c>
      <c r="AD60" s="320">
        <v>48884</v>
      </c>
      <c r="AE60" s="320">
        <v>48902</v>
      </c>
      <c r="AF60" s="330">
        <v>48873</v>
      </c>
      <c r="AG60" s="332"/>
      <c r="AH60" s="320">
        <v>48932</v>
      </c>
      <c r="AI60" s="320">
        <v>48970</v>
      </c>
      <c r="AJ60" s="333">
        <v>48970</v>
      </c>
      <c r="AK60" s="333">
        <v>48970</v>
      </c>
      <c r="AL60" s="360">
        <v>48960.5</v>
      </c>
      <c r="AM60" s="331"/>
      <c r="AN60" s="333">
        <v>48970</v>
      </c>
      <c r="AO60" s="333">
        <v>48970</v>
      </c>
      <c r="AP60" s="333">
        <v>48970</v>
      </c>
      <c r="AQ60" s="333">
        <v>48970</v>
      </c>
      <c r="AR60" s="360">
        <v>48970</v>
      </c>
      <c r="AS60" s="48"/>
      <c r="AT60" s="360">
        <v>48970</v>
      </c>
      <c r="AU60" s="96"/>
      <c r="AV60" s="360">
        <v>48970</v>
      </c>
      <c r="AW60" s="96"/>
      <c r="AX60" s="360">
        <v>48970</v>
      </c>
    </row>
    <row r="61" spans="1:50" ht="14.25" customHeight="1">
      <c r="AG61" s="205"/>
    </row>
    <row r="62" spans="1:50" ht="14.25" customHeight="1">
      <c r="B62" s="64" t="s">
        <v>580</v>
      </c>
      <c r="C62" s="115"/>
      <c r="D62" s="113"/>
      <c r="E62" s="113"/>
      <c r="F62" s="113"/>
      <c r="G62" s="113"/>
      <c r="H62" s="113"/>
      <c r="I62" s="115"/>
      <c r="J62" s="113"/>
      <c r="K62" s="113"/>
      <c r="L62" s="113"/>
      <c r="M62" s="113"/>
      <c r="N62" s="113"/>
      <c r="O62" s="115"/>
      <c r="P62" s="113"/>
      <c r="Q62" s="113"/>
      <c r="R62" s="113"/>
      <c r="S62" s="113"/>
      <c r="T62" s="113"/>
      <c r="U62" s="115"/>
      <c r="V62" s="113"/>
      <c r="W62" s="113"/>
      <c r="X62" s="113"/>
      <c r="Y62" s="113"/>
      <c r="Z62" s="113"/>
      <c r="AA62" s="115"/>
      <c r="AB62" s="113"/>
      <c r="AC62" s="113"/>
      <c r="AD62" s="113"/>
      <c r="AE62" s="113"/>
      <c r="AF62" s="113"/>
      <c r="AG62" s="362"/>
      <c r="AH62" s="113"/>
      <c r="AI62" s="113"/>
      <c r="AJ62" s="113"/>
      <c r="AK62" s="113"/>
      <c r="AL62" s="113"/>
      <c r="AM62" s="115"/>
      <c r="AN62" s="113"/>
      <c r="AO62" s="113"/>
      <c r="AP62" s="113"/>
      <c r="AQ62" s="113"/>
    </row>
    <row r="63" spans="1:50" ht="14.25" customHeight="1">
      <c r="B63" s="64"/>
      <c r="C63" s="115"/>
      <c r="D63" s="113"/>
      <c r="E63" s="113"/>
      <c r="F63" s="113"/>
      <c r="G63" s="113"/>
      <c r="H63" s="113"/>
      <c r="I63" s="115"/>
      <c r="J63" s="113"/>
      <c r="K63" s="113"/>
      <c r="L63" s="113"/>
      <c r="M63" s="113"/>
      <c r="N63" s="113"/>
      <c r="O63" s="115"/>
      <c r="P63" s="113"/>
      <c r="Q63" s="113"/>
      <c r="R63" s="113"/>
      <c r="S63" s="113"/>
      <c r="T63" s="113"/>
      <c r="U63" s="115"/>
      <c r="V63" s="113"/>
      <c r="W63" s="113"/>
      <c r="X63" s="113"/>
      <c r="Y63" s="113"/>
      <c r="Z63" s="113"/>
      <c r="AA63" s="115"/>
      <c r="AB63" s="113"/>
      <c r="AC63" s="113"/>
      <c r="AD63" s="113"/>
      <c r="AE63" s="113"/>
      <c r="AF63" s="113"/>
      <c r="AG63" s="362"/>
      <c r="AH63" s="113"/>
      <c r="AI63" s="113"/>
      <c r="AJ63" s="113"/>
      <c r="AK63" s="113"/>
      <c r="AL63" s="113"/>
      <c r="AM63" s="115"/>
      <c r="AN63" s="113"/>
      <c r="AO63" s="113"/>
      <c r="AP63" s="113"/>
      <c r="AQ63" s="113"/>
    </row>
    <row r="64" spans="1:50" ht="14.25" customHeight="1">
      <c r="B64" s="114" t="s">
        <v>581</v>
      </c>
      <c r="C64" s="17"/>
      <c r="D64" s="60">
        <f>D28*0.5</f>
        <v>8694.5</v>
      </c>
      <c r="E64" s="60">
        <f t="shared" ref="E64:AI64" si="0">E28*0.5</f>
        <v>8290</v>
      </c>
      <c r="F64" s="60">
        <f t="shared" si="0"/>
        <v>8513.5</v>
      </c>
      <c r="G64" s="60">
        <f t="shared" si="0"/>
        <v>8699.5</v>
      </c>
      <c r="H64" s="60">
        <f t="shared" si="0"/>
        <v>34197.5</v>
      </c>
      <c r="I64" s="60">
        <f t="shared" si="0"/>
        <v>0</v>
      </c>
      <c r="J64" s="60">
        <f t="shared" si="0"/>
        <v>8656</v>
      </c>
      <c r="K64" s="60">
        <f t="shared" si="0"/>
        <v>8708.5</v>
      </c>
      <c r="L64" s="60">
        <f t="shared" si="0"/>
        <v>9234.5</v>
      </c>
      <c r="M64" s="60">
        <f t="shared" si="0"/>
        <v>9518</v>
      </c>
      <c r="N64" s="60">
        <f t="shared" si="0"/>
        <v>36117</v>
      </c>
      <c r="O64" s="60">
        <f t="shared" si="0"/>
        <v>0</v>
      </c>
      <c r="P64" s="60">
        <f t="shared" si="0"/>
        <v>9670</v>
      </c>
      <c r="Q64" s="60">
        <f t="shared" si="0"/>
        <v>10027</v>
      </c>
      <c r="R64" s="60">
        <f t="shared" si="0"/>
        <v>9878.5</v>
      </c>
      <c r="S64" s="60">
        <f t="shared" si="0"/>
        <v>10545</v>
      </c>
      <c r="T64" s="60">
        <f t="shared" si="0"/>
        <v>40120.5</v>
      </c>
      <c r="U64" s="60">
        <f t="shared" si="0"/>
        <v>0</v>
      </c>
      <c r="V64" s="60">
        <f t="shared" si="0"/>
        <v>11024</v>
      </c>
      <c r="W64" s="60">
        <f t="shared" si="0"/>
        <v>11885</v>
      </c>
      <c r="X64" s="60">
        <f t="shared" si="0"/>
        <v>0</v>
      </c>
      <c r="Y64" s="60">
        <f t="shared" si="0"/>
        <v>0</v>
      </c>
      <c r="Z64" s="60">
        <f t="shared" si="0"/>
        <v>22909</v>
      </c>
      <c r="AA64" s="60">
        <f t="shared" si="0"/>
        <v>0</v>
      </c>
      <c r="AB64" s="60">
        <f t="shared" si="0"/>
        <v>0</v>
      </c>
      <c r="AC64" s="60">
        <f t="shared" si="0"/>
        <v>0</v>
      </c>
      <c r="AD64" s="60">
        <f t="shared" si="0"/>
        <v>0</v>
      </c>
      <c r="AE64" s="60">
        <f t="shared" si="0"/>
        <v>0</v>
      </c>
      <c r="AF64" s="60">
        <f t="shared" si="0"/>
        <v>0</v>
      </c>
      <c r="AG64" s="60">
        <f t="shared" si="0"/>
        <v>0</v>
      </c>
      <c r="AH64" s="60">
        <f t="shared" si="0"/>
        <v>0</v>
      </c>
      <c r="AI64" s="60">
        <f t="shared" si="0"/>
        <v>0</v>
      </c>
      <c r="AJ64" s="46"/>
      <c r="AK64" s="46"/>
      <c r="AL64" s="66"/>
      <c r="AM64" s="20"/>
      <c r="AN64" s="46"/>
      <c r="AO64" s="46"/>
      <c r="AP64" s="46"/>
      <c r="AQ64" s="46"/>
    </row>
    <row r="65" spans="2:35" ht="14.25" customHeight="1">
      <c r="B65" s="114" t="s">
        <v>582</v>
      </c>
      <c r="D65" s="97">
        <f>D28*0.5</f>
        <v>8694.5</v>
      </c>
      <c r="E65" s="97">
        <f t="shared" ref="E65:AI65" si="1">E28*0.5</f>
        <v>8290</v>
      </c>
      <c r="F65" s="97">
        <f t="shared" si="1"/>
        <v>8513.5</v>
      </c>
      <c r="G65" s="97">
        <f t="shared" si="1"/>
        <v>8699.5</v>
      </c>
      <c r="H65" s="97">
        <f t="shared" si="1"/>
        <v>34197.5</v>
      </c>
      <c r="I65" s="97">
        <f t="shared" si="1"/>
        <v>0</v>
      </c>
      <c r="J65" s="97">
        <f t="shared" si="1"/>
        <v>8656</v>
      </c>
      <c r="K65" s="97">
        <f t="shared" si="1"/>
        <v>8708.5</v>
      </c>
      <c r="L65" s="97">
        <f t="shared" si="1"/>
        <v>9234.5</v>
      </c>
      <c r="M65" s="97">
        <f t="shared" si="1"/>
        <v>9518</v>
      </c>
      <c r="N65" s="97">
        <f t="shared" si="1"/>
        <v>36117</v>
      </c>
      <c r="O65" s="97">
        <f t="shared" si="1"/>
        <v>0</v>
      </c>
      <c r="P65" s="97">
        <f t="shared" si="1"/>
        <v>9670</v>
      </c>
      <c r="Q65" s="97">
        <f t="shared" si="1"/>
        <v>10027</v>
      </c>
      <c r="R65" s="97">
        <f t="shared" si="1"/>
        <v>9878.5</v>
      </c>
      <c r="S65" s="97">
        <f t="shared" si="1"/>
        <v>10545</v>
      </c>
      <c r="T65" s="97">
        <f t="shared" si="1"/>
        <v>40120.5</v>
      </c>
      <c r="U65" s="97">
        <f t="shared" si="1"/>
        <v>0</v>
      </c>
      <c r="V65" s="97">
        <f t="shared" si="1"/>
        <v>11024</v>
      </c>
      <c r="W65" s="97">
        <f t="shared" si="1"/>
        <v>11885</v>
      </c>
      <c r="X65" s="97">
        <f t="shared" si="1"/>
        <v>0</v>
      </c>
      <c r="Y65" s="97">
        <f t="shared" si="1"/>
        <v>0</v>
      </c>
      <c r="Z65" s="97">
        <f t="shared" si="1"/>
        <v>22909</v>
      </c>
      <c r="AA65" s="97">
        <f t="shared" si="1"/>
        <v>0</v>
      </c>
      <c r="AB65" s="97">
        <f t="shared" si="1"/>
        <v>0</v>
      </c>
      <c r="AC65" s="97">
        <f t="shared" si="1"/>
        <v>0</v>
      </c>
      <c r="AD65" s="97">
        <f t="shared" si="1"/>
        <v>0</v>
      </c>
      <c r="AE65" s="97">
        <f t="shared" si="1"/>
        <v>0</v>
      </c>
      <c r="AF65" s="97">
        <f t="shared" si="1"/>
        <v>0</v>
      </c>
      <c r="AG65" s="97">
        <f t="shared" si="1"/>
        <v>0</v>
      </c>
      <c r="AH65" s="97">
        <f t="shared" si="1"/>
        <v>0</v>
      </c>
      <c r="AI65" s="97">
        <f t="shared" si="1"/>
        <v>0</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58"/>
  <sheetViews>
    <sheetView showGridLines="0" topLeftCell="B54" zoomScaleNormal="100" workbookViewId="0">
      <selection activeCell="E15" sqref="E15"/>
    </sheetView>
  </sheetViews>
  <sheetFormatPr defaultColWidth="9" defaultRowHeight="15" customHeight="1" outlineLevelCol="1"/>
  <cols>
    <col min="1" max="1" width="2.125" style="41" customWidth="1"/>
    <col min="2" max="2" width="50.625" style="41" customWidth="1"/>
    <col min="3" max="3" width="3.37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9" width="9.625" style="41" customWidth="1" outlineLevel="1"/>
    <col min="20" max="20" width="11.625" style="41" customWidth="1"/>
    <col min="21" max="21" width="1.625" style="17" customWidth="1"/>
    <col min="22" max="25" width="9.625" style="41" customWidth="1" outlineLevel="1"/>
    <col min="26" max="26" width="11.625" style="41" customWidth="1"/>
    <col min="27" max="27" width="1.625" style="17" customWidth="1"/>
    <col min="28" max="31" width="9.625" style="41" customWidth="1" outlineLevel="1"/>
    <col min="32" max="32" width="11.625" style="41" customWidth="1"/>
    <col min="33" max="33" width="1.625" style="17" customWidth="1"/>
    <col min="34"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16384" width="9" style="41"/>
  </cols>
  <sheetData>
    <row r="1" spans="1:50" s="582" customFormat="1" ht="15" customHeight="1">
      <c r="AH1" s="582">
        <v>0</v>
      </c>
    </row>
    <row r="2" spans="1:50" s="582" customFormat="1" ht="15" customHeight="1"/>
    <row r="3" spans="1:50" s="582" customFormat="1" ht="15" customHeight="1"/>
    <row r="4" spans="1:50" s="582" customFormat="1" ht="15" customHeight="1"/>
    <row r="5" spans="1:50" s="578" customFormat="1" ht="3.95" customHeight="1">
      <c r="C5" s="579"/>
      <c r="I5" s="579"/>
      <c r="O5" s="579"/>
      <c r="U5" s="579"/>
      <c r="AA5" s="579"/>
      <c r="AG5" s="579"/>
      <c r="AM5" s="579"/>
      <c r="AS5" s="579"/>
      <c r="AU5" s="579"/>
      <c r="AV5" s="580"/>
    </row>
    <row r="7" spans="1:50" ht="15" customHeight="1">
      <c r="B7" s="161" t="s">
        <v>377</v>
      </c>
      <c r="C7" s="18"/>
      <c r="D7" s="202">
        <v>2020</v>
      </c>
      <c r="E7" s="202">
        <v>2020</v>
      </c>
      <c r="F7" s="168">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743">
        <v>2020</v>
      </c>
      <c r="E8" s="743"/>
      <c r="F8" s="743"/>
      <c r="G8" s="743"/>
      <c r="H8" s="743"/>
      <c r="I8" s="169"/>
      <c r="J8" s="743">
        <v>2021</v>
      </c>
      <c r="K8" s="743"/>
      <c r="L8" s="743"/>
      <c r="M8" s="743"/>
      <c r="N8" s="743"/>
      <c r="O8" s="169"/>
      <c r="P8" s="743">
        <v>2022</v>
      </c>
      <c r="Q8" s="743"/>
      <c r="R8" s="743"/>
      <c r="S8" s="743"/>
      <c r="T8" s="743"/>
      <c r="U8" s="169"/>
      <c r="V8" s="743">
        <v>2023</v>
      </c>
      <c r="W8" s="743"/>
      <c r="X8" s="743"/>
      <c r="Y8" s="743"/>
      <c r="Z8" s="743"/>
      <c r="AA8" s="169"/>
      <c r="AB8" s="743">
        <v>2024</v>
      </c>
      <c r="AC8" s="743"/>
      <c r="AD8" s="743"/>
      <c r="AE8" s="743"/>
      <c r="AF8" s="743"/>
      <c r="AG8" s="169"/>
      <c r="AH8" s="742">
        <v>2025</v>
      </c>
      <c r="AI8" s="742"/>
      <c r="AJ8" s="742"/>
      <c r="AK8" s="742"/>
      <c r="AL8" s="742"/>
      <c r="AM8" s="169"/>
      <c r="AN8" s="742">
        <v>2026</v>
      </c>
      <c r="AO8" s="742"/>
      <c r="AP8" s="742"/>
      <c r="AQ8" s="742"/>
      <c r="AR8" s="742"/>
      <c r="AS8" s="171"/>
      <c r="AT8" s="166">
        <v>2027</v>
      </c>
      <c r="AU8" s="167"/>
      <c r="AV8" s="166">
        <v>2028</v>
      </c>
      <c r="AW8" s="167"/>
      <c r="AX8" s="166">
        <v>2029</v>
      </c>
    </row>
    <row r="9" spans="1:50" ht="15" customHeight="1">
      <c r="B9" s="164"/>
      <c r="C9" s="18"/>
      <c r="D9" s="168" t="s">
        <v>202</v>
      </c>
      <c r="E9" s="168" t="s">
        <v>203</v>
      </c>
      <c r="F9" s="168" t="s">
        <v>204</v>
      </c>
      <c r="G9" s="168" t="s">
        <v>205</v>
      </c>
      <c r="H9" s="168" t="s">
        <v>206</v>
      </c>
      <c r="I9" s="18"/>
      <c r="J9" s="168" t="s">
        <v>202</v>
      </c>
      <c r="K9" s="168" t="s">
        <v>203</v>
      </c>
      <c r="L9" s="168" t="s">
        <v>204</v>
      </c>
      <c r="M9" s="168" t="s">
        <v>205</v>
      </c>
      <c r="N9" s="168" t="s">
        <v>206</v>
      </c>
      <c r="O9" s="165"/>
      <c r="P9" s="168" t="s">
        <v>202</v>
      </c>
      <c r="Q9" s="168" t="s">
        <v>203</v>
      </c>
      <c r="R9" s="168" t="s">
        <v>204</v>
      </c>
      <c r="S9" s="168" t="s">
        <v>205</v>
      </c>
      <c r="T9" s="168" t="s">
        <v>206</v>
      </c>
      <c r="U9" s="165"/>
      <c r="V9" s="168" t="s">
        <v>202</v>
      </c>
      <c r="W9" s="168" t="s">
        <v>203</v>
      </c>
      <c r="X9" s="168" t="s">
        <v>204</v>
      </c>
      <c r="Y9" s="168" t="s">
        <v>205</v>
      </c>
      <c r="Z9" s="168" t="s">
        <v>206</v>
      </c>
      <c r="AA9" s="165"/>
      <c r="AB9" s="168" t="s">
        <v>202</v>
      </c>
      <c r="AC9" s="168" t="s">
        <v>203</v>
      </c>
      <c r="AD9" s="168" t="s">
        <v>204</v>
      </c>
      <c r="AE9" s="168" t="s">
        <v>205</v>
      </c>
      <c r="AF9" s="168" t="s">
        <v>206</v>
      </c>
      <c r="AG9" s="165"/>
      <c r="AH9" s="168" t="s">
        <v>202</v>
      </c>
      <c r="AI9" s="168" t="s">
        <v>203</v>
      </c>
      <c r="AJ9" s="168" t="s">
        <v>204</v>
      </c>
      <c r="AK9" s="168" t="s">
        <v>205</v>
      </c>
      <c r="AL9" s="168" t="s">
        <v>206</v>
      </c>
      <c r="AM9" s="165"/>
      <c r="AN9" s="168" t="s">
        <v>202</v>
      </c>
      <c r="AO9" s="168" t="s">
        <v>203</v>
      </c>
      <c r="AP9" s="168" t="s">
        <v>204</v>
      </c>
      <c r="AQ9" s="168" t="s">
        <v>205</v>
      </c>
      <c r="AR9" s="168" t="s">
        <v>206</v>
      </c>
      <c r="AS9" s="165"/>
      <c r="AT9" s="168" t="s">
        <v>206</v>
      </c>
      <c r="AU9" s="165"/>
      <c r="AV9" s="168" t="s">
        <v>206</v>
      </c>
      <c r="AW9" s="165"/>
      <c r="AX9" s="168" t="s">
        <v>206</v>
      </c>
    </row>
    <row r="10" spans="1:50"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5" customHeight="1">
      <c r="A12" s="44"/>
      <c r="B12" s="106" t="s">
        <v>583</v>
      </c>
      <c r="D12" s="46"/>
      <c r="E12" s="46"/>
      <c r="F12" s="46"/>
      <c r="G12" s="46"/>
      <c r="H12" s="57"/>
      <c r="I12" s="20"/>
      <c r="J12" s="107"/>
      <c r="K12" s="107"/>
      <c r="L12" s="107"/>
      <c r="M12" s="107"/>
      <c r="N12" s="108"/>
      <c r="O12" s="108"/>
      <c r="P12" s="107"/>
      <c r="Q12" s="107"/>
      <c r="R12" s="107"/>
      <c r="S12" s="107"/>
      <c r="T12" s="108"/>
      <c r="U12" s="108"/>
      <c r="V12" s="107"/>
      <c r="W12" s="107"/>
      <c r="X12" s="107"/>
      <c r="Y12" s="107"/>
      <c r="Z12" s="108"/>
      <c r="AA12" s="108"/>
      <c r="AB12" s="109"/>
      <c r="AC12" s="109"/>
      <c r="AD12" s="109"/>
      <c r="AE12" s="109"/>
      <c r="AF12" s="108"/>
      <c r="AG12" s="110"/>
      <c r="AH12" s="111"/>
      <c r="AI12" s="111"/>
      <c r="AJ12" s="111"/>
      <c r="AK12" s="111"/>
      <c r="AL12" s="108"/>
      <c r="AM12" s="112"/>
      <c r="AN12" s="111"/>
      <c r="AO12" s="111"/>
      <c r="AP12" s="111"/>
      <c r="AQ12" s="111"/>
      <c r="AR12" s="108"/>
      <c r="AS12" s="112"/>
      <c r="AT12" s="108"/>
      <c r="AU12" s="112"/>
      <c r="AV12" s="108"/>
    </row>
    <row r="13" spans="1:50" s="113" customFormat="1" ht="15" customHeight="1">
      <c r="B13" s="114"/>
      <c r="C13" s="115"/>
      <c r="D13" s="46"/>
      <c r="E13" s="46"/>
      <c r="F13" s="46"/>
      <c r="G13" s="46"/>
      <c r="H13" s="57"/>
      <c r="I13" s="116"/>
      <c r="J13" s="107"/>
      <c r="K13" s="107"/>
      <c r="L13" s="107"/>
      <c r="M13" s="107"/>
      <c r="N13" s="108"/>
      <c r="O13" s="116"/>
      <c r="P13" s="107"/>
      <c r="Q13" s="107"/>
      <c r="R13" s="107"/>
      <c r="S13" s="107"/>
      <c r="T13" s="108"/>
      <c r="U13" s="116"/>
      <c r="V13" s="107"/>
      <c r="W13" s="107"/>
      <c r="X13" s="107"/>
      <c r="Y13" s="107"/>
      <c r="Z13" s="108"/>
      <c r="AA13" s="117"/>
      <c r="AB13" s="109"/>
      <c r="AC13" s="109"/>
      <c r="AD13" s="109"/>
      <c r="AE13" s="109"/>
      <c r="AF13" s="108"/>
      <c r="AG13" s="118"/>
      <c r="AH13" s="119"/>
      <c r="AI13" s="119"/>
      <c r="AJ13" s="119"/>
      <c r="AK13" s="119"/>
      <c r="AL13" s="108"/>
      <c r="AM13" s="120"/>
      <c r="AN13" s="119"/>
      <c r="AO13" s="119"/>
      <c r="AP13" s="119"/>
      <c r="AQ13" s="119"/>
      <c r="AR13" s="108"/>
      <c r="AS13" s="120"/>
      <c r="AT13" s="108"/>
      <c r="AU13" s="120"/>
      <c r="AV13" s="108"/>
    </row>
    <row r="14" spans="1:50" ht="15" customHeight="1">
      <c r="A14" s="44" t="s">
        <v>33</v>
      </c>
      <c r="B14" s="114" t="s">
        <v>584</v>
      </c>
      <c r="D14" s="46"/>
      <c r="E14" s="46"/>
      <c r="F14" s="46"/>
      <c r="G14" s="46"/>
      <c r="H14" s="66"/>
      <c r="I14" s="20"/>
      <c r="J14" s="121"/>
      <c r="K14" s="121"/>
      <c r="L14" s="121"/>
      <c r="M14" s="121"/>
      <c r="N14" s="108"/>
      <c r="O14" s="20"/>
      <c r="P14" s="121"/>
      <c r="Q14" s="121"/>
      <c r="R14" s="121"/>
      <c r="S14" s="121"/>
      <c r="T14" s="108"/>
      <c r="U14" s="20"/>
      <c r="V14" s="121"/>
      <c r="W14" s="121"/>
      <c r="X14" s="121"/>
      <c r="Y14" s="121"/>
      <c r="Z14" s="108"/>
      <c r="AA14" s="122"/>
      <c r="AB14" s="123"/>
      <c r="AC14" s="123"/>
      <c r="AD14" s="123"/>
      <c r="AE14" s="123"/>
      <c r="AF14" s="108"/>
      <c r="AG14" s="124"/>
      <c r="AH14" s="125"/>
      <c r="AI14" s="125"/>
      <c r="AJ14" s="125"/>
      <c r="AK14" s="125"/>
      <c r="AL14" s="108"/>
      <c r="AM14" s="126"/>
      <c r="AN14" s="125"/>
      <c r="AO14" s="125"/>
      <c r="AP14" s="125"/>
      <c r="AQ14" s="125"/>
      <c r="AR14" s="108"/>
      <c r="AS14" s="126"/>
      <c r="AT14" s="108"/>
      <c r="AU14" s="126"/>
      <c r="AV14" s="108"/>
    </row>
    <row r="15" spans="1:50" ht="15" customHeight="1">
      <c r="A15" s="44"/>
      <c r="B15" s="127" t="s">
        <v>585</v>
      </c>
      <c r="D15" s="60">
        <v>236086</v>
      </c>
      <c r="E15" s="60">
        <v>134523</v>
      </c>
      <c r="F15" s="60">
        <v>148616</v>
      </c>
      <c r="G15" s="60">
        <v>232293</v>
      </c>
      <c r="H15" s="57">
        <v>232293</v>
      </c>
      <c r="I15" s="116"/>
      <c r="J15" s="60">
        <v>193333</v>
      </c>
      <c r="K15" s="60">
        <v>171929</v>
      </c>
      <c r="L15" s="60">
        <v>180688</v>
      </c>
      <c r="M15" s="60">
        <v>169510</v>
      </c>
      <c r="N15" s="57">
        <v>169510</v>
      </c>
      <c r="O15" s="116"/>
      <c r="P15" s="60">
        <v>90350</v>
      </c>
      <c r="Q15" s="60">
        <v>85156</v>
      </c>
      <c r="R15" s="60">
        <v>96714</v>
      </c>
      <c r="S15" s="60">
        <v>174513</v>
      </c>
      <c r="T15" s="57">
        <v>174513</v>
      </c>
      <c r="U15" s="116"/>
      <c r="V15" s="60">
        <v>281805</v>
      </c>
      <c r="W15" s="60">
        <v>379349</v>
      </c>
      <c r="X15" s="60">
        <v>645032</v>
      </c>
      <c r="Y15" s="60">
        <v>647914</v>
      </c>
      <c r="Z15" s="57">
        <v>647914</v>
      </c>
      <c r="AA15" s="117"/>
      <c r="AB15" s="60">
        <v>609962</v>
      </c>
      <c r="AC15" s="60">
        <v>567828</v>
      </c>
      <c r="AD15" s="60">
        <v>694843</v>
      </c>
      <c r="AE15" s="60">
        <v>812377</v>
      </c>
      <c r="AF15" s="57">
        <v>812377</v>
      </c>
      <c r="AG15" s="118"/>
      <c r="AH15" s="60">
        <v>753590</v>
      </c>
      <c r="AI15" s="60">
        <v>797183</v>
      </c>
      <c r="AJ15" s="125"/>
      <c r="AK15" s="125"/>
      <c r="AL15" s="108"/>
      <c r="AM15" s="126"/>
      <c r="AN15" s="125"/>
      <c r="AO15" s="125"/>
      <c r="AP15" s="125"/>
      <c r="AQ15" s="125"/>
      <c r="AR15" s="108"/>
      <c r="AS15" s="126"/>
      <c r="AT15" s="108"/>
      <c r="AU15" s="126"/>
      <c r="AV15" s="108"/>
    </row>
    <row r="16" spans="1:50" ht="15" customHeight="1">
      <c r="A16" s="44"/>
      <c r="B16" s="138" t="s">
        <v>586</v>
      </c>
      <c r="D16" s="60">
        <v>189700</v>
      </c>
      <c r="E16" s="60">
        <v>123275</v>
      </c>
      <c r="F16" s="60">
        <v>80863</v>
      </c>
      <c r="G16" s="60">
        <v>154163</v>
      </c>
      <c r="H16" s="57">
        <v>154163</v>
      </c>
      <c r="I16" s="20"/>
      <c r="J16" s="60">
        <v>150524</v>
      </c>
      <c r="K16" s="60">
        <v>124621</v>
      </c>
      <c r="L16" s="60">
        <v>127771</v>
      </c>
      <c r="M16" s="60">
        <v>112158</v>
      </c>
      <c r="N16" s="57">
        <v>112158</v>
      </c>
      <c r="O16" s="20"/>
      <c r="P16" s="60">
        <v>73666</v>
      </c>
      <c r="Q16" s="60">
        <v>69672</v>
      </c>
      <c r="R16" s="60">
        <v>81125</v>
      </c>
      <c r="S16" s="60">
        <v>115429</v>
      </c>
      <c r="T16" s="57">
        <v>115429</v>
      </c>
      <c r="U16" s="20"/>
      <c r="V16" s="60">
        <v>145784</v>
      </c>
      <c r="W16" s="60">
        <v>200714</v>
      </c>
      <c r="X16" s="60">
        <v>423418</v>
      </c>
      <c r="Y16" s="60">
        <v>355090</v>
      </c>
      <c r="Z16" s="57">
        <v>355090</v>
      </c>
      <c r="AA16" s="122"/>
      <c r="AB16" s="60">
        <v>249619</v>
      </c>
      <c r="AC16" s="60">
        <v>206045</v>
      </c>
      <c r="AD16" s="60">
        <v>327720</v>
      </c>
      <c r="AE16" s="60">
        <v>574499</v>
      </c>
      <c r="AF16" s="57">
        <v>574499</v>
      </c>
      <c r="AG16" s="124"/>
      <c r="AH16" s="60">
        <v>571923</v>
      </c>
      <c r="AI16" s="60">
        <v>656887</v>
      </c>
      <c r="AJ16" s="125"/>
      <c r="AK16" s="125"/>
      <c r="AL16" s="108"/>
      <c r="AM16" s="126"/>
      <c r="AN16" s="125"/>
      <c r="AO16" s="125"/>
      <c r="AP16" s="125"/>
      <c r="AQ16" s="125"/>
      <c r="AR16" s="108"/>
      <c r="AS16" s="126"/>
      <c r="AT16" s="108"/>
      <c r="AU16" s="126"/>
      <c r="AV16" s="108"/>
    </row>
    <row r="17" spans="1:48" s="113" customFormat="1" ht="15" customHeight="1">
      <c r="B17" s="138" t="s">
        <v>587</v>
      </c>
      <c r="C17" s="115"/>
      <c r="D17" s="60">
        <v>46386</v>
      </c>
      <c r="E17" s="60">
        <v>11248</v>
      </c>
      <c r="F17" s="60">
        <v>67753</v>
      </c>
      <c r="G17" s="60">
        <v>78130</v>
      </c>
      <c r="H17" s="57">
        <v>78130</v>
      </c>
      <c r="I17" s="20"/>
      <c r="J17" s="60">
        <v>42809</v>
      </c>
      <c r="K17" s="60">
        <v>47308</v>
      </c>
      <c r="L17" s="60">
        <v>52917</v>
      </c>
      <c r="M17" s="60">
        <v>57352</v>
      </c>
      <c r="N17" s="57">
        <v>57352</v>
      </c>
      <c r="O17" s="20"/>
      <c r="P17" s="60">
        <v>16684</v>
      </c>
      <c r="Q17" s="60">
        <v>15484</v>
      </c>
      <c r="R17" s="60">
        <v>15589</v>
      </c>
      <c r="S17" s="60">
        <v>59084</v>
      </c>
      <c r="T17" s="57">
        <v>59084</v>
      </c>
      <c r="U17" s="20"/>
      <c r="V17" s="60">
        <v>136021</v>
      </c>
      <c r="W17" s="60">
        <v>178635</v>
      </c>
      <c r="X17" s="60">
        <v>221614</v>
      </c>
      <c r="Y17" s="60">
        <v>292824</v>
      </c>
      <c r="Z17" s="57">
        <v>292824</v>
      </c>
      <c r="AA17" s="122"/>
      <c r="AB17" s="60">
        <v>360343</v>
      </c>
      <c r="AC17" s="60">
        <v>361783</v>
      </c>
      <c r="AD17" s="60">
        <v>367123</v>
      </c>
      <c r="AE17" s="60">
        <v>237878</v>
      </c>
      <c r="AF17" s="57">
        <v>237878</v>
      </c>
      <c r="AG17" s="124"/>
      <c r="AH17" s="60">
        <v>181667</v>
      </c>
      <c r="AI17" s="60">
        <v>140296</v>
      </c>
      <c r="AJ17" s="125"/>
      <c r="AK17" s="125"/>
      <c r="AL17" s="57"/>
      <c r="AM17" s="128"/>
      <c r="AN17" s="46"/>
      <c r="AO17" s="46"/>
      <c r="AP17" s="46"/>
      <c r="AQ17" s="46"/>
      <c r="AR17" s="57"/>
      <c r="AS17" s="128"/>
      <c r="AT17" s="57"/>
      <c r="AU17" s="128"/>
      <c r="AV17" s="57"/>
    </row>
    <row r="18" spans="1:48" s="113" customFormat="1" ht="15" customHeight="1">
      <c r="B18" s="127" t="s">
        <v>588</v>
      </c>
      <c r="C18" s="115"/>
      <c r="D18" s="60">
        <v>78359</v>
      </c>
      <c r="E18" s="60">
        <v>118046</v>
      </c>
      <c r="F18" s="60">
        <v>100962</v>
      </c>
      <c r="G18" s="60">
        <v>84976</v>
      </c>
      <c r="H18" s="57">
        <v>84976</v>
      </c>
      <c r="I18" s="116"/>
      <c r="J18" s="60">
        <v>83816</v>
      </c>
      <c r="K18" s="60">
        <v>117278</v>
      </c>
      <c r="L18" s="60">
        <v>130314</v>
      </c>
      <c r="M18" s="60">
        <v>79066</v>
      </c>
      <c r="N18" s="57">
        <v>79066</v>
      </c>
      <c r="O18" s="116"/>
      <c r="P18" s="60">
        <v>134400</v>
      </c>
      <c r="Q18" s="60">
        <v>152958</v>
      </c>
      <c r="R18" s="60">
        <v>138654</v>
      </c>
      <c r="S18" s="60">
        <v>169109</v>
      </c>
      <c r="T18" s="57">
        <v>169109</v>
      </c>
      <c r="U18" s="116"/>
      <c r="V18" s="60">
        <v>178217</v>
      </c>
      <c r="W18" s="60">
        <v>262964</v>
      </c>
      <c r="X18" s="60">
        <v>206920</v>
      </c>
      <c r="Y18" s="60">
        <v>110980</v>
      </c>
      <c r="Z18" s="57">
        <v>110980</v>
      </c>
      <c r="AA18" s="117"/>
      <c r="AB18" s="60">
        <v>125363</v>
      </c>
      <c r="AC18" s="60">
        <v>165391</v>
      </c>
      <c r="AD18" s="60">
        <v>212851</v>
      </c>
      <c r="AE18" s="60">
        <v>138550</v>
      </c>
      <c r="AF18" s="57">
        <v>138550</v>
      </c>
      <c r="AG18" s="118"/>
      <c r="AH18" s="60">
        <v>272092</v>
      </c>
      <c r="AI18" s="60">
        <v>307292</v>
      </c>
      <c r="AJ18" s="50">
        <v>0</v>
      </c>
      <c r="AK18" s="50">
        <v>0</v>
      </c>
      <c r="AL18" s="58">
        <v>0</v>
      </c>
      <c r="AM18" s="128"/>
      <c r="AN18" s="50">
        <v>0</v>
      </c>
      <c r="AO18" s="50">
        <v>0</v>
      </c>
      <c r="AP18" s="50">
        <v>0</v>
      </c>
      <c r="AQ18" s="50">
        <v>0</v>
      </c>
      <c r="AR18" s="58">
        <v>0</v>
      </c>
      <c r="AS18" s="128"/>
      <c r="AT18" s="58">
        <v>0</v>
      </c>
      <c r="AU18" s="128"/>
      <c r="AV18" s="58">
        <v>0</v>
      </c>
    </row>
    <row r="19" spans="1:48" ht="15" customHeight="1">
      <c r="A19" s="43"/>
      <c r="B19" s="127" t="s">
        <v>408</v>
      </c>
      <c r="D19" s="60">
        <v>182396</v>
      </c>
      <c r="E19" s="60">
        <v>190968</v>
      </c>
      <c r="F19" s="60">
        <v>191421</v>
      </c>
      <c r="G19" s="60">
        <v>187216</v>
      </c>
      <c r="H19" s="57">
        <v>187216</v>
      </c>
      <c r="I19" s="20"/>
      <c r="J19" s="60">
        <v>189222</v>
      </c>
      <c r="K19" s="60">
        <v>199262</v>
      </c>
      <c r="L19" s="60">
        <v>207739</v>
      </c>
      <c r="M19" s="60">
        <v>218375</v>
      </c>
      <c r="N19" s="57">
        <v>218375</v>
      </c>
      <c r="O19" s="20"/>
      <c r="P19" s="60">
        <v>226470</v>
      </c>
      <c r="Q19" s="60">
        <v>236201</v>
      </c>
      <c r="R19" s="60">
        <v>240087</v>
      </c>
      <c r="S19" s="60">
        <v>263316</v>
      </c>
      <c r="T19" s="57">
        <v>263316</v>
      </c>
      <c r="U19" s="20"/>
      <c r="V19" s="60">
        <v>265754</v>
      </c>
      <c r="W19" s="60">
        <v>280582</v>
      </c>
      <c r="X19" s="60">
        <v>290869</v>
      </c>
      <c r="Y19" s="60">
        <v>284418</v>
      </c>
      <c r="Z19" s="57">
        <v>284418</v>
      </c>
      <c r="AA19" s="122"/>
      <c r="AB19" s="60">
        <v>280801</v>
      </c>
      <c r="AC19" s="60">
        <v>287270</v>
      </c>
      <c r="AD19" s="60">
        <v>269244</v>
      </c>
      <c r="AE19" s="60">
        <v>261782</v>
      </c>
      <c r="AF19" s="57">
        <v>261782</v>
      </c>
      <c r="AG19" s="124"/>
      <c r="AH19" s="60">
        <v>293182</v>
      </c>
      <c r="AI19" s="60">
        <v>299365</v>
      </c>
      <c r="AJ19" s="50">
        <v>0</v>
      </c>
      <c r="AK19" s="50">
        <v>0</v>
      </c>
      <c r="AL19" s="58">
        <v>0</v>
      </c>
      <c r="AM19" s="126"/>
      <c r="AN19" s="50">
        <v>0</v>
      </c>
      <c r="AO19" s="50">
        <v>0</v>
      </c>
      <c r="AP19" s="50">
        <v>0</v>
      </c>
      <c r="AQ19" s="50">
        <v>0</v>
      </c>
      <c r="AR19" s="58">
        <v>0</v>
      </c>
      <c r="AS19" s="126"/>
      <c r="AT19" s="58">
        <v>0</v>
      </c>
      <c r="AU19" s="126"/>
      <c r="AV19" s="58">
        <v>0</v>
      </c>
    </row>
    <row r="20" spans="1:48" s="113" customFormat="1" ht="15" customHeight="1">
      <c r="B20" s="127" t="s">
        <v>589</v>
      </c>
      <c r="C20" s="115"/>
      <c r="D20" s="46">
        <v>6099</v>
      </c>
      <c r="E20" s="46">
        <v>5301</v>
      </c>
      <c r="F20" s="46">
        <v>4371</v>
      </c>
      <c r="G20" s="46">
        <v>17766</v>
      </c>
      <c r="H20" s="74">
        <v>17766</v>
      </c>
      <c r="I20" s="116"/>
      <c r="J20" s="46">
        <v>6813</v>
      </c>
      <c r="K20" s="46">
        <v>5311</v>
      </c>
      <c r="L20" s="46">
        <v>4162</v>
      </c>
      <c r="M20" s="46">
        <v>52980</v>
      </c>
      <c r="N20" s="74">
        <v>52980</v>
      </c>
      <c r="O20" s="116"/>
      <c r="P20" s="46">
        <v>9249</v>
      </c>
      <c r="Q20" s="46">
        <v>6814</v>
      </c>
      <c r="R20" s="46">
        <v>47255</v>
      </c>
      <c r="S20" s="46">
        <v>54581</v>
      </c>
      <c r="T20" s="74">
        <v>54581</v>
      </c>
      <c r="U20" s="116"/>
      <c r="V20" s="46">
        <v>53112</v>
      </c>
      <c r="W20" s="46">
        <v>51115</v>
      </c>
      <c r="X20" s="46">
        <v>50546</v>
      </c>
      <c r="Y20" s="46">
        <v>81613</v>
      </c>
      <c r="Z20" s="74">
        <v>81613</v>
      </c>
      <c r="AA20" s="129"/>
      <c r="AB20" s="46">
        <v>47932</v>
      </c>
      <c r="AC20" s="46">
        <v>43444</v>
      </c>
      <c r="AD20" s="46">
        <v>40654</v>
      </c>
      <c r="AE20" s="46">
        <v>29130</v>
      </c>
      <c r="AF20" s="74">
        <v>29130</v>
      </c>
      <c r="AG20" s="130"/>
      <c r="AH20" s="46">
        <v>24615</v>
      </c>
      <c r="AI20" s="46">
        <v>20755</v>
      </c>
      <c r="AJ20" s="50">
        <v>0</v>
      </c>
      <c r="AK20" s="50">
        <v>0</v>
      </c>
      <c r="AL20" s="75">
        <v>0</v>
      </c>
      <c r="AM20" s="129"/>
      <c r="AN20" s="50">
        <v>0</v>
      </c>
      <c r="AO20" s="50">
        <v>0</v>
      </c>
      <c r="AP20" s="50">
        <v>0</v>
      </c>
      <c r="AQ20" s="50">
        <v>0</v>
      </c>
      <c r="AR20" s="75">
        <v>0</v>
      </c>
      <c r="AS20" s="129"/>
      <c r="AT20" s="75">
        <v>0</v>
      </c>
      <c r="AU20" s="129"/>
      <c r="AV20" s="75">
        <v>0</v>
      </c>
    </row>
    <row r="21" spans="1:48" s="135" customFormat="1" ht="15" customHeight="1">
      <c r="A21" s="84"/>
      <c r="B21" s="59" t="s">
        <v>590</v>
      </c>
      <c r="C21" s="26"/>
      <c r="D21" s="60">
        <v>502940</v>
      </c>
      <c r="E21" s="60">
        <v>448838</v>
      </c>
      <c r="F21" s="60">
        <v>445370</v>
      </c>
      <c r="G21" s="60">
        <v>522251</v>
      </c>
      <c r="H21" s="77">
        <v>522251</v>
      </c>
      <c r="I21" s="131"/>
      <c r="J21" s="60">
        <v>473184</v>
      </c>
      <c r="K21" s="60">
        <v>493780</v>
      </c>
      <c r="L21" s="60">
        <v>522903</v>
      </c>
      <c r="M21" s="60">
        <v>519931</v>
      </c>
      <c r="N21" s="77">
        <v>519931</v>
      </c>
      <c r="O21" s="131"/>
      <c r="P21" s="60">
        <v>460469</v>
      </c>
      <c r="Q21" s="60">
        <v>481129</v>
      </c>
      <c r="R21" s="60">
        <v>522710</v>
      </c>
      <c r="S21" s="60">
        <v>661519</v>
      </c>
      <c r="T21" s="77">
        <v>661519</v>
      </c>
      <c r="U21" s="131"/>
      <c r="V21" s="60">
        <v>778888</v>
      </c>
      <c r="W21" s="60">
        <v>974010</v>
      </c>
      <c r="X21" s="60">
        <v>1193367</v>
      </c>
      <c r="Y21" s="60">
        <v>1124925</v>
      </c>
      <c r="Z21" s="77">
        <v>1124925</v>
      </c>
      <c r="AA21" s="132"/>
      <c r="AB21" s="60">
        <v>1064058</v>
      </c>
      <c r="AC21" s="60">
        <v>1063933</v>
      </c>
      <c r="AD21" s="60">
        <v>1217592</v>
      </c>
      <c r="AE21" s="60">
        <v>1241839</v>
      </c>
      <c r="AF21" s="77">
        <v>1241839</v>
      </c>
      <c r="AG21" s="133"/>
      <c r="AH21" s="60">
        <v>1343479</v>
      </c>
      <c r="AI21" s="60">
        <v>1424595</v>
      </c>
      <c r="AJ21" s="50"/>
      <c r="AK21" s="50"/>
      <c r="AL21" s="78"/>
      <c r="AM21" s="134"/>
      <c r="AN21" s="50"/>
      <c r="AO21" s="50"/>
      <c r="AP21" s="50"/>
      <c r="AQ21" s="50"/>
      <c r="AR21" s="78"/>
      <c r="AS21" s="134"/>
      <c r="AT21" s="78"/>
      <c r="AU21" s="134"/>
      <c r="AV21" s="78"/>
    </row>
    <row r="22" spans="1:48" ht="15" customHeight="1">
      <c r="A22" s="43"/>
      <c r="B22" s="136"/>
      <c r="D22" s="46"/>
      <c r="E22" s="46"/>
      <c r="F22" s="46"/>
      <c r="G22" s="46"/>
      <c r="H22" s="66"/>
      <c r="I22" s="20"/>
      <c r="J22" s="46"/>
      <c r="K22" s="46"/>
      <c r="L22" s="46"/>
      <c r="M22" s="46"/>
      <c r="N22" s="66"/>
      <c r="O22" s="20"/>
      <c r="P22" s="46"/>
      <c r="Q22" s="46"/>
      <c r="R22" s="46"/>
      <c r="S22" s="46"/>
      <c r="T22" s="66"/>
      <c r="U22" s="20"/>
      <c r="V22" s="46"/>
      <c r="W22" s="46"/>
      <c r="X22" s="46"/>
      <c r="Y22" s="46"/>
      <c r="Z22" s="66"/>
      <c r="AA22" s="122"/>
      <c r="AB22" s="46"/>
      <c r="AC22" s="46"/>
      <c r="AD22" s="46"/>
      <c r="AE22" s="46"/>
      <c r="AF22" s="66"/>
      <c r="AG22" s="124"/>
      <c r="AH22" s="46"/>
      <c r="AI22" s="46"/>
      <c r="AJ22" s="50"/>
      <c r="AK22" s="50"/>
      <c r="AL22" s="68"/>
      <c r="AM22" s="126"/>
      <c r="AN22" s="50"/>
      <c r="AO22" s="50"/>
      <c r="AP22" s="50"/>
      <c r="AQ22" s="50"/>
      <c r="AR22" s="68"/>
      <c r="AS22" s="126"/>
      <c r="AT22" s="68"/>
      <c r="AU22" s="126"/>
      <c r="AV22" s="68"/>
    </row>
    <row r="23" spans="1:48" s="113" customFormat="1" ht="15" customHeight="1">
      <c r="A23" s="44" t="s">
        <v>33</v>
      </c>
      <c r="B23" s="45" t="s">
        <v>591</v>
      </c>
      <c r="C23" s="115"/>
      <c r="D23" s="46"/>
      <c r="E23" s="46"/>
      <c r="F23" s="46"/>
      <c r="G23" s="46"/>
      <c r="H23" s="66"/>
      <c r="I23" s="116"/>
      <c r="J23" s="46"/>
      <c r="K23" s="46"/>
      <c r="L23" s="46"/>
      <c r="M23" s="46"/>
      <c r="N23" s="66"/>
      <c r="O23" s="116"/>
      <c r="P23" s="46"/>
      <c r="Q23" s="46"/>
      <c r="R23" s="46"/>
      <c r="S23" s="46"/>
      <c r="T23" s="66"/>
      <c r="U23" s="116"/>
      <c r="V23" s="46"/>
      <c r="W23" s="46"/>
      <c r="X23" s="46"/>
      <c r="Y23" s="46"/>
      <c r="Z23" s="66"/>
      <c r="AA23" s="129"/>
      <c r="AB23" s="46"/>
      <c r="AC23" s="46"/>
      <c r="AD23" s="46"/>
      <c r="AE23" s="46"/>
      <c r="AF23" s="66"/>
      <c r="AG23" s="130"/>
      <c r="AH23" s="46"/>
      <c r="AI23" s="46"/>
      <c r="AJ23" s="50"/>
      <c r="AK23" s="50"/>
      <c r="AL23" s="68"/>
      <c r="AM23" s="129"/>
      <c r="AN23" s="50"/>
      <c r="AO23" s="50"/>
      <c r="AP23" s="50"/>
      <c r="AQ23" s="50"/>
      <c r="AR23" s="68"/>
      <c r="AS23" s="129"/>
      <c r="AT23" s="68"/>
      <c r="AU23" s="129"/>
      <c r="AV23" s="68"/>
    </row>
    <row r="24" spans="1:48" ht="15" customHeight="1">
      <c r="A24" s="43"/>
      <c r="B24" s="127" t="s">
        <v>411</v>
      </c>
      <c r="D24" s="60">
        <v>464988</v>
      </c>
      <c r="E24" s="60">
        <v>534212</v>
      </c>
      <c r="F24" s="60">
        <v>546439</v>
      </c>
      <c r="G24" s="60">
        <v>560584</v>
      </c>
      <c r="H24" s="57">
        <v>560584</v>
      </c>
      <c r="I24" s="20"/>
      <c r="J24" s="60">
        <v>571570</v>
      </c>
      <c r="K24" s="60">
        <v>584469</v>
      </c>
      <c r="L24" s="60">
        <v>587874</v>
      </c>
      <c r="M24" s="60">
        <v>591666</v>
      </c>
      <c r="N24" s="57">
        <v>591666</v>
      </c>
      <c r="O24" s="20"/>
      <c r="P24" s="60">
        <v>669982</v>
      </c>
      <c r="Q24" s="60">
        <v>669045</v>
      </c>
      <c r="R24" s="60">
        <v>672950</v>
      </c>
      <c r="S24" s="60">
        <v>679172</v>
      </c>
      <c r="T24" s="57">
        <v>679172</v>
      </c>
      <c r="U24" s="20"/>
      <c r="V24" s="60">
        <v>688656</v>
      </c>
      <c r="W24" s="60">
        <v>703882</v>
      </c>
      <c r="X24" s="60">
        <v>712512</v>
      </c>
      <c r="Y24" s="60">
        <v>744540</v>
      </c>
      <c r="Z24" s="57">
        <v>744540</v>
      </c>
      <c r="AA24" s="122"/>
      <c r="AB24" s="60">
        <v>752580</v>
      </c>
      <c r="AC24" s="60">
        <v>815468</v>
      </c>
      <c r="AD24" s="60">
        <v>826573</v>
      </c>
      <c r="AE24" s="60">
        <v>857234</v>
      </c>
      <c r="AF24" s="57">
        <v>857234</v>
      </c>
      <c r="AG24" s="124"/>
      <c r="AH24" s="60">
        <v>960070</v>
      </c>
      <c r="AI24" s="60">
        <v>975603</v>
      </c>
      <c r="AJ24" s="50">
        <v>975603</v>
      </c>
      <c r="AK24" s="50">
        <v>975603</v>
      </c>
      <c r="AL24" s="58">
        <v>975603</v>
      </c>
      <c r="AM24" s="126"/>
      <c r="AN24" s="50">
        <v>975603</v>
      </c>
      <c r="AO24" s="50">
        <v>975603</v>
      </c>
      <c r="AP24" s="50">
        <v>975603</v>
      </c>
      <c r="AQ24" s="50">
        <v>975603</v>
      </c>
      <c r="AR24" s="58">
        <v>975603</v>
      </c>
      <c r="AS24" s="126"/>
      <c r="AT24" s="58">
        <v>975603</v>
      </c>
      <c r="AU24" s="126"/>
      <c r="AV24" s="58">
        <v>975603</v>
      </c>
    </row>
    <row r="25" spans="1:48" s="113" customFormat="1" ht="15" customHeight="1">
      <c r="B25" s="138" t="s">
        <v>592</v>
      </c>
      <c r="C25" s="115"/>
      <c r="D25" s="60">
        <v>0</v>
      </c>
      <c r="E25" s="60">
        <v>0</v>
      </c>
      <c r="F25" s="60">
        <v>0</v>
      </c>
      <c r="G25" s="60">
        <v>1145875</v>
      </c>
      <c r="H25" s="57">
        <v>1145875</v>
      </c>
      <c r="I25" s="116"/>
      <c r="J25" s="60">
        <v>0</v>
      </c>
      <c r="K25" s="60">
        <v>0</v>
      </c>
      <c r="L25" s="60">
        <v>0</v>
      </c>
      <c r="M25" s="60">
        <v>1215412</v>
      </c>
      <c r="N25" s="57">
        <v>1215412</v>
      </c>
      <c r="O25" s="116"/>
      <c r="P25" s="60">
        <v>0</v>
      </c>
      <c r="Q25" s="60">
        <v>0</v>
      </c>
      <c r="R25" s="60">
        <v>0</v>
      </c>
      <c r="S25" s="60">
        <v>1356960</v>
      </c>
      <c r="T25" s="57">
        <v>1356960</v>
      </c>
      <c r="U25" s="116"/>
      <c r="V25" s="60">
        <v>0</v>
      </c>
      <c r="W25" s="60">
        <v>0</v>
      </c>
      <c r="X25" s="60">
        <v>0</v>
      </c>
      <c r="Y25" s="60">
        <v>1483758</v>
      </c>
      <c r="Z25" s="57">
        <v>1483758</v>
      </c>
      <c r="AA25" s="129"/>
      <c r="AB25" s="60">
        <v>0</v>
      </c>
      <c r="AC25" s="60">
        <v>0</v>
      </c>
      <c r="AD25" s="60">
        <v>0</v>
      </c>
      <c r="AE25" s="60">
        <v>1662174</v>
      </c>
      <c r="AF25" s="57">
        <v>1662174</v>
      </c>
      <c r="AG25" s="130"/>
      <c r="AH25" s="60">
        <v>0</v>
      </c>
      <c r="AI25" s="60">
        <v>0</v>
      </c>
      <c r="AJ25" s="50"/>
      <c r="AK25" s="50"/>
      <c r="AL25" s="58"/>
      <c r="AM25" s="129"/>
      <c r="AN25" s="50"/>
      <c r="AO25" s="50"/>
      <c r="AP25" s="50"/>
      <c r="AQ25" s="50"/>
      <c r="AR25" s="58"/>
      <c r="AS25" s="129"/>
      <c r="AT25" s="58"/>
      <c r="AU25" s="129"/>
      <c r="AV25" s="58"/>
    </row>
    <row r="26" spans="1:48" ht="15" customHeight="1">
      <c r="A26" s="43"/>
      <c r="B26" s="138" t="s">
        <v>593</v>
      </c>
      <c r="D26" s="60">
        <v>0</v>
      </c>
      <c r="E26" s="60">
        <v>0</v>
      </c>
      <c r="F26" s="60">
        <v>0</v>
      </c>
      <c r="G26" s="60">
        <v>585291</v>
      </c>
      <c r="H26" s="57">
        <v>585291</v>
      </c>
      <c r="I26" s="20"/>
      <c r="J26" s="60">
        <v>0</v>
      </c>
      <c r="K26" s="60">
        <v>0</v>
      </c>
      <c r="L26" s="60">
        <v>0</v>
      </c>
      <c r="M26" s="60">
        <v>623746</v>
      </c>
      <c r="N26" s="57">
        <v>623746</v>
      </c>
      <c r="O26" s="20"/>
      <c r="P26" s="60">
        <v>0</v>
      </c>
      <c r="Q26" s="60">
        <v>0</v>
      </c>
      <c r="R26" s="60">
        <v>0</v>
      </c>
      <c r="S26" s="60">
        <v>677788</v>
      </c>
      <c r="T26" s="57">
        <v>677788</v>
      </c>
      <c r="U26" s="20"/>
      <c r="V26" s="60">
        <v>0</v>
      </c>
      <c r="W26" s="60">
        <v>0</v>
      </c>
      <c r="X26" s="60">
        <v>0</v>
      </c>
      <c r="Y26" s="60">
        <v>739218</v>
      </c>
      <c r="Z26" s="57">
        <v>739218</v>
      </c>
      <c r="AA26" s="122"/>
      <c r="AB26" s="60">
        <v>0</v>
      </c>
      <c r="AC26" s="60">
        <v>0</v>
      </c>
      <c r="AD26" s="60">
        <v>0</v>
      </c>
      <c r="AE26" s="60">
        <v>804940</v>
      </c>
      <c r="AF26" s="57">
        <v>804940</v>
      </c>
      <c r="AG26" s="124"/>
      <c r="AH26" s="60">
        <v>0</v>
      </c>
      <c r="AI26" s="60">
        <v>0</v>
      </c>
      <c r="AJ26" s="50"/>
      <c r="AK26" s="50"/>
      <c r="AL26" s="58"/>
      <c r="AM26" s="126"/>
      <c r="AN26" s="50"/>
      <c r="AO26" s="50"/>
      <c r="AP26" s="50"/>
      <c r="AQ26" s="50"/>
      <c r="AR26" s="58"/>
      <c r="AS26" s="126"/>
      <c r="AT26" s="58"/>
      <c r="AU26" s="126"/>
      <c r="AV26" s="58"/>
    </row>
    <row r="27" spans="1:48" ht="15" customHeight="1">
      <c r="A27" s="43"/>
      <c r="B27" s="127" t="s">
        <v>413</v>
      </c>
      <c r="D27" s="60">
        <v>58583</v>
      </c>
      <c r="E27" s="60">
        <v>59861</v>
      </c>
      <c r="F27" s="60">
        <v>59101</v>
      </c>
      <c r="G27" s="60">
        <v>58341</v>
      </c>
      <c r="H27" s="57">
        <v>58341</v>
      </c>
      <c r="I27" s="20"/>
      <c r="J27" s="60">
        <v>57594</v>
      </c>
      <c r="K27" s="60">
        <v>58475</v>
      </c>
      <c r="L27" s="60">
        <v>57781</v>
      </c>
      <c r="M27" s="60">
        <v>55866</v>
      </c>
      <c r="N27" s="57">
        <v>55866</v>
      </c>
      <c r="O27" s="20"/>
      <c r="P27" s="60">
        <v>63804</v>
      </c>
      <c r="Q27" s="60">
        <v>63247</v>
      </c>
      <c r="R27" s="60">
        <v>62692</v>
      </c>
      <c r="S27" s="60">
        <v>62137</v>
      </c>
      <c r="T27" s="57">
        <v>62137</v>
      </c>
      <c r="U27" s="20"/>
      <c r="V27" s="60">
        <v>61598</v>
      </c>
      <c r="W27" s="60">
        <v>61043</v>
      </c>
      <c r="X27" s="60">
        <v>60490</v>
      </c>
      <c r="Y27" s="60">
        <v>59903</v>
      </c>
      <c r="Z27" s="57">
        <v>59903</v>
      </c>
      <c r="AA27" s="122"/>
      <c r="AB27" s="60">
        <v>59353</v>
      </c>
      <c r="AC27" s="60">
        <v>62850</v>
      </c>
      <c r="AD27" s="60">
        <v>62310</v>
      </c>
      <c r="AE27" s="60">
        <v>61772</v>
      </c>
      <c r="AF27" s="57">
        <v>61772</v>
      </c>
      <c r="AG27" s="124"/>
      <c r="AH27" s="60">
        <v>61951</v>
      </c>
      <c r="AI27" s="60">
        <v>61986</v>
      </c>
      <c r="AJ27" s="50"/>
      <c r="AK27" s="50"/>
      <c r="AL27" s="58"/>
      <c r="AM27" s="126"/>
      <c r="AN27" s="50"/>
      <c r="AO27" s="50"/>
      <c r="AP27" s="50"/>
      <c r="AQ27" s="50"/>
      <c r="AR27" s="58"/>
      <c r="AS27" s="126"/>
      <c r="AT27" s="58"/>
      <c r="AU27" s="126"/>
      <c r="AV27" s="58"/>
    </row>
    <row r="28" spans="1:48" ht="15" customHeight="1">
      <c r="A28" s="43"/>
      <c r="B28" s="127" t="s">
        <v>594</v>
      </c>
      <c r="D28" s="60">
        <v>35525</v>
      </c>
      <c r="E28" s="60">
        <v>35525</v>
      </c>
      <c r="F28" s="60">
        <v>35525</v>
      </c>
      <c r="G28" s="60">
        <v>35525</v>
      </c>
      <c r="H28" s="57">
        <v>35525</v>
      </c>
      <c r="I28" s="20"/>
      <c r="J28" s="60">
        <v>35525</v>
      </c>
      <c r="K28" s="60">
        <v>35525</v>
      </c>
      <c r="L28" s="60">
        <v>35525</v>
      </c>
      <c r="M28" s="60">
        <v>35525</v>
      </c>
      <c r="N28" s="57">
        <v>35525</v>
      </c>
      <c r="O28" s="20"/>
      <c r="P28" s="60">
        <v>44006</v>
      </c>
      <c r="Q28" s="60">
        <v>44006</v>
      </c>
      <c r="R28" s="60">
        <v>44006</v>
      </c>
      <c r="S28" s="60">
        <v>44006</v>
      </c>
      <c r="T28" s="57">
        <v>44006</v>
      </c>
      <c r="U28" s="20"/>
      <c r="V28" s="60">
        <v>44006</v>
      </c>
      <c r="W28" s="60">
        <v>44006</v>
      </c>
      <c r="X28" s="60">
        <v>44006</v>
      </c>
      <c r="Y28" s="60">
        <v>44006</v>
      </c>
      <c r="Z28" s="57">
        <v>44006</v>
      </c>
      <c r="AA28" s="122"/>
      <c r="AB28" s="60">
        <v>44006</v>
      </c>
      <c r="AC28" s="60">
        <v>45776</v>
      </c>
      <c r="AD28" s="60">
        <v>45776</v>
      </c>
      <c r="AE28" s="60">
        <v>45776</v>
      </c>
      <c r="AF28" s="57">
        <v>45776</v>
      </c>
      <c r="AG28" s="124"/>
      <c r="AH28" s="60">
        <v>45776</v>
      </c>
      <c r="AI28" s="60">
        <v>45776</v>
      </c>
      <c r="AJ28" s="50"/>
      <c r="AK28" s="50"/>
      <c r="AL28" s="58"/>
      <c r="AM28" s="137"/>
      <c r="AN28" s="50"/>
      <c r="AO28" s="50"/>
      <c r="AP28" s="50"/>
      <c r="AQ28" s="50"/>
      <c r="AR28" s="58"/>
      <c r="AS28" s="137"/>
      <c r="AT28" s="58"/>
      <c r="AU28" s="137"/>
      <c r="AV28" s="58"/>
    </row>
    <row r="29" spans="1:48" ht="15" customHeight="1">
      <c r="A29" s="43"/>
      <c r="B29" s="127" t="s">
        <v>502</v>
      </c>
      <c r="D29" s="60">
        <v>0</v>
      </c>
      <c r="E29" s="60">
        <v>0</v>
      </c>
      <c r="F29" s="60">
        <v>0</v>
      </c>
      <c r="G29" s="60">
        <v>0</v>
      </c>
      <c r="H29" s="57">
        <v>0</v>
      </c>
      <c r="I29" s="20"/>
      <c r="J29" s="60">
        <v>0</v>
      </c>
      <c r="K29" s="60">
        <v>0</v>
      </c>
      <c r="L29" s="60">
        <v>0</v>
      </c>
      <c r="M29" s="60">
        <v>0</v>
      </c>
      <c r="N29" s="57">
        <v>0</v>
      </c>
      <c r="O29" s="20"/>
      <c r="P29" s="60">
        <v>0</v>
      </c>
      <c r="Q29" s="60">
        <v>0</v>
      </c>
      <c r="R29" s="60">
        <v>0</v>
      </c>
      <c r="S29" s="60">
        <v>0</v>
      </c>
      <c r="T29" s="57">
        <v>0</v>
      </c>
      <c r="U29" s="20"/>
      <c r="V29" s="60">
        <v>0</v>
      </c>
      <c r="W29" s="60">
        <v>0</v>
      </c>
      <c r="X29" s="60">
        <v>0</v>
      </c>
      <c r="Y29" s="60">
        <v>0</v>
      </c>
      <c r="Z29" s="57">
        <v>0</v>
      </c>
      <c r="AA29" s="122"/>
      <c r="AB29" s="60">
        <v>0</v>
      </c>
      <c r="AC29" s="60">
        <v>0</v>
      </c>
      <c r="AD29" s="60">
        <v>0</v>
      </c>
      <c r="AE29" s="60">
        <v>0</v>
      </c>
      <c r="AF29" s="57">
        <v>0</v>
      </c>
      <c r="AG29" s="124"/>
      <c r="AH29" s="60">
        <v>0</v>
      </c>
      <c r="AI29" s="60">
        <v>0</v>
      </c>
      <c r="AJ29" s="50">
        <v>61986</v>
      </c>
      <c r="AK29" s="50">
        <v>61986</v>
      </c>
      <c r="AL29" s="58">
        <v>61986</v>
      </c>
      <c r="AM29" s="126"/>
      <c r="AN29" s="50">
        <v>61986</v>
      </c>
      <c r="AO29" s="50">
        <v>61986</v>
      </c>
      <c r="AP29" s="50">
        <v>61986</v>
      </c>
      <c r="AQ29" s="50">
        <v>61986</v>
      </c>
      <c r="AR29" s="58">
        <v>61986</v>
      </c>
      <c r="AS29" s="126"/>
      <c r="AT29" s="58">
        <v>61986</v>
      </c>
      <c r="AU29" s="126"/>
      <c r="AV29" s="58">
        <v>61986</v>
      </c>
    </row>
    <row r="30" spans="1:48" s="113" customFormat="1" ht="15" customHeight="1">
      <c r="B30" s="127" t="s">
        <v>595</v>
      </c>
      <c r="C30" s="115"/>
      <c r="D30" s="60">
        <v>70361</v>
      </c>
      <c r="E30" s="60">
        <v>68369</v>
      </c>
      <c r="F30" s="60">
        <v>66119</v>
      </c>
      <c r="G30" s="60">
        <v>65518</v>
      </c>
      <c r="H30" s="74">
        <v>65518</v>
      </c>
      <c r="I30" s="116"/>
      <c r="J30" s="60">
        <v>65532</v>
      </c>
      <c r="K30" s="60">
        <v>63631</v>
      </c>
      <c r="L30" s="60">
        <v>62726</v>
      </c>
      <c r="M30" s="60">
        <v>61711</v>
      </c>
      <c r="N30" s="74">
        <v>61711</v>
      </c>
      <c r="O30" s="116"/>
      <c r="P30" s="60">
        <v>17475</v>
      </c>
      <c r="Q30" s="60">
        <v>18573</v>
      </c>
      <c r="R30" s="60">
        <v>23643</v>
      </c>
      <c r="S30" s="60">
        <v>24661</v>
      </c>
      <c r="T30" s="74">
        <v>24661</v>
      </c>
      <c r="U30" s="116"/>
      <c r="V30" s="60">
        <v>25587</v>
      </c>
      <c r="W30" s="60">
        <v>24505</v>
      </c>
      <c r="X30" s="60">
        <v>26114</v>
      </c>
      <c r="Y30" s="60">
        <v>25157</v>
      </c>
      <c r="Z30" s="74">
        <v>25157</v>
      </c>
      <c r="AA30" s="129"/>
      <c r="AB30" s="60">
        <v>24376</v>
      </c>
      <c r="AC30" s="60">
        <v>24554</v>
      </c>
      <c r="AD30" s="60">
        <v>27054</v>
      </c>
      <c r="AE30" s="60">
        <v>23916</v>
      </c>
      <c r="AF30" s="74">
        <v>23916</v>
      </c>
      <c r="AG30" s="130"/>
      <c r="AH30" s="60">
        <v>24508</v>
      </c>
      <c r="AI30" s="60">
        <v>27915</v>
      </c>
      <c r="AJ30" s="50"/>
      <c r="AK30" s="50"/>
      <c r="AL30" s="75"/>
      <c r="AM30" s="129"/>
      <c r="AN30" s="50"/>
      <c r="AO30" s="50"/>
      <c r="AP30" s="50"/>
      <c r="AQ30" s="50"/>
      <c r="AR30" s="75"/>
      <c r="AS30" s="129"/>
      <c r="AT30" s="75"/>
      <c r="AU30" s="129"/>
      <c r="AV30" s="75"/>
    </row>
    <row r="31" spans="1:48" ht="15" customHeight="1">
      <c r="A31" s="43"/>
      <c r="B31" s="138" t="s">
        <v>596</v>
      </c>
      <c r="D31" s="60">
        <v>593932</v>
      </c>
      <c r="E31" s="60">
        <v>662442</v>
      </c>
      <c r="F31" s="60">
        <v>671659</v>
      </c>
      <c r="G31" s="60">
        <v>684443</v>
      </c>
      <c r="H31" s="74">
        <v>684443</v>
      </c>
      <c r="I31" s="20"/>
      <c r="J31" s="60">
        <v>694696</v>
      </c>
      <c r="K31" s="60">
        <v>706575</v>
      </c>
      <c r="L31" s="60">
        <v>708381</v>
      </c>
      <c r="M31" s="60">
        <v>709243</v>
      </c>
      <c r="N31" s="74">
        <v>709243</v>
      </c>
      <c r="O31" s="20"/>
      <c r="P31" s="60">
        <v>751261</v>
      </c>
      <c r="Q31" s="60">
        <v>750865</v>
      </c>
      <c r="R31" s="60">
        <v>759285</v>
      </c>
      <c r="S31" s="60">
        <v>765970</v>
      </c>
      <c r="T31" s="74">
        <v>765970</v>
      </c>
      <c r="U31" s="20"/>
      <c r="V31" s="60">
        <v>775841</v>
      </c>
      <c r="W31" s="60">
        <v>789430</v>
      </c>
      <c r="X31" s="60">
        <v>799116</v>
      </c>
      <c r="Y31" s="60">
        <v>829600</v>
      </c>
      <c r="Z31" s="74">
        <v>829600</v>
      </c>
      <c r="AA31" s="122"/>
      <c r="AB31" s="60">
        <v>836309</v>
      </c>
      <c r="AC31" s="60">
        <v>902872</v>
      </c>
      <c r="AD31" s="60">
        <v>915937</v>
      </c>
      <c r="AE31" s="60">
        <v>942922</v>
      </c>
      <c r="AF31" s="74">
        <v>942922</v>
      </c>
      <c r="AG31" s="124"/>
      <c r="AH31" s="60">
        <v>1046529</v>
      </c>
      <c r="AI31" s="60">
        <v>1065504</v>
      </c>
      <c r="AJ31" s="50"/>
      <c r="AK31" s="50"/>
      <c r="AL31" s="75"/>
      <c r="AM31" s="139"/>
      <c r="AN31" s="50"/>
      <c r="AO31" s="50"/>
      <c r="AP31" s="50"/>
      <c r="AQ31" s="50"/>
      <c r="AR31" s="75"/>
      <c r="AS31" s="139"/>
      <c r="AT31" s="75"/>
      <c r="AU31" s="139"/>
      <c r="AV31" s="75"/>
    </row>
    <row r="32" spans="1:48" s="113" customFormat="1" ht="15" customHeight="1" thickBot="1">
      <c r="B32" s="140" t="s">
        <v>597</v>
      </c>
      <c r="C32" s="115"/>
      <c r="D32" s="60">
        <v>1096872</v>
      </c>
      <c r="E32" s="60">
        <v>1111280</v>
      </c>
      <c r="F32" s="60">
        <v>1117029</v>
      </c>
      <c r="G32" s="60">
        <v>1206694</v>
      </c>
      <c r="H32" s="93">
        <v>1206694</v>
      </c>
      <c r="I32" s="116"/>
      <c r="J32" s="60">
        <v>1167880</v>
      </c>
      <c r="K32" s="60">
        <v>1200355</v>
      </c>
      <c r="L32" s="60">
        <v>1231284</v>
      </c>
      <c r="M32" s="60">
        <v>1229174</v>
      </c>
      <c r="N32" s="93">
        <v>1229174</v>
      </c>
      <c r="O32" s="116"/>
      <c r="P32" s="60">
        <v>1211730</v>
      </c>
      <c r="Q32" s="60">
        <v>1231994</v>
      </c>
      <c r="R32" s="60">
        <v>1281995</v>
      </c>
      <c r="S32" s="60">
        <v>1427489</v>
      </c>
      <c r="T32" s="93">
        <v>1427489</v>
      </c>
      <c r="U32" s="116"/>
      <c r="V32" s="60">
        <v>1554729</v>
      </c>
      <c r="W32" s="60">
        <v>1763440</v>
      </c>
      <c r="X32" s="60">
        <v>1992483</v>
      </c>
      <c r="Y32" s="60">
        <v>1954525</v>
      </c>
      <c r="Z32" s="93">
        <v>1954525</v>
      </c>
      <c r="AA32" s="141"/>
      <c r="AB32" s="60">
        <v>1900367</v>
      </c>
      <c r="AC32" s="60">
        <v>1966805</v>
      </c>
      <c r="AD32" s="60">
        <v>2133529</v>
      </c>
      <c r="AE32" s="60">
        <v>2184761</v>
      </c>
      <c r="AF32" s="93">
        <v>2184761</v>
      </c>
      <c r="AG32" s="130"/>
      <c r="AH32" s="60">
        <v>2390008</v>
      </c>
      <c r="AI32" s="60">
        <v>2490099</v>
      </c>
      <c r="AJ32" s="50"/>
      <c r="AK32" s="50"/>
      <c r="AL32" s="94"/>
      <c r="AM32" s="129"/>
      <c r="AN32" s="50"/>
      <c r="AO32" s="50"/>
      <c r="AP32" s="50"/>
      <c r="AQ32" s="50"/>
      <c r="AR32" s="94"/>
      <c r="AS32" s="129"/>
      <c r="AT32" s="94"/>
      <c r="AU32" s="129"/>
      <c r="AV32" s="94"/>
    </row>
    <row r="34" spans="1:48" s="113" customFormat="1" ht="15" customHeight="1">
      <c r="A34" s="44"/>
      <c r="B34" s="64" t="s">
        <v>598</v>
      </c>
      <c r="C34" s="115"/>
      <c r="D34" s="46"/>
      <c r="E34" s="46"/>
      <c r="F34" s="46"/>
      <c r="G34" s="46"/>
      <c r="H34" s="66"/>
      <c r="I34" s="116"/>
      <c r="J34" s="46"/>
      <c r="K34" s="46"/>
      <c r="L34" s="46"/>
      <c r="M34" s="46"/>
      <c r="N34" s="66"/>
      <c r="O34" s="116"/>
      <c r="P34" s="46"/>
      <c r="Q34" s="46"/>
      <c r="R34" s="46"/>
      <c r="S34" s="46"/>
      <c r="T34" s="66"/>
      <c r="U34" s="116"/>
      <c r="V34" s="46"/>
      <c r="W34" s="46"/>
      <c r="X34" s="46"/>
      <c r="Y34" s="46"/>
      <c r="Z34" s="66"/>
      <c r="AA34" s="117"/>
      <c r="AB34" s="46"/>
      <c r="AC34" s="46"/>
      <c r="AD34" s="46"/>
      <c r="AE34" s="46"/>
      <c r="AF34" s="66"/>
      <c r="AG34" s="118"/>
      <c r="AH34" s="46"/>
      <c r="AI34" s="46"/>
      <c r="AJ34" s="50"/>
      <c r="AK34" s="50"/>
      <c r="AL34" s="68"/>
      <c r="AM34" s="117"/>
      <c r="AN34" s="50"/>
      <c r="AO34" s="50"/>
      <c r="AP34" s="50"/>
      <c r="AQ34" s="50"/>
      <c r="AR34" s="68"/>
      <c r="AS34" s="117"/>
      <c r="AT34" s="68"/>
      <c r="AU34" s="117"/>
      <c r="AV34" s="68"/>
    </row>
    <row r="35" spans="1:48" s="147" customFormat="1" ht="15" customHeight="1">
      <c r="A35" s="142"/>
      <c r="B35" s="143"/>
      <c r="C35" s="27"/>
      <c r="D35" s="46"/>
      <c r="E35" s="46"/>
      <c r="F35" s="46"/>
      <c r="G35" s="46"/>
      <c r="H35" s="66"/>
      <c r="I35" s="144"/>
      <c r="J35" s="46"/>
      <c r="K35" s="46"/>
      <c r="L35" s="46"/>
      <c r="M35" s="46"/>
      <c r="N35" s="66"/>
      <c r="O35" s="144"/>
      <c r="P35" s="46"/>
      <c r="Q35" s="46"/>
      <c r="R35" s="46"/>
      <c r="S35" s="46"/>
      <c r="T35" s="66"/>
      <c r="U35" s="144"/>
      <c r="V35" s="46"/>
      <c r="W35" s="46"/>
      <c r="X35" s="46"/>
      <c r="Y35" s="46"/>
      <c r="Z35" s="66"/>
      <c r="AA35" s="145"/>
      <c r="AB35" s="46"/>
      <c r="AC35" s="46"/>
      <c r="AD35" s="46"/>
      <c r="AE35" s="46"/>
      <c r="AF35" s="66"/>
      <c r="AG35" s="146"/>
      <c r="AH35" s="46"/>
      <c r="AI35" s="46"/>
      <c r="AJ35" s="50"/>
      <c r="AK35" s="50"/>
      <c r="AL35" s="68"/>
      <c r="AM35" s="148"/>
      <c r="AN35" s="50"/>
      <c r="AO35" s="50"/>
      <c r="AP35" s="50"/>
      <c r="AQ35" s="50"/>
      <c r="AR35" s="68"/>
      <c r="AS35" s="139"/>
      <c r="AT35" s="68"/>
      <c r="AU35" s="139"/>
      <c r="AV35" s="68"/>
    </row>
    <row r="36" spans="1:48" s="113" customFormat="1" ht="15" customHeight="1">
      <c r="A36" s="44" t="s">
        <v>33</v>
      </c>
      <c r="B36" s="114" t="s">
        <v>599</v>
      </c>
      <c r="C36" s="115"/>
      <c r="D36" s="46"/>
      <c r="E36" s="46"/>
      <c r="F36" s="46"/>
      <c r="G36" s="46"/>
      <c r="H36" s="66"/>
      <c r="I36" s="116"/>
      <c r="J36" s="46"/>
      <c r="K36" s="46"/>
      <c r="L36" s="46"/>
      <c r="M36" s="46"/>
      <c r="N36" s="66"/>
      <c r="O36" s="116"/>
      <c r="P36" s="46"/>
      <c r="Q36" s="46"/>
      <c r="R36" s="46"/>
      <c r="S36" s="46"/>
      <c r="T36" s="66"/>
      <c r="U36" s="116"/>
      <c r="V36" s="46"/>
      <c r="W36" s="46"/>
      <c r="X36" s="46"/>
      <c r="Y36" s="46"/>
      <c r="Z36" s="66"/>
      <c r="AA36" s="117"/>
      <c r="AB36" s="46"/>
      <c r="AC36" s="46"/>
      <c r="AD36" s="46"/>
      <c r="AE36" s="46"/>
      <c r="AF36" s="66"/>
      <c r="AG36" s="118"/>
      <c r="AH36" s="46"/>
      <c r="AI36" s="46"/>
      <c r="AJ36" s="50"/>
      <c r="AK36" s="50"/>
      <c r="AL36" s="68"/>
      <c r="AM36" s="149"/>
      <c r="AN36" s="50"/>
      <c r="AO36" s="50"/>
      <c r="AP36" s="50"/>
      <c r="AQ36" s="50"/>
      <c r="AR36" s="68"/>
      <c r="AS36" s="117"/>
      <c r="AT36" s="68"/>
      <c r="AU36" s="117"/>
      <c r="AV36" s="68"/>
    </row>
    <row r="37" spans="1:48" ht="15" customHeight="1">
      <c r="A37" s="43"/>
      <c r="B37" s="127" t="s">
        <v>600</v>
      </c>
      <c r="D37" s="60">
        <v>73913</v>
      </c>
      <c r="E37" s="60">
        <v>102001</v>
      </c>
      <c r="F37" s="60">
        <v>88658</v>
      </c>
      <c r="G37" s="60">
        <v>92182</v>
      </c>
      <c r="H37" s="57">
        <v>92182</v>
      </c>
      <c r="I37" s="20"/>
      <c r="J37" s="60">
        <v>76885</v>
      </c>
      <c r="K37" s="60">
        <v>93143</v>
      </c>
      <c r="L37" s="60">
        <v>99851</v>
      </c>
      <c r="M37" s="60">
        <v>89191</v>
      </c>
      <c r="N37" s="57">
        <v>89191</v>
      </c>
      <c r="O37" s="20"/>
      <c r="P37" s="60">
        <v>96709</v>
      </c>
      <c r="Q37" s="60">
        <v>115619</v>
      </c>
      <c r="R37" s="60">
        <v>120665</v>
      </c>
      <c r="S37" s="60">
        <v>183978</v>
      </c>
      <c r="T37" s="57">
        <v>183978</v>
      </c>
      <c r="U37" s="20"/>
      <c r="V37" s="60">
        <v>230431</v>
      </c>
      <c r="W37" s="60">
        <v>306549</v>
      </c>
      <c r="X37" s="60">
        <v>313060</v>
      </c>
      <c r="Y37" s="60">
        <v>182731</v>
      </c>
      <c r="Z37" s="57">
        <v>182731</v>
      </c>
      <c r="AA37" s="20"/>
      <c r="AB37" s="60">
        <v>126382</v>
      </c>
      <c r="AC37" s="60">
        <v>153787</v>
      </c>
      <c r="AD37" s="60">
        <v>215689</v>
      </c>
      <c r="AE37" s="60">
        <v>227743</v>
      </c>
      <c r="AF37" s="57">
        <v>227743</v>
      </c>
      <c r="AG37" s="150"/>
      <c r="AH37" s="60">
        <v>325415</v>
      </c>
      <c r="AI37" s="60">
        <v>260751</v>
      </c>
      <c r="AJ37" s="50">
        <v>0</v>
      </c>
      <c r="AK37" s="50">
        <v>0</v>
      </c>
      <c r="AL37" s="58">
        <v>0</v>
      </c>
      <c r="AM37" s="20"/>
      <c r="AN37" s="50">
        <v>0</v>
      </c>
      <c r="AO37" s="50">
        <v>0</v>
      </c>
      <c r="AP37" s="50">
        <v>0</v>
      </c>
      <c r="AQ37" s="50">
        <v>0</v>
      </c>
      <c r="AR37" s="58">
        <v>0</v>
      </c>
      <c r="AS37" s="20"/>
      <c r="AT37" s="58">
        <v>0</v>
      </c>
      <c r="AU37" s="20"/>
      <c r="AV37" s="58">
        <v>0</v>
      </c>
    </row>
    <row r="38" spans="1:48" ht="15" customHeight="1">
      <c r="A38" s="43"/>
      <c r="B38" s="127" t="s">
        <v>601</v>
      </c>
      <c r="D38" s="60">
        <v>750</v>
      </c>
      <c r="E38" s="60">
        <v>0</v>
      </c>
      <c r="F38" s="60">
        <v>0</v>
      </c>
      <c r="G38" s="60">
        <v>0</v>
      </c>
      <c r="H38" s="57">
        <v>0</v>
      </c>
      <c r="I38" s="20"/>
      <c r="J38" s="60">
        <v>0</v>
      </c>
      <c r="K38" s="60">
        <v>0</v>
      </c>
      <c r="L38" s="60">
        <v>0</v>
      </c>
      <c r="M38" s="60">
        <v>0</v>
      </c>
      <c r="N38" s="57">
        <v>0</v>
      </c>
      <c r="O38" s="20"/>
      <c r="P38" s="60">
        <v>0</v>
      </c>
      <c r="Q38" s="60">
        <v>0</v>
      </c>
      <c r="R38" s="60">
        <v>0</v>
      </c>
      <c r="S38" s="60">
        <v>0</v>
      </c>
      <c r="T38" s="57">
        <v>0</v>
      </c>
      <c r="U38" s="20"/>
      <c r="V38" s="60">
        <v>0</v>
      </c>
      <c r="W38" s="60">
        <v>0</v>
      </c>
      <c r="X38" s="60">
        <v>0</v>
      </c>
      <c r="Y38" s="60">
        <v>0</v>
      </c>
      <c r="Z38" s="57">
        <v>0</v>
      </c>
      <c r="AA38" s="122"/>
      <c r="AB38" s="60">
        <v>0</v>
      </c>
      <c r="AC38" s="60">
        <v>0</v>
      </c>
      <c r="AD38" s="60">
        <v>0</v>
      </c>
      <c r="AE38" s="60">
        <v>0</v>
      </c>
      <c r="AF38" s="57">
        <v>0</v>
      </c>
      <c r="AG38" s="124"/>
      <c r="AH38" s="60">
        <v>0</v>
      </c>
      <c r="AI38" s="60">
        <v>0</v>
      </c>
      <c r="AJ38" s="50"/>
      <c r="AK38" s="50"/>
      <c r="AL38" s="58"/>
      <c r="AM38" s="151"/>
      <c r="AN38" s="50"/>
      <c r="AO38" s="50"/>
      <c r="AP38" s="50"/>
      <c r="AQ38" s="50"/>
      <c r="AR38" s="58"/>
      <c r="AS38" s="151"/>
      <c r="AT38" s="58"/>
      <c r="AU38" s="151"/>
      <c r="AV38" s="58"/>
    </row>
    <row r="39" spans="1:48" s="113" customFormat="1" ht="15" customHeight="1">
      <c r="B39" s="127" t="s">
        <v>602</v>
      </c>
      <c r="C39" s="115"/>
      <c r="D39" s="60">
        <v>826</v>
      </c>
      <c r="E39" s="60">
        <v>847</v>
      </c>
      <c r="F39" s="60">
        <v>1002</v>
      </c>
      <c r="G39" s="60">
        <v>1001</v>
      </c>
      <c r="H39" s="57">
        <v>1001</v>
      </c>
      <c r="I39" s="116"/>
      <c r="J39" s="60">
        <v>994</v>
      </c>
      <c r="K39" s="60">
        <v>975</v>
      </c>
      <c r="L39" s="60">
        <v>953</v>
      </c>
      <c r="M39" s="60">
        <v>906</v>
      </c>
      <c r="N39" s="57">
        <v>906</v>
      </c>
      <c r="O39" s="116"/>
      <c r="P39" s="60">
        <v>834</v>
      </c>
      <c r="Q39" s="60">
        <v>769</v>
      </c>
      <c r="R39" s="60">
        <v>708</v>
      </c>
      <c r="S39" s="60">
        <v>696</v>
      </c>
      <c r="T39" s="57">
        <v>696</v>
      </c>
      <c r="U39" s="116"/>
      <c r="V39" s="60">
        <v>0</v>
      </c>
      <c r="W39" s="60">
        <v>0</v>
      </c>
      <c r="X39" s="60">
        <v>0</v>
      </c>
      <c r="Y39" s="60">
        <v>0</v>
      </c>
      <c r="Z39" s="57">
        <v>0</v>
      </c>
      <c r="AA39" s="129"/>
      <c r="AB39" s="60">
        <v>0</v>
      </c>
      <c r="AC39" s="60">
        <v>0</v>
      </c>
      <c r="AD39" s="60">
        <v>0</v>
      </c>
      <c r="AE39" s="60">
        <v>0</v>
      </c>
      <c r="AF39" s="57">
        <v>0</v>
      </c>
      <c r="AG39" s="130"/>
      <c r="AH39" s="60">
        <v>0</v>
      </c>
      <c r="AI39" s="60">
        <v>0</v>
      </c>
      <c r="AJ39" s="50"/>
      <c r="AK39" s="50"/>
      <c r="AL39" s="58"/>
      <c r="AM39" s="129"/>
      <c r="AN39" s="50"/>
      <c r="AO39" s="50"/>
      <c r="AP39" s="50"/>
      <c r="AQ39" s="50"/>
      <c r="AR39" s="58"/>
      <c r="AS39" s="129"/>
      <c r="AT39" s="58"/>
      <c r="AU39" s="129"/>
      <c r="AV39" s="58"/>
    </row>
    <row r="40" spans="1:48" ht="15" customHeight="1">
      <c r="A40" s="43"/>
      <c r="B40" s="127" t="s">
        <v>603</v>
      </c>
      <c r="D40" s="60">
        <v>0</v>
      </c>
      <c r="E40" s="60">
        <v>0</v>
      </c>
      <c r="F40" s="60">
        <v>0</v>
      </c>
      <c r="G40" s="60">
        <v>0</v>
      </c>
      <c r="H40" s="57">
        <v>0</v>
      </c>
      <c r="I40" s="20"/>
      <c r="J40" s="60">
        <v>0</v>
      </c>
      <c r="K40" s="60">
        <v>0</v>
      </c>
      <c r="L40" s="60">
        <v>0</v>
      </c>
      <c r="M40" s="60">
        <v>0</v>
      </c>
      <c r="N40" s="57">
        <v>0</v>
      </c>
      <c r="O40" s="20"/>
      <c r="P40" s="60">
        <v>0</v>
      </c>
      <c r="Q40" s="60">
        <v>0</v>
      </c>
      <c r="R40" s="60">
        <v>0</v>
      </c>
      <c r="S40" s="60">
        <v>0</v>
      </c>
      <c r="T40" s="57">
        <v>0</v>
      </c>
      <c r="U40" s="20"/>
      <c r="V40" s="60">
        <v>0</v>
      </c>
      <c r="W40" s="60">
        <v>0</v>
      </c>
      <c r="X40" s="60">
        <v>0</v>
      </c>
      <c r="Y40" s="60">
        <v>0</v>
      </c>
      <c r="Z40" s="57">
        <v>0</v>
      </c>
      <c r="AA40" s="20"/>
      <c r="AB40" s="60">
        <v>0</v>
      </c>
      <c r="AC40" s="60">
        <v>0</v>
      </c>
      <c r="AD40" s="60">
        <v>0</v>
      </c>
      <c r="AE40" s="60">
        <v>0</v>
      </c>
      <c r="AF40" s="57">
        <v>0</v>
      </c>
      <c r="AG40" s="150"/>
      <c r="AH40" s="60">
        <v>0</v>
      </c>
      <c r="AI40" s="60">
        <v>0</v>
      </c>
      <c r="AJ40" s="50">
        <v>0</v>
      </c>
      <c r="AK40" s="50">
        <v>0</v>
      </c>
      <c r="AL40" s="58">
        <v>0</v>
      </c>
      <c r="AM40" s="20"/>
      <c r="AN40" s="50">
        <v>0</v>
      </c>
      <c r="AO40" s="50">
        <v>0</v>
      </c>
      <c r="AP40" s="50">
        <v>0</v>
      </c>
      <c r="AQ40" s="50">
        <v>0</v>
      </c>
      <c r="AR40" s="58">
        <v>0</v>
      </c>
      <c r="AS40" s="20"/>
      <c r="AT40" s="58">
        <v>0</v>
      </c>
      <c r="AU40" s="20"/>
      <c r="AV40" s="58">
        <v>0</v>
      </c>
    </row>
    <row r="41" spans="1:48" s="113" customFormat="1" ht="15" customHeight="1">
      <c r="B41" s="138" t="s">
        <v>604</v>
      </c>
      <c r="C41" s="115"/>
      <c r="D41" s="60">
        <v>75489</v>
      </c>
      <c r="E41" s="60">
        <v>102848</v>
      </c>
      <c r="F41" s="60">
        <v>89660</v>
      </c>
      <c r="G41" s="60">
        <v>93183</v>
      </c>
      <c r="H41" s="77">
        <v>93183</v>
      </c>
      <c r="I41" s="116"/>
      <c r="J41" s="60">
        <v>77879</v>
      </c>
      <c r="K41" s="60">
        <v>94118</v>
      </c>
      <c r="L41" s="60">
        <v>100804</v>
      </c>
      <c r="M41" s="60">
        <v>90097</v>
      </c>
      <c r="N41" s="77">
        <v>90097</v>
      </c>
      <c r="O41" s="116"/>
      <c r="P41" s="60">
        <v>97543</v>
      </c>
      <c r="Q41" s="60">
        <v>116388</v>
      </c>
      <c r="R41" s="60">
        <v>121373</v>
      </c>
      <c r="S41" s="60">
        <v>184674</v>
      </c>
      <c r="T41" s="77">
        <v>184674</v>
      </c>
      <c r="U41" s="116"/>
      <c r="V41" s="60">
        <v>230431</v>
      </c>
      <c r="W41" s="60">
        <v>306549</v>
      </c>
      <c r="X41" s="60">
        <v>313060</v>
      </c>
      <c r="Y41" s="60">
        <v>182731</v>
      </c>
      <c r="Z41" s="77">
        <v>182731</v>
      </c>
      <c r="AA41" s="129"/>
      <c r="AB41" s="60">
        <v>126382</v>
      </c>
      <c r="AC41" s="60">
        <v>153787</v>
      </c>
      <c r="AD41" s="60">
        <v>215689</v>
      </c>
      <c r="AE41" s="60">
        <v>227743</v>
      </c>
      <c r="AF41" s="77">
        <v>227743</v>
      </c>
      <c r="AG41" s="130"/>
      <c r="AH41" s="60">
        <v>325415</v>
      </c>
      <c r="AI41" s="60">
        <v>260751</v>
      </c>
      <c r="AJ41" s="46"/>
      <c r="AK41" s="46"/>
      <c r="AL41" s="77"/>
      <c r="AM41" s="129"/>
      <c r="AN41" s="46"/>
      <c r="AO41" s="46"/>
      <c r="AP41" s="46"/>
      <c r="AQ41" s="46"/>
      <c r="AR41" s="77"/>
      <c r="AS41" s="129"/>
      <c r="AT41" s="77"/>
      <c r="AU41" s="129"/>
      <c r="AV41" s="77"/>
    </row>
    <row r="42" spans="1:48" ht="15" customHeight="1">
      <c r="A42" s="43"/>
      <c r="B42" s="152"/>
      <c r="D42" s="46"/>
      <c r="E42" s="46"/>
      <c r="F42" s="46"/>
      <c r="G42" s="46"/>
      <c r="H42" s="66"/>
      <c r="I42" s="20"/>
      <c r="J42" s="46"/>
      <c r="K42" s="46"/>
      <c r="L42" s="46"/>
      <c r="M42" s="46"/>
      <c r="N42" s="66"/>
      <c r="O42" s="20"/>
      <c r="P42" s="46"/>
      <c r="Q42" s="46"/>
      <c r="R42" s="46"/>
      <c r="S42" s="46"/>
      <c r="T42" s="66"/>
      <c r="U42" s="20"/>
      <c r="V42" s="46"/>
      <c r="W42" s="46"/>
      <c r="X42" s="46"/>
      <c r="Y42" s="46"/>
      <c r="Z42" s="66"/>
      <c r="AA42" s="20"/>
      <c r="AB42" s="46"/>
      <c r="AC42" s="46"/>
      <c r="AD42" s="46"/>
      <c r="AE42" s="46"/>
      <c r="AF42" s="66"/>
      <c r="AG42" s="150"/>
      <c r="AH42" s="46"/>
      <c r="AI42" s="46"/>
      <c r="AJ42" s="46"/>
      <c r="AK42" s="46"/>
      <c r="AL42" s="66"/>
      <c r="AM42" s="20"/>
      <c r="AN42" s="46"/>
      <c r="AO42" s="46"/>
      <c r="AP42" s="46"/>
      <c r="AQ42" s="46"/>
      <c r="AR42" s="66"/>
      <c r="AS42" s="20"/>
      <c r="AT42" s="66"/>
      <c r="AU42" s="20"/>
      <c r="AV42" s="66"/>
    </row>
    <row r="43" spans="1:48" s="113" customFormat="1" ht="15" customHeight="1">
      <c r="A43" s="44" t="s">
        <v>33</v>
      </c>
      <c r="B43" s="114" t="s">
        <v>605</v>
      </c>
      <c r="C43" s="115"/>
      <c r="D43" s="46"/>
      <c r="E43" s="46"/>
      <c r="F43" s="46"/>
      <c r="G43" s="46"/>
      <c r="H43" s="66"/>
      <c r="I43" s="116"/>
      <c r="J43" s="46"/>
      <c r="K43" s="46"/>
      <c r="L43" s="46"/>
      <c r="M43" s="46"/>
      <c r="N43" s="66"/>
      <c r="O43" s="116"/>
      <c r="P43" s="46"/>
      <c r="Q43" s="46"/>
      <c r="R43" s="46"/>
      <c r="S43" s="46"/>
      <c r="T43" s="66"/>
      <c r="U43" s="116"/>
      <c r="V43" s="46"/>
      <c r="W43" s="46"/>
      <c r="X43" s="46"/>
      <c r="Y43" s="46"/>
      <c r="Z43" s="66"/>
      <c r="AA43" s="116"/>
      <c r="AB43" s="46"/>
      <c r="AC43" s="46"/>
      <c r="AD43" s="46"/>
      <c r="AE43" s="46"/>
      <c r="AF43" s="66"/>
      <c r="AG43" s="153"/>
      <c r="AH43" s="46"/>
      <c r="AI43" s="46"/>
      <c r="AJ43" s="46"/>
      <c r="AK43" s="46"/>
      <c r="AL43" s="66"/>
      <c r="AM43" s="116"/>
      <c r="AN43" s="46"/>
      <c r="AO43" s="46"/>
      <c r="AP43" s="46"/>
      <c r="AQ43" s="46"/>
      <c r="AR43" s="66"/>
      <c r="AS43" s="116"/>
      <c r="AT43" s="66"/>
      <c r="AU43" s="116"/>
      <c r="AV43" s="66"/>
    </row>
    <row r="44" spans="1:48" ht="15" customHeight="1">
      <c r="A44" s="43"/>
      <c r="B44" s="127" t="s">
        <v>606</v>
      </c>
      <c r="D44" s="60">
        <v>0</v>
      </c>
      <c r="E44" s="60">
        <v>0</v>
      </c>
      <c r="F44" s="60">
        <v>0</v>
      </c>
      <c r="G44" s="60">
        <v>0</v>
      </c>
      <c r="H44" s="66">
        <v>0</v>
      </c>
      <c r="I44" s="20"/>
      <c r="J44" s="60">
        <v>0</v>
      </c>
      <c r="K44" s="60">
        <v>0</v>
      </c>
      <c r="L44" s="60">
        <v>0</v>
      </c>
      <c r="M44" s="60">
        <v>0</v>
      </c>
      <c r="N44" s="66">
        <v>0</v>
      </c>
      <c r="O44" s="20"/>
      <c r="P44" s="60">
        <v>0</v>
      </c>
      <c r="Q44" s="60">
        <v>0</v>
      </c>
      <c r="R44" s="60">
        <v>0</v>
      </c>
      <c r="S44" s="60">
        <v>0</v>
      </c>
      <c r="T44" s="66">
        <v>0</v>
      </c>
      <c r="U44" s="20"/>
      <c r="V44" s="60">
        <v>0</v>
      </c>
      <c r="W44" s="60">
        <v>0</v>
      </c>
      <c r="X44" s="60">
        <v>0</v>
      </c>
      <c r="Y44" s="60">
        <v>0</v>
      </c>
      <c r="Z44" s="66">
        <v>0</v>
      </c>
      <c r="AA44" s="20"/>
      <c r="AB44" s="60">
        <v>0</v>
      </c>
      <c r="AC44" s="60">
        <v>0</v>
      </c>
      <c r="AD44" s="60">
        <v>0</v>
      </c>
      <c r="AE44" s="60">
        <v>0</v>
      </c>
      <c r="AF44" s="66">
        <v>0</v>
      </c>
      <c r="AG44" s="150"/>
      <c r="AH44" s="60">
        <v>0</v>
      </c>
      <c r="AI44" s="60">
        <v>0</v>
      </c>
      <c r="AJ44" s="46"/>
      <c r="AK44" s="46"/>
      <c r="AL44" s="66"/>
      <c r="AM44" s="20"/>
      <c r="AN44" s="46"/>
      <c r="AO44" s="46"/>
      <c r="AP44" s="46"/>
      <c r="AQ44" s="46"/>
      <c r="AR44" s="66"/>
      <c r="AS44" s="20"/>
      <c r="AT44" s="66"/>
      <c r="AU44" s="20"/>
      <c r="AV44" s="66"/>
    </row>
    <row r="45" spans="1:48" s="113" customFormat="1" ht="15" customHeight="1">
      <c r="B45" s="127" t="s">
        <v>607</v>
      </c>
      <c r="C45" s="115"/>
      <c r="D45" s="60">
        <v>2227</v>
      </c>
      <c r="E45" s="60">
        <v>2123</v>
      </c>
      <c r="F45" s="60">
        <v>2632</v>
      </c>
      <c r="G45" s="60">
        <v>2387</v>
      </c>
      <c r="H45" s="66">
        <v>2387</v>
      </c>
      <c r="I45" s="116"/>
      <c r="J45" s="60">
        <v>2145</v>
      </c>
      <c r="K45" s="60">
        <v>1905</v>
      </c>
      <c r="L45" s="60">
        <v>1672</v>
      </c>
      <c r="M45" s="60">
        <v>1472</v>
      </c>
      <c r="N45" s="66">
        <v>1472</v>
      </c>
      <c r="O45" s="116"/>
      <c r="P45" s="60">
        <v>1299</v>
      </c>
      <c r="Q45" s="60">
        <v>1124</v>
      </c>
      <c r="R45" s="60">
        <v>953</v>
      </c>
      <c r="S45" s="60">
        <v>747</v>
      </c>
      <c r="T45" s="66">
        <v>747</v>
      </c>
      <c r="U45" s="116"/>
      <c r="V45" s="60">
        <v>0</v>
      </c>
      <c r="W45" s="60">
        <v>0</v>
      </c>
      <c r="X45" s="60">
        <v>0</v>
      </c>
      <c r="Y45" s="60">
        <v>0</v>
      </c>
      <c r="Z45" s="66">
        <v>0</v>
      </c>
      <c r="AA45" s="116"/>
      <c r="AB45" s="60">
        <v>0</v>
      </c>
      <c r="AC45" s="60">
        <v>0</v>
      </c>
      <c r="AD45" s="60">
        <v>0</v>
      </c>
      <c r="AE45" s="60">
        <v>0</v>
      </c>
      <c r="AF45" s="66">
        <v>0</v>
      </c>
      <c r="AG45" s="153"/>
      <c r="AH45" s="60">
        <v>0</v>
      </c>
      <c r="AI45" s="60">
        <v>0</v>
      </c>
      <c r="AJ45" s="46"/>
      <c r="AK45" s="46"/>
      <c r="AL45" s="66"/>
      <c r="AM45" s="116"/>
      <c r="AN45" s="46"/>
      <c r="AO45" s="46"/>
      <c r="AP45" s="46"/>
      <c r="AQ45" s="46"/>
      <c r="AR45" s="66"/>
      <c r="AS45" s="116"/>
      <c r="AT45" s="66"/>
      <c r="AU45" s="116"/>
      <c r="AV45" s="66"/>
    </row>
    <row r="46" spans="1:48" ht="15" customHeight="1">
      <c r="A46" s="43"/>
      <c r="B46" s="127" t="s">
        <v>608</v>
      </c>
      <c r="D46" s="60">
        <v>75389</v>
      </c>
      <c r="E46" s="60">
        <v>72016</v>
      </c>
      <c r="F46" s="60">
        <v>76705</v>
      </c>
      <c r="G46" s="60">
        <v>101449</v>
      </c>
      <c r="H46" s="66">
        <v>101449</v>
      </c>
      <c r="I46" s="20"/>
      <c r="J46" s="60">
        <v>95911</v>
      </c>
      <c r="K46" s="60">
        <v>99622</v>
      </c>
      <c r="L46" s="60">
        <v>112359</v>
      </c>
      <c r="M46" s="60">
        <v>124824</v>
      </c>
      <c r="N46" s="66">
        <v>124824</v>
      </c>
      <c r="O46" s="20"/>
      <c r="P46" s="60">
        <v>117321</v>
      </c>
      <c r="Q46" s="60">
        <v>117059</v>
      </c>
      <c r="R46" s="60">
        <v>129426</v>
      </c>
      <c r="S46" s="60">
        <v>137723</v>
      </c>
      <c r="T46" s="66">
        <v>137723</v>
      </c>
      <c r="U46" s="20"/>
      <c r="V46" s="60">
        <v>136335</v>
      </c>
      <c r="W46" s="60">
        <v>136586</v>
      </c>
      <c r="X46" s="60">
        <v>144535</v>
      </c>
      <c r="Y46" s="60">
        <v>162211</v>
      </c>
      <c r="Z46" s="66">
        <v>162211</v>
      </c>
      <c r="AA46" s="20"/>
      <c r="AB46" s="60">
        <v>162655</v>
      </c>
      <c r="AC46" s="60">
        <v>189054</v>
      </c>
      <c r="AD46" s="60">
        <v>196881</v>
      </c>
      <c r="AE46" s="60">
        <v>159975</v>
      </c>
      <c r="AF46" s="66">
        <v>159975</v>
      </c>
      <c r="AG46" s="150"/>
      <c r="AH46" s="60">
        <v>165530</v>
      </c>
      <c r="AI46" s="60">
        <v>177865</v>
      </c>
      <c r="AJ46" s="46"/>
      <c r="AK46" s="46"/>
      <c r="AL46" s="66"/>
      <c r="AM46" s="20"/>
      <c r="AN46" s="46"/>
      <c r="AO46" s="46"/>
      <c r="AP46" s="46"/>
      <c r="AQ46" s="46"/>
      <c r="AR46" s="66"/>
      <c r="AS46" s="20"/>
      <c r="AT46" s="66"/>
      <c r="AU46" s="20"/>
      <c r="AV46" s="66"/>
    </row>
    <row r="47" spans="1:48" s="113" customFormat="1" ht="15" customHeight="1">
      <c r="B47" s="138" t="s">
        <v>609</v>
      </c>
      <c r="C47" s="115"/>
      <c r="D47" s="60">
        <v>77616</v>
      </c>
      <c r="E47" s="60">
        <v>74139</v>
      </c>
      <c r="F47" s="60">
        <v>79337</v>
      </c>
      <c r="G47" s="60">
        <v>103836</v>
      </c>
      <c r="H47" s="66">
        <v>103836</v>
      </c>
      <c r="I47" s="116"/>
      <c r="J47" s="60">
        <v>98056</v>
      </c>
      <c r="K47" s="60">
        <v>101527</v>
      </c>
      <c r="L47" s="60">
        <v>114031</v>
      </c>
      <c r="M47" s="60">
        <v>126296</v>
      </c>
      <c r="N47" s="66">
        <v>126296</v>
      </c>
      <c r="O47" s="116"/>
      <c r="P47" s="60">
        <v>118620</v>
      </c>
      <c r="Q47" s="60">
        <v>118183</v>
      </c>
      <c r="R47" s="60">
        <v>130379</v>
      </c>
      <c r="S47" s="60">
        <v>138470</v>
      </c>
      <c r="T47" s="66">
        <v>138470</v>
      </c>
      <c r="U47" s="116"/>
      <c r="V47" s="60">
        <v>136335</v>
      </c>
      <c r="W47" s="60">
        <v>136586</v>
      </c>
      <c r="X47" s="60">
        <v>144535</v>
      </c>
      <c r="Y47" s="60">
        <v>162211</v>
      </c>
      <c r="Z47" s="66">
        <v>162211</v>
      </c>
      <c r="AA47" s="116"/>
      <c r="AB47" s="60">
        <v>162655</v>
      </c>
      <c r="AC47" s="60">
        <v>189054</v>
      </c>
      <c r="AD47" s="60">
        <v>196881</v>
      </c>
      <c r="AE47" s="60">
        <v>159975</v>
      </c>
      <c r="AF47" s="66">
        <v>159975</v>
      </c>
      <c r="AG47" s="153"/>
      <c r="AH47" s="60">
        <v>165530</v>
      </c>
      <c r="AI47" s="60">
        <v>177865</v>
      </c>
      <c r="AJ47" s="46"/>
      <c r="AK47" s="46"/>
      <c r="AL47" s="66"/>
      <c r="AM47" s="116"/>
      <c r="AN47" s="46"/>
      <c r="AO47" s="46"/>
      <c r="AP47" s="46"/>
      <c r="AQ47" s="46"/>
      <c r="AR47" s="66"/>
      <c r="AS47" s="116"/>
      <c r="AT47" s="66"/>
      <c r="AU47" s="116"/>
      <c r="AV47" s="66"/>
    </row>
    <row r="48" spans="1:48" ht="15" customHeight="1">
      <c r="A48" s="43"/>
      <c r="B48" s="140" t="s">
        <v>610</v>
      </c>
      <c r="D48" s="60">
        <v>153105</v>
      </c>
      <c r="E48" s="60">
        <v>176987</v>
      </c>
      <c r="F48" s="60">
        <v>168997</v>
      </c>
      <c r="G48" s="60">
        <v>197019</v>
      </c>
      <c r="H48" s="77">
        <v>197019</v>
      </c>
      <c r="I48" s="20"/>
      <c r="J48" s="60">
        <v>175935</v>
      </c>
      <c r="K48" s="60">
        <v>195645</v>
      </c>
      <c r="L48" s="60">
        <v>214835</v>
      </c>
      <c r="M48" s="60">
        <v>216393</v>
      </c>
      <c r="N48" s="77">
        <v>216393</v>
      </c>
      <c r="O48" s="20"/>
      <c r="P48" s="60">
        <v>216163</v>
      </c>
      <c r="Q48" s="60">
        <v>234571</v>
      </c>
      <c r="R48" s="60">
        <v>251752</v>
      </c>
      <c r="S48" s="60">
        <v>323144</v>
      </c>
      <c r="T48" s="77">
        <v>323144</v>
      </c>
      <c r="U48" s="20"/>
      <c r="V48" s="60">
        <v>366766</v>
      </c>
      <c r="W48" s="60">
        <v>443135</v>
      </c>
      <c r="X48" s="60">
        <v>457595</v>
      </c>
      <c r="Y48" s="60">
        <v>344942</v>
      </c>
      <c r="Z48" s="77">
        <v>344942</v>
      </c>
      <c r="AA48" s="20"/>
      <c r="AB48" s="60">
        <v>289037</v>
      </c>
      <c r="AC48" s="60">
        <v>342841</v>
      </c>
      <c r="AD48" s="60">
        <v>412570</v>
      </c>
      <c r="AE48" s="60">
        <v>387718</v>
      </c>
      <c r="AF48" s="77">
        <v>387718</v>
      </c>
      <c r="AG48" s="150"/>
      <c r="AH48" s="60">
        <v>490945</v>
      </c>
      <c r="AI48" s="60">
        <v>438616</v>
      </c>
      <c r="AJ48" s="46"/>
      <c r="AK48" s="46"/>
      <c r="AL48" s="77"/>
      <c r="AM48" s="20"/>
      <c r="AN48" s="46"/>
      <c r="AO48" s="46"/>
      <c r="AP48" s="46"/>
      <c r="AQ48" s="46"/>
      <c r="AR48" s="77"/>
      <c r="AS48" s="20"/>
      <c r="AT48" s="77"/>
      <c r="AU48" s="20"/>
      <c r="AV48" s="77"/>
    </row>
    <row r="50" spans="1:35" ht="15" customHeight="1">
      <c r="A50" s="44" t="s">
        <v>33</v>
      </c>
      <c r="B50" s="114" t="s">
        <v>611</v>
      </c>
      <c r="D50" s="46"/>
      <c r="E50" s="46"/>
      <c r="F50" s="46"/>
      <c r="G50" s="46"/>
      <c r="H50" s="66"/>
      <c r="I50" s="20"/>
      <c r="J50" s="46"/>
      <c r="K50" s="46"/>
      <c r="L50" s="46"/>
      <c r="M50" s="46"/>
      <c r="N50" s="66"/>
      <c r="O50" s="20"/>
      <c r="P50" s="46"/>
      <c r="Q50" s="46"/>
      <c r="R50" s="46"/>
      <c r="S50" s="46"/>
      <c r="T50" s="66"/>
      <c r="U50" s="20"/>
      <c r="V50" s="46"/>
      <c r="W50" s="46"/>
      <c r="X50" s="46"/>
      <c r="Y50" s="46"/>
      <c r="Z50" s="66"/>
      <c r="AA50" s="20"/>
      <c r="AB50" s="46"/>
      <c r="AC50" s="46"/>
      <c r="AD50" s="46"/>
      <c r="AE50" s="46"/>
      <c r="AF50" s="66"/>
      <c r="AG50" s="150"/>
      <c r="AH50" s="46"/>
      <c r="AI50" s="46"/>
    </row>
    <row r="51" spans="1:35" ht="15" customHeight="1">
      <c r="A51" s="43"/>
      <c r="B51" s="127" t="s">
        <v>612</v>
      </c>
      <c r="D51" s="60">
        <v>941301</v>
      </c>
      <c r="E51" s="60">
        <v>933731</v>
      </c>
      <c r="F51" s="60">
        <v>947448</v>
      </c>
      <c r="G51" s="60">
        <v>1009675</v>
      </c>
      <c r="H51" s="66">
        <v>1009675</v>
      </c>
      <c r="I51" s="20"/>
      <c r="J51" s="60">
        <v>991945</v>
      </c>
      <c r="K51" s="60">
        <v>1004710</v>
      </c>
      <c r="L51" s="60">
        <v>1016449</v>
      </c>
      <c r="M51" s="60">
        <v>1012781</v>
      </c>
      <c r="N51" s="66">
        <v>1012781</v>
      </c>
      <c r="O51" s="20"/>
      <c r="P51" s="60">
        <v>995567</v>
      </c>
      <c r="Q51" s="60">
        <v>997448</v>
      </c>
      <c r="R51" s="60">
        <v>1030331</v>
      </c>
      <c r="S51" s="60">
        <v>1104551</v>
      </c>
      <c r="T51" s="66">
        <v>1104551</v>
      </c>
      <c r="U51" s="20"/>
      <c r="V51" s="60">
        <v>1188322</v>
      </c>
      <c r="W51" s="60">
        <v>1320957</v>
      </c>
      <c r="X51" s="60">
        <v>1535990</v>
      </c>
      <c r="Y51" s="60">
        <v>1611081</v>
      </c>
      <c r="Z51" s="66">
        <v>1611081</v>
      </c>
      <c r="AA51" s="20"/>
      <c r="AB51" s="60">
        <v>1613343</v>
      </c>
      <c r="AC51" s="60">
        <v>1626408</v>
      </c>
      <c r="AD51" s="60">
        <v>1723752</v>
      </c>
      <c r="AE51" s="60">
        <v>1800147</v>
      </c>
      <c r="AF51" s="66">
        <v>1800147</v>
      </c>
      <c r="AG51" s="150"/>
      <c r="AH51" s="60">
        <v>1902553</v>
      </c>
      <c r="AI51" s="60">
        <v>2045367</v>
      </c>
    </row>
    <row r="52" spans="1:35" s="113" customFormat="1" ht="15" customHeight="1">
      <c r="B52" s="127" t="s">
        <v>613</v>
      </c>
      <c r="C52" s="115"/>
      <c r="D52" s="60">
        <v>0</v>
      </c>
      <c r="E52" s="60">
        <v>0</v>
      </c>
      <c r="F52" s="60">
        <v>0</v>
      </c>
      <c r="G52" s="60">
        <v>0</v>
      </c>
      <c r="H52" s="66">
        <v>0</v>
      </c>
      <c r="I52" s="116"/>
      <c r="J52" s="60">
        <v>0</v>
      </c>
      <c r="K52" s="60">
        <v>0</v>
      </c>
      <c r="L52" s="60">
        <v>0</v>
      </c>
      <c r="M52" s="60">
        <v>0</v>
      </c>
      <c r="N52" s="66">
        <v>0</v>
      </c>
      <c r="O52" s="116"/>
      <c r="P52" s="60">
        <v>0</v>
      </c>
      <c r="Q52" s="60">
        <v>0</v>
      </c>
      <c r="R52" s="60">
        <v>0</v>
      </c>
      <c r="S52" s="60">
        <v>0</v>
      </c>
      <c r="T52" s="66">
        <v>0</v>
      </c>
      <c r="U52" s="116"/>
      <c r="V52" s="60">
        <v>0</v>
      </c>
      <c r="W52" s="60">
        <v>0</v>
      </c>
      <c r="X52" s="60">
        <v>0</v>
      </c>
      <c r="Y52" s="60">
        <v>0</v>
      </c>
      <c r="Z52" s="66">
        <v>0</v>
      </c>
      <c r="AA52" s="116"/>
      <c r="AB52" s="60">
        <v>0</v>
      </c>
      <c r="AC52" s="60">
        <v>0</v>
      </c>
      <c r="AD52" s="60">
        <v>0</v>
      </c>
      <c r="AE52" s="60">
        <v>0</v>
      </c>
      <c r="AF52" s="66">
        <v>0</v>
      </c>
      <c r="AG52" s="153"/>
      <c r="AH52" s="60">
        <v>0</v>
      </c>
      <c r="AI52" s="60">
        <v>0</v>
      </c>
    </row>
    <row r="53" spans="1:35" ht="15" customHeight="1">
      <c r="A53" s="43"/>
      <c r="B53" s="127" t="s">
        <v>614</v>
      </c>
      <c r="D53" s="60">
        <v>2466</v>
      </c>
      <c r="E53" s="60">
        <v>562</v>
      </c>
      <c r="F53" s="60">
        <v>584</v>
      </c>
      <c r="G53" s="60">
        <v>0</v>
      </c>
      <c r="H53" s="66">
        <v>0</v>
      </c>
      <c r="I53" s="20"/>
      <c r="J53" s="60">
        <v>0</v>
      </c>
      <c r="K53" s="60">
        <v>0</v>
      </c>
      <c r="L53" s="60">
        <v>0</v>
      </c>
      <c r="M53" s="60">
        <v>0</v>
      </c>
      <c r="N53" s="66">
        <v>0</v>
      </c>
      <c r="O53" s="20"/>
      <c r="P53" s="60">
        <v>0</v>
      </c>
      <c r="Q53" s="60">
        <v>-25</v>
      </c>
      <c r="R53" s="60">
        <v>-88</v>
      </c>
      <c r="S53" s="60">
        <v>-206</v>
      </c>
      <c r="T53" s="66">
        <v>-206</v>
      </c>
      <c r="U53" s="20"/>
      <c r="V53" s="60">
        <v>-359</v>
      </c>
      <c r="W53" s="60">
        <v>-652</v>
      </c>
      <c r="X53" s="60">
        <v>-1102</v>
      </c>
      <c r="Y53" s="60">
        <v>-1498</v>
      </c>
      <c r="Z53" s="66">
        <v>-1498</v>
      </c>
      <c r="AA53" s="20"/>
      <c r="AB53" s="60">
        <v>-2013</v>
      </c>
      <c r="AC53" s="60">
        <v>-2444</v>
      </c>
      <c r="AD53" s="60">
        <v>-2793</v>
      </c>
      <c r="AE53" s="60">
        <v>-3104</v>
      </c>
      <c r="AF53" s="66">
        <v>-3104</v>
      </c>
      <c r="AG53" s="150"/>
      <c r="AH53" s="60">
        <v>-3490</v>
      </c>
      <c r="AI53" s="60">
        <v>6116</v>
      </c>
    </row>
    <row r="54" spans="1:35" s="113" customFormat="1" ht="15" customHeight="1">
      <c r="B54" s="138" t="s">
        <v>615</v>
      </c>
      <c r="C54" s="115"/>
      <c r="D54" s="60">
        <v>943767</v>
      </c>
      <c r="E54" s="60">
        <v>934293</v>
      </c>
      <c r="F54" s="60">
        <v>948032</v>
      </c>
      <c r="G54" s="60">
        <v>1009675</v>
      </c>
      <c r="H54" s="77">
        <v>1009675</v>
      </c>
      <c r="I54" s="116"/>
      <c r="J54" s="60">
        <v>991945</v>
      </c>
      <c r="K54" s="60">
        <v>1004710</v>
      </c>
      <c r="L54" s="60">
        <v>1016449</v>
      </c>
      <c r="M54" s="60">
        <v>1012781</v>
      </c>
      <c r="N54" s="77">
        <v>1012781</v>
      </c>
      <c r="O54" s="116"/>
      <c r="P54" s="60">
        <v>995567</v>
      </c>
      <c r="Q54" s="60">
        <v>997423</v>
      </c>
      <c r="R54" s="60">
        <v>1030243</v>
      </c>
      <c r="S54" s="60">
        <v>1104345</v>
      </c>
      <c r="T54" s="77">
        <v>1104345</v>
      </c>
      <c r="U54" s="116"/>
      <c r="V54" s="60">
        <v>1187963</v>
      </c>
      <c r="W54" s="60">
        <v>1320305</v>
      </c>
      <c r="X54" s="60">
        <v>1534888</v>
      </c>
      <c r="Y54" s="60">
        <v>1609583</v>
      </c>
      <c r="Z54" s="77">
        <v>1609583</v>
      </c>
      <c r="AA54" s="116"/>
      <c r="AB54" s="60">
        <v>1611330</v>
      </c>
      <c r="AC54" s="60">
        <v>1623964</v>
      </c>
      <c r="AD54" s="60">
        <v>1720959</v>
      </c>
      <c r="AE54" s="60">
        <v>1797043</v>
      </c>
      <c r="AF54" s="77">
        <v>1797043</v>
      </c>
      <c r="AG54" s="153"/>
      <c r="AH54" s="60">
        <v>1899063</v>
      </c>
      <c r="AI54" s="60">
        <v>2051483</v>
      </c>
    </row>
    <row r="55" spans="1:35" ht="15" customHeight="1" thickBot="1">
      <c r="A55" s="43"/>
      <c r="B55" s="140" t="s">
        <v>616</v>
      </c>
      <c r="D55" s="60">
        <v>1096872</v>
      </c>
      <c r="E55" s="60">
        <v>1111280</v>
      </c>
      <c r="F55" s="60">
        <v>1117029</v>
      </c>
      <c r="G55" s="60">
        <v>1206694</v>
      </c>
      <c r="H55" s="93">
        <v>1206694</v>
      </c>
      <c r="I55" s="20"/>
      <c r="J55" s="60">
        <v>1167880</v>
      </c>
      <c r="K55" s="60">
        <v>1200355</v>
      </c>
      <c r="L55" s="60">
        <v>1231284</v>
      </c>
      <c r="M55" s="60">
        <v>1229174</v>
      </c>
      <c r="N55" s="93">
        <v>1229174</v>
      </c>
      <c r="O55" s="20"/>
      <c r="P55" s="60">
        <v>1211730</v>
      </c>
      <c r="Q55" s="60">
        <v>1231994</v>
      </c>
      <c r="R55" s="60">
        <v>1281995</v>
      </c>
      <c r="S55" s="60">
        <v>1427489</v>
      </c>
      <c r="T55" s="93">
        <v>1427489</v>
      </c>
      <c r="U55" s="20"/>
      <c r="V55" s="60">
        <v>1554729</v>
      </c>
      <c r="W55" s="60">
        <v>1763440</v>
      </c>
      <c r="X55" s="60">
        <v>1992483</v>
      </c>
      <c r="Y55" s="60">
        <v>1954525</v>
      </c>
      <c r="Z55" s="93">
        <v>1954525</v>
      </c>
      <c r="AA55" s="20"/>
      <c r="AB55" s="60">
        <v>1900367</v>
      </c>
      <c r="AC55" s="60">
        <v>1966805</v>
      </c>
      <c r="AD55" s="60">
        <v>2133529</v>
      </c>
      <c r="AE55" s="60">
        <v>2184761</v>
      </c>
      <c r="AF55" s="93">
        <v>2184761</v>
      </c>
      <c r="AG55" s="150"/>
      <c r="AH55" s="60">
        <v>2390008</v>
      </c>
      <c r="AI55" s="60">
        <v>2490099</v>
      </c>
    </row>
    <row r="56" spans="1:35" ht="15" customHeight="1" thickTop="1"/>
    <row r="57" spans="1:35" ht="15" customHeight="1" thickBot="1">
      <c r="B57" s="114" t="s">
        <v>617</v>
      </c>
      <c r="D57" s="60">
        <v>0</v>
      </c>
      <c r="E57" s="60">
        <v>0</v>
      </c>
      <c r="F57" s="60">
        <v>0</v>
      </c>
      <c r="G57" s="60">
        <v>0</v>
      </c>
      <c r="H57" s="93">
        <v>0</v>
      </c>
      <c r="I57" s="20"/>
      <c r="J57" s="60">
        <v>0</v>
      </c>
      <c r="K57" s="60">
        <v>0</v>
      </c>
      <c r="L57" s="60">
        <v>0</v>
      </c>
      <c r="M57" s="60">
        <v>0</v>
      </c>
      <c r="N57" s="93">
        <v>0</v>
      </c>
      <c r="O57" s="20"/>
      <c r="P57" s="60">
        <v>0</v>
      </c>
      <c r="Q57" s="60">
        <v>0</v>
      </c>
      <c r="R57" s="60">
        <v>0</v>
      </c>
      <c r="S57" s="60">
        <v>0</v>
      </c>
      <c r="T57" s="93">
        <v>0</v>
      </c>
      <c r="U57" s="20"/>
      <c r="V57" s="60">
        <v>0</v>
      </c>
      <c r="W57" s="60">
        <v>0</v>
      </c>
      <c r="X57" s="60">
        <v>0</v>
      </c>
      <c r="Y57" s="60">
        <v>0</v>
      </c>
      <c r="Z57" s="93">
        <v>0</v>
      </c>
      <c r="AA57" s="20"/>
      <c r="AB57" s="60">
        <v>0</v>
      </c>
      <c r="AC57" s="60">
        <v>0</v>
      </c>
      <c r="AD57" s="60">
        <v>0</v>
      </c>
      <c r="AE57" s="60">
        <v>0</v>
      </c>
      <c r="AF57" s="93">
        <v>0</v>
      </c>
      <c r="AG57" s="150"/>
      <c r="AH57" s="60">
        <v>0</v>
      </c>
      <c r="AI57" s="60">
        <v>0</v>
      </c>
    </row>
    <row r="58" spans="1:35" ht="15" customHeight="1" thickTop="1"/>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0"/>
  <sheetViews>
    <sheetView showGridLines="0" topLeftCell="A43" zoomScaleNormal="100" workbookViewId="0">
      <selection activeCell="G49" sqref="G49"/>
    </sheetView>
  </sheetViews>
  <sheetFormatPr defaultColWidth="9" defaultRowHeight="15" customHeight="1" outlineLevelCol="1"/>
  <cols>
    <col min="1" max="1" width="2.125" style="41" customWidth="1"/>
    <col min="2" max="2" width="50.625" style="41" customWidth="1"/>
    <col min="3" max="3" width="3.37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9" width="9.625" style="41" customWidth="1" outlineLevel="1"/>
    <col min="20" max="20" width="11.625" style="41" customWidth="1"/>
    <col min="21" max="21" width="1.625" style="17" customWidth="1"/>
    <col min="22" max="25" width="9.625" style="41" customWidth="1" outlineLevel="1"/>
    <col min="26" max="26" width="11.625" style="41" customWidth="1"/>
    <col min="27" max="27" width="1.625" style="17" customWidth="1"/>
    <col min="28" max="31" width="9.625" style="41" customWidth="1" outlineLevel="1"/>
    <col min="32" max="32" width="11.625" style="41" customWidth="1"/>
    <col min="33" max="33" width="1.625" style="17" customWidth="1"/>
    <col min="34"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51" width="1.625" style="41" customWidth="1"/>
    <col min="52" max="16384" width="9" style="41"/>
  </cols>
  <sheetData>
    <row r="1" spans="1:50" s="582" customFormat="1" ht="15" customHeight="1"/>
    <row r="2" spans="1:50" s="582" customFormat="1" ht="15" customHeight="1"/>
    <row r="3" spans="1:50" s="582" customFormat="1" ht="15" customHeight="1"/>
    <row r="4" spans="1:50" s="582" customFormat="1" ht="15" customHeight="1"/>
    <row r="5" spans="1:50" s="578" customFormat="1" ht="3.95" customHeight="1">
      <c r="C5" s="579"/>
      <c r="I5" s="579"/>
      <c r="O5" s="579"/>
      <c r="U5" s="579"/>
      <c r="AA5" s="579"/>
      <c r="AG5" s="579"/>
      <c r="AM5" s="579"/>
      <c r="AS5" s="579"/>
      <c r="AU5" s="579"/>
      <c r="AV5" s="580"/>
    </row>
    <row r="7" spans="1:50" ht="15" customHeight="1">
      <c r="A7" s="44" t="s">
        <v>33</v>
      </c>
      <c r="B7" s="161" t="s">
        <v>419</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743">
        <v>2020</v>
      </c>
      <c r="E8" s="743"/>
      <c r="F8" s="743"/>
      <c r="G8" s="743"/>
      <c r="H8" s="743"/>
      <c r="I8" s="169"/>
      <c r="J8" s="743">
        <v>2021</v>
      </c>
      <c r="K8" s="743"/>
      <c r="L8" s="743"/>
      <c r="M8" s="743"/>
      <c r="N8" s="743"/>
      <c r="O8" s="169"/>
      <c r="P8" s="743">
        <v>2022</v>
      </c>
      <c r="Q8" s="743"/>
      <c r="R8" s="743"/>
      <c r="S8" s="743"/>
      <c r="T8" s="743"/>
      <c r="U8" s="169"/>
      <c r="V8" s="743">
        <v>2023</v>
      </c>
      <c r="W8" s="743"/>
      <c r="X8" s="743"/>
      <c r="Y8" s="743"/>
      <c r="Z8" s="743"/>
      <c r="AA8" s="169"/>
      <c r="AB8" s="743">
        <v>2024</v>
      </c>
      <c r="AC8" s="743"/>
      <c r="AD8" s="743"/>
      <c r="AE8" s="743"/>
      <c r="AF8" s="743"/>
      <c r="AG8" s="169"/>
      <c r="AH8" s="742">
        <v>2025</v>
      </c>
      <c r="AI8" s="742"/>
      <c r="AJ8" s="742"/>
      <c r="AK8" s="742"/>
      <c r="AL8" s="742"/>
      <c r="AM8" s="169"/>
      <c r="AN8" s="742">
        <v>2026</v>
      </c>
      <c r="AO8" s="742"/>
      <c r="AP8" s="742"/>
      <c r="AQ8" s="742"/>
      <c r="AR8" s="742"/>
      <c r="AS8" s="171"/>
      <c r="AT8" s="166">
        <v>2027</v>
      </c>
      <c r="AU8" s="167"/>
      <c r="AV8" s="166">
        <v>2028</v>
      </c>
      <c r="AW8" s="167"/>
      <c r="AX8" s="166">
        <v>2029</v>
      </c>
    </row>
    <row r="9" spans="1:50" ht="15" customHeight="1">
      <c r="B9" s="164"/>
      <c r="C9" s="18"/>
      <c r="D9" s="168" t="s">
        <v>202</v>
      </c>
      <c r="E9" s="168" t="s">
        <v>203</v>
      </c>
      <c r="F9" s="168" t="s">
        <v>204</v>
      </c>
      <c r="G9" s="168" t="s">
        <v>205</v>
      </c>
      <c r="H9" s="168" t="s">
        <v>206</v>
      </c>
      <c r="I9" s="18"/>
      <c r="J9" s="168" t="s">
        <v>202</v>
      </c>
      <c r="K9" s="168" t="s">
        <v>203</v>
      </c>
      <c r="L9" s="168" t="s">
        <v>204</v>
      </c>
      <c r="M9" s="168" t="s">
        <v>205</v>
      </c>
      <c r="N9" s="168" t="s">
        <v>206</v>
      </c>
      <c r="O9" s="165"/>
      <c r="P9" s="168" t="s">
        <v>202</v>
      </c>
      <c r="Q9" s="168" t="s">
        <v>203</v>
      </c>
      <c r="R9" s="168" t="s">
        <v>204</v>
      </c>
      <c r="S9" s="168" t="s">
        <v>205</v>
      </c>
      <c r="T9" s="168" t="s">
        <v>206</v>
      </c>
      <c r="U9" s="165"/>
      <c r="V9" s="168" t="s">
        <v>202</v>
      </c>
      <c r="W9" s="168" t="s">
        <v>203</v>
      </c>
      <c r="X9" s="168" t="s">
        <v>204</v>
      </c>
      <c r="Y9" s="168" t="s">
        <v>205</v>
      </c>
      <c r="Z9" s="168" t="s">
        <v>206</v>
      </c>
      <c r="AA9" s="165"/>
      <c r="AB9" s="168" t="s">
        <v>202</v>
      </c>
      <c r="AC9" s="168" t="s">
        <v>203</v>
      </c>
      <c r="AD9" s="168" t="s">
        <v>204</v>
      </c>
      <c r="AE9" s="168" t="s">
        <v>205</v>
      </c>
      <c r="AF9" s="168" t="s">
        <v>206</v>
      </c>
      <c r="AG9" s="165"/>
      <c r="AH9" s="168" t="s">
        <v>202</v>
      </c>
      <c r="AI9" s="168" t="s">
        <v>203</v>
      </c>
      <c r="AJ9" s="168" t="s">
        <v>204</v>
      </c>
      <c r="AK9" s="168" t="s">
        <v>205</v>
      </c>
      <c r="AL9" s="168" t="s">
        <v>206</v>
      </c>
      <c r="AM9" s="165"/>
      <c r="AN9" s="168" t="s">
        <v>202</v>
      </c>
      <c r="AO9" s="168" t="s">
        <v>203</v>
      </c>
      <c r="AP9" s="168" t="s">
        <v>204</v>
      </c>
      <c r="AQ9" s="168" t="s">
        <v>205</v>
      </c>
      <c r="AR9" s="168" t="s">
        <v>206</v>
      </c>
      <c r="AS9" s="165"/>
      <c r="AT9" s="168" t="s">
        <v>206</v>
      </c>
      <c r="AU9" s="165"/>
      <c r="AV9" s="168" t="s">
        <v>206</v>
      </c>
      <c r="AW9" s="165"/>
      <c r="AX9" s="168" t="s">
        <v>206</v>
      </c>
    </row>
    <row r="10" spans="1:50"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s="54" customFormat="1" ht="15" customHeight="1">
      <c r="B12" s="154" t="s">
        <v>618</v>
      </c>
      <c r="C12" s="17"/>
      <c r="D12" s="60">
        <v>69247</v>
      </c>
      <c r="E12" s="46">
        <v>46386</v>
      </c>
      <c r="F12" s="46">
        <v>11248</v>
      </c>
      <c r="G12" s="46">
        <v>67753</v>
      </c>
      <c r="H12" s="57">
        <v>78130</v>
      </c>
      <c r="I12" s="48"/>
      <c r="J12" s="46">
        <v>78130</v>
      </c>
      <c r="K12" s="46">
        <v>42809</v>
      </c>
      <c r="L12" s="46">
        <v>47308</v>
      </c>
      <c r="M12" s="46">
        <v>52917</v>
      </c>
      <c r="N12" s="57">
        <v>57352</v>
      </c>
      <c r="O12" s="47"/>
      <c r="P12" s="46">
        <v>57352</v>
      </c>
      <c r="Q12" s="46">
        <v>16684</v>
      </c>
      <c r="R12" s="46">
        <v>15484</v>
      </c>
      <c r="S12" s="46">
        <v>15589</v>
      </c>
      <c r="T12" s="57">
        <v>59084</v>
      </c>
      <c r="U12" s="47"/>
      <c r="V12" s="46">
        <v>59084</v>
      </c>
      <c r="W12" s="46">
        <v>136021</v>
      </c>
      <c r="X12" s="46">
        <v>178635</v>
      </c>
      <c r="Y12" s="46">
        <v>221614</v>
      </c>
      <c r="Z12" s="57">
        <v>292824</v>
      </c>
      <c r="AA12" s="47"/>
      <c r="AB12" s="46">
        <v>292824</v>
      </c>
      <c r="AC12" s="46">
        <v>360343</v>
      </c>
      <c r="AD12" s="46">
        <v>361783</v>
      </c>
      <c r="AE12" s="46">
        <v>367123</v>
      </c>
      <c r="AF12" s="57">
        <v>237878</v>
      </c>
      <c r="AG12" s="49"/>
      <c r="AH12" s="46">
        <v>237878</v>
      </c>
      <c r="AI12" s="46">
        <v>181667</v>
      </c>
      <c r="AJ12" s="46"/>
      <c r="AK12" s="46"/>
      <c r="AL12" s="58"/>
      <c r="AM12" s="53"/>
      <c r="AN12" s="50"/>
      <c r="AO12" s="50"/>
      <c r="AP12" s="50"/>
      <c r="AQ12" s="50"/>
      <c r="AR12" s="58"/>
      <c r="AS12" s="53"/>
      <c r="AT12" s="58"/>
      <c r="AU12" s="53"/>
      <c r="AV12" s="58"/>
      <c r="AX12" s="58"/>
    </row>
    <row r="13" spans="1:50" s="54" customFormat="1" ht="15" customHeight="1">
      <c r="A13" s="43"/>
      <c r="B13" s="154"/>
      <c r="C13" s="17"/>
      <c r="D13" s="46"/>
      <c r="E13" s="46"/>
      <c r="F13" s="46"/>
      <c r="G13" s="46"/>
      <c r="H13" s="57"/>
      <c r="I13" s="48"/>
      <c r="J13" s="46"/>
      <c r="K13" s="46"/>
      <c r="L13" s="46"/>
      <c r="M13" s="46"/>
      <c r="N13" s="57"/>
      <c r="O13" s="47"/>
      <c r="P13" s="46"/>
      <c r="Q13" s="46"/>
      <c r="R13" s="46"/>
      <c r="S13" s="46"/>
      <c r="T13" s="57"/>
      <c r="U13" s="47"/>
      <c r="V13" s="46"/>
      <c r="W13" s="46"/>
      <c r="X13" s="46"/>
      <c r="Y13" s="46"/>
      <c r="Z13" s="57"/>
      <c r="AA13" s="47"/>
      <c r="AB13" s="46"/>
      <c r="AC13" s="46"/>
      <c r="AD13" s="46"/>
      <c r="AE13" s="46"/>
      <c r="AF13" s="57"/>
      <c r="AG13" s="49"/>
      <c r="AH13" s="46"/>
      <c r="AI13" s="46"/>
      <c r="AJ13" s="50"/>
      <c r="AK13" s="50"/>
      <c r="AL13" s="58"/>
      <c r="AM13" s="53"/>
      <c r="AN13" s="50"/>
      <c r="AO13" s="50"/>
      <c r="AP13" s="50"/>
      <c r="AQ13" s="50"/>
      <c r="AR13" s="58"/>
      <c r="AS13" s="53"/>
      <c r="AT13" s="58"/>
      <c r="AU13" s="53"/>
      <c r="AV13" s="58"/>
      <c r="AX13" s="58"/>
    </row>
    <row r="14" spans="1:50" s="54" customFormat="1" ht="15" customHeight="1">
      <c r="A14" s="44" t="s">
        <v>33</v>
      </c>
      <c r="B14" s="154" t="s">
        <v>619</v>
      </c>
      <c r="C14" s="17"/>
      <c r="D14" s="46"/>
      <c r="E14" s="46"/>
      <c r="F14" s="46"/>
      <c r="G14" s="46"/>
      <c r="H14" s="66"/>
      <c r="I14" s="48"/>
      <c r="J14" s="46"/>
      <c r="K14" s="46"/>
      <c r="L14" s="46"/>
      <c r="M14" s="46"/>
      <c r="N14" s="66"/>
      <c r="O14" s="47"/>
      <c r="P14" s="46"/>
      <c r="Q14" s="46"/>
      <c r="R14" s="46"/>
      <c r="S14" s="46"/>
      <c r="T14" s="66"/>
      <c r="U14" s="47"/>
      <c r="V14" s="46"/>
      <c r="W14" s="46"/>
      <c r="X14" s="46"/>
      <c r="Y14" s="46"/>
      <c r="Z14" s="66"/>
      <c r="AA14" s="47"/>
      <c r="AB14" s="46"/>
      <c r="AC14" s="46"/>
      <c r="AD14" s="46"/>
      <c r="AE14" s="46"/>
      <c r="AF14" s="66"/>
      <c r="AG14" s="49"/>
      <c r="AH14" s="46"/>
      <c r="AI14" s="46"/>
      <c r="AJ14" s="50"/>
      <c r="AK14" s="50"/>
      <c r="AL14" s="68"/>
      <c r="AM14" s="53"/>
      <c r="AN14" s="50"/>
      <c r="AO14" s="50"/>
      <c r="AP14" s="50"/>
      <c r="AQ14" s="50"/>
      <c r="AR14" s="68"/>
      <c r="AS14" s="53"/>
      <c r="AT14" s="68"/>
      <c r="AU14" s="53"/>
      <c r="AV14" s="68"/>
      <c r="AX14" s="68"/>
    </row>
    <row r="15" spans="1:50" s="54" customFormat="1" ht="15" customHeight="1">
      <c r="A15" s="43"/>
      <c r="B15" s="155" t="s">
        <v>501</v>
      </c>
      <c r="C15" s="17"/>
      <c r="D15" s="60">
        <v>-45760</v>
      </c>
      <c r="E15" s="60">
        <v>-10061</v>
      </c>
      <c r="F15" s="60">
        <v>13749</v>
      </c>
      <c r="G15" s="60">
        <v>60463</v>
      </c>
      <c r="H15" s="57">
        <v>18391</v>
      </c>
      <c r="I15" s="48"/>
      <c r="J15" s="60">
        <v>-19399</v>
      </c>
      <c r="K15" s="60">
        <v>12155</v>
      </c>
      <c r="L15" s="60">
        <v>13548</v>
      </c>
      <c r="M15" s="60">
        <v>-4244</v>
      </c>
      <c r="N15" s="57">
        <v>2060</v>
      </c>
      <c r="O15" s="47"/>
      <c r="P15" s="60">
        <v>-18026</v>
      </c>
      <c r="Q15" s="60">
        <v>1173</v>
      </c>
      <c r="R15" s="60">
        <v>39517</v>
      </c>
      <c r="S15" s="60">
        <v>109986</v>
      </c>
      <c r="T15" s="57">
        <v>132650</v>
      </c>
      <c r="U15" s="47"/>
      <c r="V15" s="60">
        <v>125287</v>
      </c>
      <c r="W15" s="60">
        <v>198587</v>
      </c>
      <c r="X15" s="60">
        <v>323219</v>
      </c>
      <c r="Y15" s="60">
        <v>110931</v>
      </c>
      <c r="Z15" s="57">
        <v>758024</v>
      </c>
      <c r="AA15" s="47"/>
      <c r="AB15" s="60">
        <v>926</v>
      </c>
      <c r="AC15" s="60">
        <v>17009</v>
      </c>
      <c r="AD15" s="60">
        <v>146712</v>
      </c>
      <c r="AE15" s="60">
        <v>113241</v>
      </c>
      <c r="AF15" s="57">
        <v>277888</v>
      </c>
      <c r="AG15" s="49"/>
      <c r="AH15" s="60">
        <v>149976</v>
      </c>
      <c r="AI15" s="60">
        <v>219064</v>
      </c>
      <c r="AJ15" s="50"/>
      <c r="AK15" s="50"/>
      <c r="AL15" s="58"/>
      <c r="AM15" s="53"/>
      <c r="AN15" s="50"/>
      <c r="AO15" s="50"/>
      <c r="AP15" s="50"/>
      <c r="AQ15" s="50"/>
      <c r="AR15" s="58"/>
      <c r="AS15" s="53"/>
      <c r="AT15" s="58"/>
      <c r="AU15" s="53"/>
      <c r="AV15" s="58"/>
      <c r="AX15" s="58"/>
    </row>
    <row r="16" spans="1:50" s="54" customFormat="1" ht="15" customHeight="1">
      <c r="A16" s="43"/>
      <c r="B16" s="155" t="s">
        <v>620</v>
      </c>
      <c r="C16" s="17"/>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8"/>
      <c r="AM16" s="53"/>
      <c r="AN16" s="50"/>
      <c r="AO16" s="50"/>
      <c r="AP16" s="50"/>
      <c r="AQ16" s="50"/>
      <c r="AR16" s="58"/>
      <c r="AS16" s="53"/>
      <c r="AT16" s="58"/>
      <c r="AU16" s="53"/>
      <c r="AV16" s="58"/>
      <c r="AX16" s="58"/>
    </row>
    <row r="17" spans="1:50" s="54" customFormat="1" ht="15" customHeight="1">
      <c r="A17" s="43"/>
      <c r="B17" s="156" t="s">
        <v>554</v>
      </c>
      <c r="C17" s="17"/>
      <c r="D17" s="60">
        <v>13620</v>
      </c>
      <c r="E17" s="60">
        <v>13951</v>
      </c>
      <c r="F17" s="60">
        <v>15340</v>
      </c>
      <c r="G17" s="60">
        <v>15192</v>
      </c>
      <c r="H17" s="57">
        <v>58103</v>
      </c>
      <c r="I17" s="48"/>
      <c r="J17" s="60">
        <v>14744</v>
      </c>
      <c r="K17" s="60">
        <v>14561</v>
      </c>
      <c r="L17" s="60">
        <v>15086</v>
      </c>
      <c r="M17" s="60">
        <v>15086</v>
      </c>
      <c r="N17" s="57">
        <v>59477</v>
      </c>
      <c r="O17" s="47"/>
      <c r="P17" s="60">
        <v>17389</v>
      </c>
      <c r="Q17" s="60">
        <v>16580</v>
      </c>
      <c r="R17" s="60">
        <v>17027</v>
      </c>
      <c r="S17" s="60">
        <v>17399</v>
      </c>
      <c r="T17" s="57">
        <v>68395</v>
      </c>
      <c r="U17" s="47"/>
      <c r="V17" s="60">
        <v>17312</v>
      </c>
      <c r="W17" s="60">
        <v>17417</v>
      </c>
      <c r="X17" s="60">
        <v>18469</v>
      </c>
      <c r="Y17" s="60">
        <v>19036</v>
      </c>
      <c r="Z17" s="57">
        <v>72234</v>
      </c>
      <c r="AA17" s="47"/>
      <c r="AB17" s="60">
        <v>19340</v>
      </c>
      <c r="AC17" s="60">
        <v>20054</v>
      </c>
      <c r="AD17" s="60">
        <v>19757</v>
      </c>
      <c r="AE17" s="60">
        <v>21090</v>
      </c>
      <c r="AF17" s="57">
        <v>80241</v>
      </c>
      <c r="AG17" s="49"/>
      <c r="AH17" s="60">
        <v>22048</v>
      </c>
      <c r="AI17" s="60">
        <v>23770</v>
      </c>
      <c r="AJ17" s="50">
        <v>0</v>
      </c>
      <c r="AK17" s="50">
        <v>0</v>
      </c>
      <c r="AL17" s="57">
        <v>45818</v>
      </c>
      <c r="AM17" s="53"/>
      <c r="AN17" s="50">
        <v>0</v>
      </c>
      <c r="AO17" s="50">
        <v>0</v>
      </c>
      <c r="AP17" s="50">
        <v>0</v>
      </c>
      <c r="AQ17" s="50">
        <v>0</v>
      </c>
      <c r="AR17" s="57">
        <v>0</v>
      </c>
      <c r="AS17" s="53"/>
      <c r="AT17" s="58"/>
      <c r="AU17" s="53"/>
      <c r="AV17" s="58"/>
      <c r="AX17" s="58"/>
    </row>
    <row r="18" spans="1:50" s="54" customFormat="1" ht="15" customHeight="1">
      <c r="A18" s="43"/>
      <c r="B18" s="156" t="s">
        <v>621</v>
      </c>
      <c r="C18" s="17"/>
      <c r="D18" s="60">
        <v>0</v>
      </c>
      <c r="E18" s="60">
        <v>0</v>
      </c>
      <c r="F18" s="60">
        <v>0</v>
      </c>
      <c r="G18" s="60">
        <v>0</v>
      </c>
      <c r="H18" s="57">
        <v>3617</v>
      </c>
      <c r="I18" s="48"/>
      <c r="J18" s="60">
        <v>0</v>
      </c>
      <c r="K18" s="60">
        <v>0</v>
      </c>
      <c r="L18" s="60">
        <v>0</v>
      </c>
      <c r="M18" s="60">
        <v>0</v>
      </c>
      <c r="N18" s="57">
        <v>3778</v>
      </c>
      <c r="O18" s="47"/>
      <c r="P18" s="60">
        <v>0</v>
      </c>
      <c r="Q18" s="60">
        <v>0</v>
      </c>
      <c r="R18" s="60">
        <v>0</v>
      </c>
      <c r="S18" s="60">
        <v>0</v>
      </c>
      <c r="T18" s="57">
        <v>4063</v>
      </c>
      <c r="U18" s="47"/>
      <c r="V18" s="60">
        <v>0</v>
      </c>
      <c r="W18" s="60">
        <v>0</v>
      </c>
      <c r="X18" s="60">
        <v>0</v>
      </c>
      <c r="Y18" s="60">
        <v>0</v>
      </c>
      <c r="Z18" s="57">
        <v>4205</v>
      </c>
      <c r="AA18" s="47"/>
      <c r="AB18" s="60">
        <v>0</v>
      </c>
      <c r="AC18" s="60">
        <v>0</v>
      </c>
      <c r="AD18" s="60">
        <v>0</v>
      </c>
      <c r="AE18" s="60">
        <v>0</v>
      </c>
      <c r="AF18" s="57">
        <v>4358</v>
      </c>
      <c r="AG18" s="49"/>
      <c r="AH18" s="60">
        <v>0</v>
      </c>
      <c r="AI18" s="60">
        <v>0</v>
      </c>
      <c r="AJ18" s="50">
        <v>0</v>
      </c>
      <c r="AK18" s="50">
        <v>0</v>
      </c>
      <c r="AL18" s="57">
        <v>0</v>
      </c>
      <c r="AM18" s="53"/>
      <c r="AN18" s="50">
        <v>0</v>
      </c>
      <c r="AO18" s="50">
        <v>0</v>
      </c>
      <c r="AP18" s="50">
        <v>0</v>
      </c>
      <c r="AQ18" s="50">
        <v>0</v>
      </c>
      <c r="AR18" s="57">
        <v>0</v>
      </c>
      <c r="AS18" s="53"/>
      <c r="AT18" s="58"/>
      <c r="AU18" s="53"/>
      <c r="AV18" s="58"/>
      <c r="AX18" s="58"/>
    </row>
    <row r="19" spans="1:50" s="54" customFormat="1" ht="15" customHeight="1">
      <c r="A19" s="113"/>
      <c r="B19" s="156" t="s">
        <v>98</v>
      </c>
      <c r="C19" s="115"/>
      <c r="D19" s="60">
        <v>-28538</v>
      </c>
      <c r="E19" s="60">
        <v>-17484</v>
      </c>
      <c r="F19" s="60">
        <v>14843</v>
      </c>
      <c r="G19" s="60">
        <v>35408</v>
      </c>
      <c r="H19" s="57">
        <v>24554</v>
      </c>
      <c r="I19" s="48"/>
      <c r="J19" s="60">
        <v>-10145</v>
      </c>
      <c r="K19" s="60">
        <v>-22567</v>
      </c>
      <c r="L19" s="60">
        <v>-3254</v>
      </c>
      <c r="M19" s="60">
        <v>565</v>
      </c>
      <c r="N19" s="57">
        <v>30657</v>
      </c>
      <c r="O19" s="48"/>
      <c r="P19" s="60">
        <v>-23475</v>
      </c>
      <c r="Q19" s="60">
        <v>-9133</v>
      </c>
      <c r="R19" s="60">
        <v>-20228</v>
      </c>
      <c r="S19" s="60">
        <v>57092</v>
      </c>
      <c r="T19" s="57">
        <v>4256</v>
      </c>
      <c r="U19" s="48"/>
      <c r="V19" s="60">
        <v>30213</v>
      </c>
      <c r="W19" s="60">
        <v>-44029</v>
      </c>
      <c r="X19" s="60">
        <v>20034</v>
      </c>
      <c r="Y19" s="60">
        <v>26534</v>
      </c>
      <c r="Z19" s="57">
        <v>25889</v>
      </c>
      <c r="AA19" s="51"/>
      <c r="AB19" s="60">
        <v>3419</v>
      </c>
      <c r="AC19" s="60">
        <v>12904</v>
      </c>
      <c r="AD19" s="60">
        <v>-2517</v>
      </c>
      <c r="AE19" s="60">
        <v>-22637</v>
      </c>
      <c r="AF19" s="57">
        <v>-8881</v>
      </c>
      <c r="AG19" s="49"/>
      <c r="AH19" s="60">
        <v>-54572</v>
      </c>
      <c r="AI19" s="60">
        <v>-120135</v>
      </c>
      <c r="AJ19" s="50"/>
      <c r="AK19" s="50"/>
      <c r="AL19" s="58"/>
      <c r="AM19" s="69"/>
      <c r="AN19" s="50"/>
      <c r="AO19" s="50"/>
      <c r="AP19" s="50"/>
      <c r="AQ19" s="50"/>
      <c r="AR19" s="58"/>
      <c r="AS19" s="69"/>
      <c r="AT19" s="58"/>
      <c r="AU19" s="69"/>
      <c r="AV19" s="58"/>
      <c r="AX19" s="58"/>
    </row>
    <row r="20" spans="1:50" s="54" customFormat="1" ht="15" customHeight="1">
      <c r="A20" s="43"/>
      <c r="B20" s="155" t="s">
        <v>622</v>
      </c>
      <c r="C20" s="17"/>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72"/>
      <c r="AN20" s="50"/>
      <c r="AO20" s="50"/>
      <c r="AP20" s="50"/>
      <c r="AQ20" s="50"/>
      <c r="AR20" s="68"/>
      <c r="AS20" s="72"/>
      <c r="AT20" s="68"/>
      <c r="AU20" s="72"/>
      <c r="AV20" s="68"/>
      <c r="AX20" s="68"/>
    </row>
    <row r="21" spans="1:50" s="54" customFormat="1" ht="15" customHeight="1">
      <c r="A21" s="113"/>
      <c r="B21" s="156" t="s">
        <v>588</v>
      </c>
      <c r="C21" s="115"/>
      <c r="D21" s="60">
        <v>0</v>
      </c>
      <c r="E21" s="60">
        <v>0</v>
      </c>
      <c r="F21" s="60">
        <v>0</v>
      </c>
      <c r="G21" s="60">
        <v>0</v>
      </c>
      <c r="H21" s="66">
        <v>-28300</v>
      </c>
      <c r="I21" s="48"/>
      <c r="J21" s="60">
        <v>0</v>
      </c>
      <c r="K21" s="60">
        <v>0</v>
      </c>
      <c r="L21" s="60">
        <v>0</v>
      </c>
      <c r="M21" s="60">
        <v>0</v>
      </c>
      <c r="N21" s="66">
        <v>-33487</v>
      </c>
      <c r="O21" s="48"/>
      <c r="P21" s="60">
        <v>0</v>
      </c>
      <c r="Q21" s="60">
        <v>0</v>
      </c>
      <c r="R21" s="60">
        <v>0</v>
      </c>
      <c r="S21" s="60">
        <v>0</v>
      </c>
      <c r="T21" s="66">
        <v>-97722</v>
      </c>
      <c r="U21" s="48"/>
      <c r="V21" s="60">
        <v>0</v>
      </c>
      <c r="W21" s="60">
        <v>0</v>
      </c>
      <c r="X21" s="60">
        <v>0</v>
      </c>
      <c r="Y21" s="60">
        <v>0</v>
      </c>
      <c r="Z21" s="66">
        <v>30816</v>
      </c>
      <c r="AA21" s="51"/>
      <c r="AB21" s="60">
        <v>0</v>
      </c>
      <c r="AC21" s="60">
        <v>0</v>
      </c>
      <c r="AD21" s="60">
        <v>0</v>
      </c>
      <c r="AE21" s="60">
        <v>0</v>
      </c>
      <c r="AF21" s="66">
        <v>-27570</v>
      </c>
      <c r="AG21" s="49"/>
      <c r="AH21" s="60">
        <v>0</v>
      </c>
      <c r="AI21" s="60">
        <v>0</v>
      </c>
      <c r="AJ21" s="50">
        <v>307292</v>
      </c>
      <c r="AK21" s="50">
        <v>0</v>
      </c>
      <c r="AL21" s="66">
        <v>307292</v>
      </c>
      <c r="AM21" s="72"/>
      <c r="AN21" s="50">
        <v>0</v>
      </c>
      <c r="AO21" s="50">
        <v>0</v>
      </c>
      <c r="AP21" s="50">
        <v>0</v>
      </c>
      <c r="AQ21" s="50">
        <v>0</v>
      </c>
      <c r="AR21" s="66">
        <v>0</v>
      </c>
      <c r="AS21" s="72"/>
      <c r="AT21" s="68"/>
      <c r="AU21" s="72"/>
      <c r="AV21" s="68"/>
      <c r="AX21" s="68"/>
    </row>
    <row r="22" spans="1:50" s="54" customFormat="1" ht="15" customHeight="1">
      <c r="A22" s="43"/>
      <c r="B22" s="156" t="s">
        <v>623</v>
      </c>
      <c r="C22" s="17"/>
      <c r="D22" s="60">
        <v>0</v>
      </c>
      <c r="E22" s="60">
        <v>0</v>
      </c>
      <c r="F22" s="60">
        <v>0</v>
      </c>
      <c r="G22" s="60">
        <v>0</v>
      </c>
      <c r="H22" s="66">
        <v>-9704</v>
      </c>
      <c r="I22" s="48"/>
      <c r="J22" s="60">
        <v>0</v>
      </c>
      <c r="K22" s="60">
        <v>0</v>
      </c>
      <c r="L22" s="60">
        <v>0</v>
      </c>
      <c r="M22" s="60">
        <v>0</v>
      </c>
      <c r="N22" s="66">
        <v>-31159</v>
      </c>
      <c r="O22" s="48"/>
      <c r="P22" s="60">
        <v>0</v>
      </c>
      <c r="Q22" s="60">
        <v>0</v>
      </c>
      <c r="R22" s="60">
        <v>0</v>
      </c>
      <c r="S22" s="60">
        <v>0</v>
      </c>
      <c r="T22" s="66">
        <v>-36152</v>
      </c>
      <c r="U22" s="48"/>
      <c r="V22" s="60">
        <v>0</v>
      </c>
      <c r="W22" s="60">
        <v>0</v>
      </c>
      <c r="X22" s="60">
        <v>0</v>
      </c>
      <c r="Y22" s="60">
        <v>0</v>
      </c>
      <c r="Z22" s="66">
        <v>-21102</v>
      </c>
      <c r="AA22" s="51"/>
      <c r="AB22" s="60">
        <v>0</v>
      </c>
      <c r="AC22" s="60">
        <v>0</v>
      </c>
      <c r="AD22" s="60">
        <v>0</v>
      </c>
      <c r="AE22" s="60">
        <v>0</v>
      </c>
      <c r="AF22" s="66">
        <v>28800</v>
      </c>
      <c r="AG22" s="49"/>
      <c r="AH22" s="60">
        <v>0</v>
      </c>
      <c r="AI22" s="60">
        <v>0</v>
      </c>
      <c r="AJ22" s="50">
        <v>299365</v>
      </c>
      <c r="AK22" s="50">
        <v>0</v>
      </c>
      <c r="AL22" s="66">
        <v>299365</v>
      </c>
      <c r="AM22" s="72"/>
      <c r="AN22" s="50">
        <v>0</v>
      </c>
      <c r="AO22" s="50">
        <v>0</v>
      </c>
      <c r="AP22" s="50">
        <v>0</v>
      </c>
      <c r="AQ22" s="50">
        <v>0</v>
      </c>
      <c r="AR22" s="66">
        <v>0</v>
      </c>
      <c r="AS22" s="72"/>
      <c r="AT22" s="68"/>
      <c r="AU22" s="72"/>
      <c r="AV22" s="68"/>
      <c r="AX22" s="68"/>
    </row>
    <row r="23" spans="1:50" s="54" customFormat="1" ht="15" customHeight="1">
      <c r="A23" s="113"/>
      <c r="B23" s="156" t="s">
        <v>600</v>
      </c>
      <c r="C23" s="115"/>
      <c r="D23" s="60">
        <v>0</v>
      </c>
      <c r="E23" s="60">
        <v>0</v>
      </c>
      <c r="F23" s="60">
        <v>0</v>
      </c>
      <c r="G23" s="60">
        <v>0</v>
      </c>
      <c r="H23" s="66">
        <v>0</v>
      </c>
      <c r="I23" s="48"/>
      <c r="J23" s="60">
        <v>0</v>
      </c>
      <c r="K23" s="60">
        <v>0</v>
      </c>
      <c r="L23" s="60">
        <v>0</v>
      </c>
      <c r="M23" s="60">
        <v>0</v>
      </c>
      <c r="N23" s="66">
        <v>0</v>
      </c>
      <c r="O23" s="48"/>
      <c r="P23" s="60">
        <v>0</v>
      </c>
      <c r="Q23" s="60">
        <v>0</v>
      </c>
      <c r="R23" s="60">
        <v>0</v>
      </c>
      <c r="S23" s="60">
        <v>0</v>
      </c>
      <c r="T23" s="66">
        <v>0</v>
      </c>
      <c r="U23" s="48"/>
      <c r="V23" s="60">
        <v>0</v>
      </c>
      <c r="W23" s="60">
        <v>0</v>
      </c>
      <c r="X23" s="60">
        <v>0</v>
      </c>
      <c r="Y23" s="60">
        <v>0</v>
      </c>
      <c r="Z23" s="66">
        <v>0</v>
      </c>
      <c r="AA23" s="51"/>
      <c r="AB23" s="60">
        <v>0</v>
      </c>
      <c r="AC23" s="60">
        <v>0</v>
      </c>
      <c r="AD23" s="60">
        <v>0</v>
      </c>
      <c r="AE23" s="60">
        <v>0</v>
      </c>
      <c r="AF23" s="66">
        <v>0</v>
      </c>
      <c r="AG23" s="49"/>
      <c r="AH23" s="60">
        <v>0</v>
      </c>
      <c r="AI23" s="60">
        <v>0</v>
      </c>
      <c r="AJ23" s="50">
        <v>-260751</v>
      </c>
      <c r="AK23" s="50">
        <v>0</v>
      </c>
      <c r="AL23" s="66">
        <v>-260751</v>
      </c>
      <c r="AM23" s="72"/>
      <c r="AN23" s="50">
        <v>0</v>
      </c>
      <c r="AO23" s="50">
        <v>0</v>
      </c>
      <c r="AP23" s="50">
        <v>0</v>
      </c>
      <c r="AQ23" s="50">
        <v>0</v>
      </c>
      <c r="AR23" s="66">
        <v>0</v>
      </c>
      <c r="AS23" s="72"/>
      <c r="AT23" s="68"/>
      <c r="AU23" s="72"/>
      <c r="AV23" s="68"/>
      <c r="AX23" s="68"/>
    </row>
    <row r="24" spans="1:50" s="54" customFormat="1" ht="15" customHeight="1">
      <c r="A24" s="113"/>
      <c r="B24" s="156" t="s">
        <v>98</v>
      </c>
      <c r="C24" s="115"/>
      <c r="D24" s="60">
        <v>0</v>
      </c>
      <c r="E24" s="60">
        <v>0</v>
      </c>
      <c r="F24" s="60">
        <v>0</v>
      </c>
      <c r="G24" s="60">
        <v>0</v>
      </c>
      <c r="H24" s="74">
        <v>17679</v>
      </c>
      <c r="I24" s="48"/>
      <c r="J24" s="60">
        <v>0</v>
      </c>
      <c r="K24" s="60">
        <v>0</v>
      </c>
      <c r="L24" s="60">
        <v>0</v>
      </c>
      <c r="M24" s="60">
        <v>0</v>
      </c>
      <c r="N24" s="74">
        <v>-1412</v>
      </c>
      <c r="O24" s="48"/>
      <c r="P24" s="60">
        <v>0</v>
      </c>
      <c r="Q24" s="60">
        <v>0</v>
      </c>
      <c r="R24" s="60">
        <v>0</v>
      </c>
      <c r="S24" s="60">
        <v>0</v>
      </c>
      <c r="T24" s="74">
        <v>54782</v>
      </c>
      <c r="U24" s="48"/>
      <c r="V24" s="60">
        <v>0</v>
      </c>
      <c r="W24" s="60">
        <v>0</v>
      </c>
      <c r="X24" s="60">
        <v>0</v>
      </c>
      <c r="Y24" s="60">
        <v>0</v>
      </c>
      <c r="Z24" s="74">
        <v>-2851</v>
      </c>
      <c r="AA24" s="81"/>
      <c r="AB24" s="60">
        <v>0</v>
      </c>
      <c r="AC24" s="60">
        <v>0</v>
      </c>
      <c r="AD24" s="60">
        <v>0</v>
      </c>
      <c r="AE24" s="60">
        <v>102100</v>
      </c>
      <c r="AF24" s="74">
        <v>100920</v>
      </c>
      <c r="AG24" s="82"/>
      <c r="AH24" s="60">
        <v>0</v>
      </c>
      <c r="AI24" s="60">
        <v>0</v>
      </c>
      <c r="AJ24" s="50">
        <v>20755</v>
      </c>
      <c r="AK24" s="50">
        <v>0</v>
      </c>
      <c r="AL24" s="74">
        <v>20755</v>
      </c>
      <c r="AM24" s="83"/>
      <c r="AN24" s="50">
        <v>0</v>
      </c>
      <c r="AO24" s="50">
        <v>0</v>
      </c>
      <c r="AP24" s="50">
        <v>0</v>
      </c>
      <c r="AQ24" s="50">
        <v>0</v>
      </c>
      <c r="AR24" s="74">
        <v>0</v>
      </c>
      <c r="AS24" s="83"/>
      <c r="AT24" s="75"/>
      <c r="AU24" s="83"/>
      <c r="AV24" s="75"/>
      <c r="AX24" s="75"/>
    </row>
    <row r="25" spans="1:50" s="54" customFormat="1" ht="15" customHeight="1" thickBot="1">
      <c r="A25" s="84"/>
      <c r="B25" s="157" t="s">
        <v>624</v>
      </c>
      <c r="C25" s="26"/>
      <c r="D25" s="60">
        <v>-60678</v>
      </c>
      <c r="E25" s="60">
        <v>-13594</v>
      </c>
      <c r="F25" s="60">
        <v>43932</v>
      </c>
      <c r="G25" s="60">
        <v>111063</v>
      </c>
      <c r="H25" s="93">
        <v>80723</v>
      </c>
      <c r="I25" s="48"/>
      <c r="J25" s="60">
        <v>-14800</v>
      </c>
      <c r="K25" s="60">
        <v>4149</v>
      </c>
      <c r="L25" s="60">
        <v>25380</v>
      </c>
      <c r="M25" s="60">
        <v>11407</v>
      </c>
      <c r="N25" s="93">
        <v>26136</v>
      </c>
      <c r="O25" s="48"/>
      <c r="P25" s="60">
        <v>-24112</v>
      </c>
      <c r="Q25" s="60">
        <v>8620</v>
      </c>
      <c r="R25" s="60">
        <v>36316</v>
      </c>
      <c r="S25" s="60">
        <v>184477</v>
      </c>
      <c r="T25" s="93">
        <v>126209</v>
      </c>
      <c r="U25" s="48"/>
      <c r="V25" s="60">
        <v>172812</v>
      </c>
      <c r="W25" s="60">
        <v>171975</v>
      </c>
      <c r="X25" s="60">
        <v>361722</v>
      </c>
      <c r="Y25" s="60">
        <v>156501</v>
      </c>
      <c r="Z25" s="93">
        <v>863010</v>
      </c>
      <c r="AA25" s="81"/>
      <c r="AB25" s="60">
        <v>23685</v>
      </c>
      <c r="AC25" s="60">
        <v>49967</v>
      </c>
      <c r="AD25" s="60">
        <v>163952</v>
      </c>
      <c r="AE25" s="60">
        <v>213794</v>
      </c>
      <c r="AF25" s="93">
        <v>451398</v>
      </c>
      <c r="AG25" s="82"/>
      <c r="AH25" s="60">
        <v>117452</v>
      </c>
      <c r="AI25" s="60">
        <v>122699</v>
      </c>
      <c r="AJ25" s="50"/>
      <c r="AK25" s="50"/>
      <c r="AL25" s="94"/>
      <c r="AM25" s="83"/>
      <c r="AN25" s="50"/>
      <c r="AO25" s="50"/>
      <c r="AP25" s="50"/>
      <c r="AQ25" s="50"/>
      <c r="AR25" s="94"/>
      <c r="AS25" s="83"/>
      <c r="AT25" s="94"/>
      <c r="AU25" s="83"/>
      <c r="AV25" s="94"/>
      <c r="AX25" s="94"/>
    </row>
    <row r="26" spans="1:50" s="54" customFormat="1" ht="15" customHeight="1" thickTop="1">
      <c r="A26" s="43"/>
      <c r="B26" s="154"/>
      <c r="C26" s="17"/>
      <c r="D26" s="46"/>
      <c r="E26" s="46"/>
      <c r="F26" s="46"/>
      <c r="G26" s="46"/>
      <c r="H26" s="66"/>
      <c r="I26" s="48"/>
      <c r="J26" s="46"/>
      <c r="K26" s="46"/>
      <c r="L26" s="46"/>
      <c r="M26" s="46"/>
      <c r="N26" s="66"/>
      <c r="O26" s="48"/>
      <c r="P26" s="46"/>
      <c r="Q26" s="46"/>
      <c r="R26" s="46"/>
      <c r="S26" s="46"/>
      <c r="T26" s="66"/>
      <c r="U26" s="48"/>
      <c r="V26" s="46"/>
      <c r="W26" s="46"/>
      <c r="X26" s="46"/>
      <c r="Y26" s="46"/>
      <c r="Z26" s="66"/>
      <c r="AA26" s="51"/>
      <c r="AB26" s="46"/>
      <c r="AC26" s="46"/>
      <c r="AD26" s="46"/>
      <c r="AE26" s="46"/>
      <c r="AF26" s="66"/>
      <c r="AG26" s="49"/>
      <c r="AH26" s="46"/>
      <c r="AI26" s="46"/>
      <c r="AJ26" s="50"/>
      <c r="AK26" s="50"/>
      <c r="AL26" s="68"/>
      <c r="AM26" s="72"/>
      <c r="AN26" s="50"/>
      <c r="AO26" s="50"/>
      <c r="AP26" s="50"/>
      <c r="AQ26" s="50"/>
      <c r="AR26" s="68"/>
      <c r="AS26" s="72"/>
      <c r="AT26" s="68"/>
      <c r="AU26" s="72"/>
      <c r="AV26" s="68"/>
      <c r="AX26" s="68"/>
    </row>
    <row r="27" spans="1:50" s="54" customFormat="1" ht="15" customHeight="1">
      <c r="A27" s="44" t="s">
        <v>33</v>
      </c>
      <c r="B27" s="158" t="s">
        <v>625</v>
      </c>
      <c r="C27" s="115"/>
      <c r="D27" s="46"/>
      <c r="E27" s="46"/>
      <c r="F27" s="46"/>
      <c r="G27" s="46"/>
      <c r="H27" s="66"/>
      <c r="I27" s="48"/>
      <c r="J27" s="46"/>
      <c r="K27" s="46"/>
      <c r="L27" s="46"/>
      <c r="M27" s="46"/>
      <c r="N27" s="66"/>
      <c r="O27" s="48"/>
      <c r="P27" s="46"/>
      <c r="Q27" s="46"/>
      <c r="R27" s="46"/>
      <c r="S27" s="46"/>
      <c r="T27" s="66"/>
      <c r="U27" s="48"/>
      <c r="V27" s="46"/>
      <c r="W27" s="46"/>
      <c r="X27" s="46"/>
      <c r="Y27" s="46"/>
      <c r="Z27" s="66"/>
      <c r="AA27" s="81"/>
      <c r="AB27" s="46"/>
      <c r="AC27" s="46"/>
      <c r="AD27" s="46"/>
      <c r="AE27" s="46"/>
      <c r="AF27" s="66"/>
      <c r="AG27" s="82"/>
      <c r="AH27" s="46"/>
      <c r="AI27" s="46"/>
      <c r="AJ27" s="50"/>
      <c r="AK27" s="50"/>
      <c r="AL27" s="68"/>
      <c r="AM27" s="83"/>
      <c r="AN27" s="50"/>
      <c r="AO27" s="50"/>
      <c r="AP27" s="50"/>
      <c r="AQ27" s="50"/>
      <c r="AR27" s="68"/>
      <c r="AS27" s="83"/>
      <c r="AT27" s="68"/>
      <c r="AU27" s="83"/>
      <c r="AV27" s="68"/>
      <c r="AX27" s="68"/>
    </row>
    <row r="28" spans="1:50" s="54" customFormat="1" ht="15" customHeight="1">
      <c r="A28" s="43"/>
      <c r="B28" s="159" t="s">
        <v>626</v>
      </c>
      <c r="C28" s="17"/>
      <c r="D28" s="60">
        <v>-23670</v>
      </c>
      <c r="E28" s="60">
        <v>-44436</v>
      </c>
      <c r="F28" s="60">
        <v>-26521</v>
      </c>
      <c r="G28" s="60">
        <v>-29551</v>
      </c>
      <c r="H28" s="66">
        <v>-124178</v>
      </c>
      <c r="I28" s="48"/>
      <c r="J28" s="60">
        <v>-25338</v>
      </c>
      <c r="K28" s="60">
        <v>-27035</v>
      </c>
      <c r="L28" s="60">
        <v>-21423</v>
      </c>
      <c r="M28" s="60">
        <v>-21273</v>
      </c>
      <c r="N28" s="66">
        <v>-95069</v>
      </c>
      <c r="O28" s="48"/>
      <c r="P28" s="60">
        <v>-11233</v>
      </c>
      <c r="Q28" s="60">
        <v>-17414</v>
      </c>
      <c r="R28" s="60">
        <v>-20523</v>
      </c>
      <c r="S28" s="60">
        <v>-23229</v>
      </c>
      <c r="T28" s="66">
        <v>-72399</v>
      </c>
      <c r="U28" s="48"/>
      <c r="V28" s="60">
        <v>-27662</v>
      </c>
      <c r="W28" s="60">
        <v>-32047</v>
      </c>
      <c r="X28" s="60">
        <v>-26459</v>
      </c>
      <c r="Y28" s="60">
        <v>-50401</v>
      </c>
      <c r="Z28" s="66">
        <v>-136569</v>
      </c>
      <c r="AA28" s="51"/>
      <c r="AB28" s="60">
        <v>-26666</v>
      </c>
      <c r="AC28" s="60">
        <v>-39108</v>
      </c>
      <c r="AD28" s="60">
        <v>-30195</v>
      </c>
      <c r="AE28" s="60">
        <v>-51147</v>
      </c>
      <c r="AF28" s="66">
        <v>-147116</v>
      </c>
      <c r="AG28" s="49"/>
      <c r="AH28" s="60">
        <v>-35773</v>
      </c>
      <c r="AI28" s="60">
        <v>-29815</v>
      </c>
      <c r="AJ28" s="50">
        <v>0</v>
      </c>
      <c r="AK28" s="50">
        <v>0</v>
      </c>
      <c r="AL28" s="68">
        <v>-65588</v>
      </c>
      <c r="AM28" s="72"/>
      <c r="AN28" s="50">
        <v>0</v>
      </c>
      <c r="AO28" s="50">
        <v>0</v>
      </c>
      <c r="AP28" s="50">
        <v>0</v>
      </c>
      <c r="AQ28" s="50">
        <v>0</v>
      </c>
      <c r="AR28" s="68">
        <v>0</v>
      </c>
      <c r="AS28" s="72"/>
      <c r="AT28" s="68">
        <v>0</v>
      </c>
      <c r="AU28" s="72"/>
      <c r="AV28" s="68">
        <v>0</v>
      </c>
      <c r="AW28" s="363"/>
      <c r="AX28" s="68">
        <v>0</v>
      </c>
    </row>
    <row r="29" spans="1:50" s="54" customFormat="1" ht="15" customHeight="1">
      <c r="A29" s="113"/>
      <c r="B29" s="159" t="s">
        <v>627</v>
      </c>
      <c r="C29" s="115"/>
      <c r="D29" s="60">
        <v>1383</v>
      </c>
      <c r="E29" s="60">
        <v>483</v>
      </c>
      <c r="F29" s="60">
        <v>0</v>
      </c>
      <c r="G29" s="60">
        <v>1440</v>
      </c>
      <c r="H29" s="66">
        <v>3306</v>
      </c>
      <c r="I29" s="48"/>
      <c r="J29" s="60">
        <v>181</v>
      </c>
      <c r="K29" s="60">
        <v>72</v>
      </c>
      <c r="L29" s="60">
        <v>3020</v>
      </c>
      <c r="M29" s="60">
        <v>117</v>
      </c>
      <c r="N29" s="66">
        <v>3390</v>
      </c>
      <c r="O29" s="48"/>
      <c r="P29" s="60">
        <v>1171</v>
      </c>
      <c r="Q29" s="60">
        <v>4167</v>
      </c>
      <c r="R29" s="60">
        <v>703</v>
      </c>
      <c r="S29" s="60">
        <v>2300</v>
      </c>
      <c r="T29" s="66">
        <v>8341</v>
      </c>
      <c r="U29" s="48"/>
      <c r="V29" s="60">
        <v>78</v>
      </c>
      <c r="W29" s="60">
        <v>14</v>
      </c>
      <c r="X29" s="60">
        <v>26</v>
      </c>
      <c r="Y29" s="60">
        <v>462</v>
      </c>
      <c r="Z29" s="66">
        <v>580</v>
      </c>
      <c r="AA29" s="81"/>
      <c r="AB29" s="60">
        <v>74</v>
      </c>
      <c r="AC29" s="60">
        <v>76</v>
      </c>
      <c r="AD29" s="60">
        <v>93</v>
      </c>
      <c r="AE29" s="60">
        <v>29</v>
      </c>
      <c r="AF29" s="66">
        <v>272</v>
      </c>
      <c r="AG29" s="82"/>
      <c r="AH29" s="60">
        <v>3946</v>
      </c>
      <c r="AI29" s="60">
        <v>58</v>
      </c>
      <c r="AJ29" s="50">
        <v>0</v>
      </c>
      <c r="AK29" s="50">
        <v>0</v>
      </c>
      <c r="AL29" s="68">
        <v>4004</v>
      </c>
      <c r="AM29" s="83"/>
      <c r="AN29" s="50">
        <v>0</v>
      </c>
      <c r="AO29" s="50">
        <v>0</v>
      </c>
      <c r="AP29" s="50">
        <v>0</v>
      </c>
      <c r="AQ29" s="50">
        <v>0</v>
      </c>
      <c r="AR29" s="68">
        <v>0</v>
      </c>
      <c r="AS29" s="83"/>
      <c r="AT29" s="68">
        <v>0</v>
      </c>
      <c r="AU29" s="83"/>
      <c r="AV29" s="68">
        <v>0</v>
      </c>
      <c r="AX29" s="68">
        <v>0</v>
      </c>
    </row>
    <row r="30" spans="1:50" s="54" customFormat="1" ht="15" customHeight="1">
      <c r="A30" s="43"/>
      <c r="B30" s="159" t="s">
        <v>628</v>
      </c>
      <c r="C30" s="17"/>
      <c r="D30" s="60">
        <v>0</v>
      </c>
      <c r="E30" s="60">
        <v>-44515</v>
      </c>
      <c r="F30" s="60">
        <v>0</v>
      </c>
      <c r="G30" s="60">
        <v>-135</v>
      </c>
      <c r="H30" s="66">
        <v>-44650</v>
      </c>
      <c r="I30" s="48"/>
      <c r="J30" s="60">
        <v>0</v>
      </c>
      <c r="K30" s="60">
        <v>0</v>
      </c>
      <c r="L30" s="60">
        <v>0</v>
      </c>
      <c r="M30" s="60">
        <v>0</v>
      </c>
      <c r="N30" s="66">
        <v>0</v>
      </c>
      <c r="O30" s="48"/>
      <c r="P30" s="60">
        <v>-44823</v>
      </c>
      <c r="Q30" s="60">
        <v>0</v>
      </c>
      <c r="R30" s="60">
        <v>0</v>
      </c>
      <c r="S30" s="60">
        <v>0</v>
      </c>
      <c r="T30" s="66">
        <v>-44823</v>
      </c>
      <c r="U30" s="48"/>
      <c r="V30" s="60">
        <v>0</v>
      </c>
      <c r="W30" s="60">
        <v>0</v>
      </c>
      <c r="X30" s="60">
        <v>0</v>
      </c>
      <c r="Y30" s="60">
        <v>0</v>
      </c>
      <c r="Z30" s="66">
        <v>0</v>
      </c>
      <c r="AA30" s="51"/>
      <c r="AB30" s="60">
        <v>0</v>
      </c>
      <c r="AC30" s="60">
        <v>-53746</v>
      </c>
      <c r="AD30" s="60">
        <v>0</v>
      </c>
      <c r="AE30" s="60">
        <v>0</v>
      </c>
      <c r="AF30" s="66">
        <v>-53746</v>
      </c>
      <c r="AG30" s="49"/>
      <c r="AH30" s="60">
        <v>-111521</v>
      </c>
      <c r="AI30" s="60">
        <v>0</v>
      </c>
      <c r="AJ30" s="50"/>
      <c r="AK30" s="50"/>
      <c r="AL30" s="68"/>
      <c r="AM30" s="72"/>
      <c r="AN30" s="50"/>
      <c r="AO30" s="50"/>
      <c r="AP30" s="50"/>
      <c r="AQ30" s="50"/>
      <c r="AR30" s="68"/>
      <c r="AS30" s="72"/>
      <c r="AT30" s="68"/>
      <c r="AU30" s="72"/>
      <c r="AV30" s="68"/>
      <c r="AX30" s="68"/>
    </row>
    <row r="31" spans="1:50" s="54" customFormat="1" ht="15" customHeight="1">
      <c r="A31" s="113"/>
      <c r="B31" s="159" t="s">
        <v>629</v>
      </c>
      <c r="C31" s="115"/>
      <c r="D31" s="60">
        <v>0</v>
      </c>
      <c r="E31" s="60">
        <v>0</v>
      </c>
      <c r="F31" s="60">
        <v>0</v>
      </c>
      <c r="G31" s="60">
        <v>0</v>
      </c>
      <c r="H31" s="66">
        <v>0</v>
      </c>
      <c r="I31" s="48"/>
      <c r="J31" s="60">
        <v>0</v>
      </c>
      <c r="K31" s="60">
        <v>0</v>
      </c>
      <c r="L31" s="60">
        <v>0</v>
      </c>
      <c r="M31" s="60">
        <v>0</v>
      </c>
      <c r="N31" s="66">
        <v>0</v>
      </c>
      <c r="O31" s="48"/>
      <c r="P31" s="60">
        <v>0</v>
      </c>
      <c r="Q31" s="60">
        <v>0</v>
      </c>
      <c r="R31" s="60">
        <v>0</v>
      </c>
      <c r="S31" s="60">
        <v>0</v>
      </c>
      <c r="T31" s="66">
        <v>0</v>
      </c>
      <c r="U31" s="48"/>
      <c r="V31" s="60">
        <v>0</v>
      </c>
      <c r="W31" s="60">
        <v>0</v>
      </c>
      <c r="X31" s="60">
        <v>0</v>
      </c>
      <c r="Y31" s="60">
        <v>0</v>
      </c>
      <c r="Z31" s="66">
        <v>0</v>
      </c>
      <c r="AA31" s="81"/>
      <c r="AB31" s="60">
        <v>0</v>
      </c>
      <c r="AC31" s="60">
        <v>0</v>
      </c>
      <c r="AD31" s="60">
        <v>0</v>
      </c>
      <c r="AE31" s="60">
        <v>0</v>
      </c>
      <c r="AF31" s="66">
        <v>0</v>
      </c>
      <c r="AG31" s="82"/>
      <c r="AH31" s="60">
        <v>0</v>
      </c>
      <c r="AI31" s="60">
        <v>0</v>
      </c>
      <c r="AJ31" s="50"/>
      <c r="AK31" s="50"/>
      <c r="AL31" s="68"/>
      <c r="AM31" s="89"/>
      <c r="AN31" s="50"/>
      <c r="AO31" s="50"/>
      <c r="AP31" s="50"/>
      <c r="AQ31" s="50"/>
      <c r="AR31" s="68"/>
      <c r="AS31" s="89"/>
      <c r="AT31" s="68"/>
      <c r="AU31" s="89"/>
      <c r="AV31" s="68"/>
      <c r="AX31" s="68"/>
    </row>
    <row r="32" spans="1:50" s="54" customFormat="1" ht="15" customHeight="1">
      <c r="A32" s="113"/>
      <c r="B32" s="159" t="s">
        <v>630</v>
      </c>
      <c r="C32" s="115"/>
      <c r="D32" s="60">
        <v>0</v>
      </c>
      <c r="E32" s="60">
        <v>0</v>
      </c>
      <c r="F32" s="60">
        <v>0</v>
      </c>
      <c r="G32" s="60">
        <v>0</v>
      </c>
      <c r="H32" s="66">
        <v>0</v>
      </c>
      <c r="I32" s="48"/>
      <c r="J32" s="60">
        <v>0</v>
      </c>
      <c r="K32" s="60">
        <v>0</v>
      </c>
      <c r="L32" s="60">
        <v>0</v>
      </c>
      <c r="M32" s="60">
        <v>0</v>
      </c>
      <c r="N32" s="66">
        <v>0</v>
      </c>
      <c r="O32" s="48"/>
      <c r="P32" s="60">
        <v>0</v>
      </c>
      <c r="Q32" s="60">
        <v>0</v>
      </c>
      <c r="R32" s="60">
        <v>0</v>
      </c>
      <c r="S32" s="60">
        <v>0</v>
      </c>
      <c r="T32" s="66">
        <v>0</v>
      </c>
      <c r="U32" s="48"/>
      <c r="V32" s="60">
        <v>0</v>
      </c>
      <c r="W32" s="60">
        <v>0</v>
      </c>
      <c r="X32" s="60">
        <v>0</v>
      </c>
      <c r="Y32" s="60">
        <v>0</v>
      </c>
      <c r="Z32" s="66">
        <v>0</v>
      </c>
      <c r="AA32" s="81"/>
      <c r="AB32" s="60">
        <v>0</v>
      </c>
      <c r="AC32" s="60">
        <v>0</v>
      </c>
      <c r="AD32" s="60">
        <v>0</v>
      </c>
      <c r="AE32" s="60">
        <v>0</v>
      </c>
      <c r="AF32" s="66">
        <v>0</v>
      </c>
      <c r="AG32" s="82"/>
      <c r="AH32" s="60">
        <v>0</v>
      </c>
      <c r="AI32" s="60">
        <v>0</v>
      </c>
      <c r="AJ32" s="50"/>
      <c r="AK32" s="50"/>
      <c r="AL32" s="68"/>
      <c r="AM32" s="89"/>
      <c r="AN32" s="50"/>
      <c r="AO32" s="50"/>
      <c r="AP32" s="50"/>
      <c r="AQ32" s="50"/>
      <c r="AR32" s="68"/>
      <c r="AS32" s="89"/>
      <c r="AT32" s="68"/>
      <c r="AU32" s="89"/>
      <c r="AV32" s="68"/>
      <c r="AX32" s="68"/>
    </row>
    <row r="33" spans="1:38" s="54" customFormat="1" ht="15" customHeight="1">
      <c r="A33" s="113"/>
      <c r="B33" s="159" t="s">
        <v>631</v>
      </c>
      <c r="C33" s="17"/>
      <c r="D33" s="60">
        <v>-9108</v>
      </c>
      <c r="E33" s="60">
        <v>-1008</v>
      </c>
      <c r="F33" s="60">
        <v>-1984</v>
      </c>
      <c r="G33" s="60">
        <v>-95134</v>
      </c>
      <c r="H33" s="66">
        <v>-107234</v>
      </c>
      <c r="I33" s="48"/>
      <c r="J33" s="60">
        <v>-24195</v>
      </c>
      <c r="K33" s="60">
        <v>-5442</v>
      </c>
      <c r="L33" s="60">
        <v>-29778</v>
      </c>
      <c r="M33" s="60">
        <v>-28868</v>
      </c>
      <c r="N33" s="66">
        <v>-88283</v>
      </c>
      <c r="O33" s="48"/>
      <c r="P33" s="60">
        <v>-1388</v>
      </c>
      <c r="Q33" s="60">
        <v>-24999</v>
      </c>
      <c r="R33" s="60">
        <v>-20748</v>
      </c>
      <c r="S33" s="60">
        <v>-51108</v>
      </c>
      <c r="T33" s="66">
        <v>-98243</v>
      </c>
      <c r="U33" s="48"/>
      <c r="V33" s="60">
        <v>-51834</v>
      </c>
      <c r="W33" s="60">
        <v>-100531</v>
      </c>
      <c r="X33" s="60">
        <v>-290218</v>
      </c>
      <c r="Y33" s="60">
        <v>-88198</v>
      </c>
      <c r="Z33" s="66">
        <v>-530781</v>
      </c>
      <c r="AA33" s="51"/>
      <c r="AB33" s="60">
        <v>-28296</v>
      </c>
      <c r="AC33" s="60">
        <v>-15273</v>
      </c>
      <c r="AD33" s="60">
        <v>-199949</v>
      </c>
      <c r="AE33" s="60">
        <v>-330047</v>
      </c>
      <c r="AF33" s="66">
        <v>-573565</v>
      </c>
      <c r="AG33" s="49"/>
      <c r="AH33" s="60">
        <v>-202196</v>
      </c>
      <c r="AI33" s="60">
        <v>-299371</v>
      </c>
      <c r="AJ33" s="50"/>
      <c r="AK33" s="50"/>
      <c r="AL33" s="68"/>
    </row>
    <row r="34" spans="1:38" s="54" customFormat="1" ht="15" customHeight="1">
      <c r="A34" s="43"/>
      <c r="B34" s="159" t="s">
        <v>632</v>
      </c>
      <c r="C34" s="17"/>
      <c r="D34" s="60">
        <v>69919</v>
      </c>
      <c r="E34" s="60">
        <v>69598</v>
      </c>
      <c r="F34" s="60">
        <v>42016</v>
      </c>
      <c r="G34" s="60">
        <v>22744</v>
      </c>
      <c r="H34" s="66">
        <v>204277</v>
      </c>
      <c r="I34" s="48"/>
      <c r="J34" s="60">
        <v>28231</v>
      </c>
      <c r="K34" s="60">
        <v>30846</v>
      </c>
      <c r="L34" s="60">
        <v>26125</v>
      </c>
      <c r="M34" s="60">
        <v>43906</v>
      </c>
      <c r="N34" s="66">
        <v>129108</v>
      </c>
      <c r="O34" s="48"/>
      <c r="P34" s="60">
        <v>39388</v>
      </c>
      <c r="Q34" s="60">
        <v>28476</v>
      </c>
      <c r="R34" s="60">
        <v>8513</v>
      </c>
      <c r="S34" s="60">
        <v>16326</v>
      </c>
      <c r="T34" s="66">
        <v>92703</v>
      </c>
      <c r="U34" s="48"/>
      <c r="V34" s="60">
        <v>20296</v>
      </c>
      <c r="W34" s="60">
        <v>44983</v>
      </c>
      <c r="X34" s="60">
        <v>67407</v>
      </c>
      <c r="Y34" s="60">
        <v>159146</v>
      </c>
      <c r="Z34" s="66">
        <v>291832</v>
      </c>
      <c r="AA34" s="51"/>
      <c r="AB34" s="60">
        <v>135768</v>
      </c>
      <c r="AC34" s="60">
        <v>60336</v>
      </c>
      <c r="AD34" s="60">
        <v>77811</v>
      </c>
      <c r="AE34" s="60">
        <v>85017</v>
      </c>
      <c r="AF34" s="66">
        <v>358932</v>
      </c>
      <c r="AG34" s="49"/>
      <c r="AH34" s="60">
        <v>209673</v>
      </c>
      <c r="AI34" s="60">
        <v>216827</v>
      </c>
      <c r="AJ34" s="50"/>
      <c r="AK34" s="50"/>
      <c r="AL34" s="68"/>
    </row>
    <row r="35" spans="1:38" s="54" customFormat="1" ht="15" customHeight="1">
      <c r="B35" s="159" t="s">
        <v>633</v>
      </c>
      <c r="C35" s="115"/>
      <c r="D35" s="60">
        <v>858</v>
      </c>
      <c r="E35" s="60">
        <v>-858</v>
      </c>
      <c r="F35" s="60">
        <v>0</v>
      </c>
      <c r="G35" s="60">
        <v>0</v>
      </c>
      <c r="H35" s="74">
        <v>0</v>
      </c>
      <c r="I35" s="48"/>
      <c r="J35" s="60">
        <v>650</v>
      </c>
      <c r="K35" s="60">
        <v>2000</v>
      </c>
      <c r="L35" s="60">
        <v>3163</v>
      </c>
      <c r="M35" s="60">
        <v>850</v>
      </c>
      <c r="N35" s="74">
        <v>6663</v>
      </c>
      <c r="O35" s="48"/>
      <c r="P35" s="60">
        <v>400</v>
      </c>
      <c r="Q35" s="60">
        <v>0</v>
      </c>
      <c r="R35" s="60">
        <v>-3000</v>
      </c>
      <c r="S35" s="60">
        <v>0</v>
      </c>
      <c r="T35" s="74">
        <v>-2600</v>
      </c>
      <c r="U35" s="48"/>
      <c r="V35" s="60">
        <v>0</v>
      </c>
      <c r="W35" s="60">
        <v>0</v>
      </c>
      <c r="X35" s="60">
        <v>-1673</v>
      </c>
      <c r="Y35" s="60">
        <v>1500</v>
      </c>
      <c r="Z35" s="74">
        <v>-173</v>
      </c>
      <c r="AA35" s="81"/>
      <c r="AB35" s="60">
        <v>0</v>
      </c>
      <c r="AC35" s="60">
        <v>-363</v>
      </c>
      <c r="AD35" s="60">
        <v>1000</v>
      </c>
      <c r="AE35" s="60">
        <v>2000</v>
      </c>
      <c r="AF35" s="74">
        <v>2637</v>
      </c>
      <c r="AG35" s="82"/>
      <c r="AH35" s="60">
        <v>0</v>
      </c>
      <c r="AI35" s="60">
        <v>750</v>
      </c>
      <c r="AJ35" s="50"/>
      <c r="AK35" s="50"/>
      <c r="AL35" s="75"/>
    </row>
    <row r="36" spans="1:38" s="54" customFormat="1" ht="15" customHeight="1" thickBot="1">
      <c r="A36" s="113"/>
      <c r="B36" s="160" t="s">
        <v>634</v>
      </c>
      <c r="C36" s="17"/>
      <c r="D36" s="60">
        <v>39382</v>
      </c>
      <c r="E36" s="60">
        <v>-20736</v>
      </c>
      <c r="F36" s="60">
        <v>13511</v>
      </c>
      <c r="G36" s="60">
        <v>-100636</v>
      </c>
      <c r="H36" s="93">
        <v>-68479</v>
      </c>
      <c r="I36" s="48"/>
      <c r="J36" s="60">
        <v>-20471</v>
      </c>
      <c r="K36" s="60">
        <v>441</v>
      </c>
      <c r="L36" s="60">
        <v>-18893</v>
      </c>
      <c r="M36" s="60">
        <v>-5268</v>
      </c>
      <c r="N36" s="93">
        <v>-44191</v>
      </c>
      <c r="O36" s="48"/>
      <c r="P36" s="60">
        <v>-16485</v>
      </c>
      <c r="Q36" s="60">
        <v>-9770</v>
      </c>
      <c r="R36" s="60">
        <v>-35055</v>
      </c>
      <c r="S36" s="60">
        <v>-55711</v>
      </c>
      <c r="T36" s="93">
        <v>-117021</v>
      </c>
      <c r="U36" s="48"/>
      <c r="V36" s="60">
        <v>-59122</v>
      </c>
      <c r="W36" s="60">
        <v>-87581</v>
      </c>
      <c r="X36" s="60">
        <v>-250917</v>
      </c>
      <c r="Y36" s="60">
        <v>22509</v>
      </c>
      <c r="Z36" s="93">
        <v>-375111</v>
      </c>
      <c r="AA36" s="51"/>
      <c r="AB36" s="60">
        <v>80880</v>
      </c>
      <c r="AC36" s="60">
        <v>-48078</v>
      </c>
      <c r="AD36" s="60">
        <v>-151240</v>
      </c>
      <c r="AE36" s="60">
        <v>-294148</v>
      </c>
      <c r="AF36" s="93">
        <v>-412586</v>
      </c>
      <c r="AG36" s="49"/>
      <c r="AH36" s="60">
        <v>-135871</v>
      </c>
      <c r="AI36" s="60">
        <v>-111551</v>
      </c>
      <c r="AJ36" s="50"/>
      <c r="AK36" s="50"/>
      <c r="AL36" s="94"/>
    </row>
    <row r="37" spans="1:38" s="54" customFormat="1" ht="15" customHeight="1" thickTop="1">
      <c r="A37" s="43"/>
      <c r="B37" s="154"/>
      <c r="C37" s="115"/>
      <c r="D37" s="46"/>
      <c r="E37" s="46"/>
      <c r="F37" s="46"/>
      <c r="G37" s="46"/>
      <c r="H37" s="66"/>
      <c r="I37" s="48"/>
      <c r="J37" s="46"/>
      <c r="K37" s="46"/>
      <c r="L37" s="46"/>
      <c r="M37" s="46"/>
      <c r="N37" s="66"/>
      <c r="O37" s="48"/>
      <c r="P37" s="46"/>
      <c r="Q37" s="46"/>
      <c r="R37" s="46"/>
      <c r="S37" s="46"/>
      <c r="T37" s="66"/>
      <c r="U37" s="48"/>
      <c r="V37" s="46"/>
      <c r="W37" s="46"/>
      <c r="X37" s="46"/>
      <c r="Y37" s="46"/>
      <c r="Z37" s="66"/>
      <c r="AA37" s="86"/>
      <c r="AB37" s="46"/>
      <c r="AC37" s="46"/>
      <c r="AD37" s="46"/>
      <c r="AE37" s="46"/>
      <c r="AF37" s="66"/>
      <c r="AG37" s="82"/>
      <c r="AH37" s="46"/>
      <c r="AI37" s="46"/>
      <c r="AJ37" s="50"/>
      <c r="AK37" s="50"/>
      <c r="AL37" s="68"/>
    </row>
    <row r="38" spans="1:38" s="54" customFormat="1" ht="15" customHeight="1">
      <c r="A38" s="44" t="s">
        <v>33</v>
      </c>
      <c r="B38" s="158" t="s">
        <v>635</v>
      </c>
      <c r="C38" s="27"/>
      <c r="D38" s="46"/>
      <c r="E38" s="46"/>
      <c r="F38" s="46"/>
      <c r="G38" s="46"/>
      <c r="H38" s="66"/>
      <c r="I38" s="48"/>
      <c r="J38" s="46"/>
      <c r="K38" s="46"/>
      <c r="L38" s="46"/>
      <c r="M38" s="46"/>
      <c r="N38" s="66"/>
      <c r="O38" s="48"/>
      <c r="P38" s="46"/>
      <c r="Q38" s="46"/>
      <c r="R38" s="46"/>
      <c r="S38" s="46"/>
      <c r="T38" s="66"/>
      <c r="U38" s="48"/>
      <c r="V38" s="46"/>
      <c r="W38" s="46"/>
      <c r="X38" s="46"/>
      <c r="Y38" s="46"/>
      <c r="Z38" s="66"/>
      <c r="AA38" s="51"/>
      <c r="AB38" s="46"/>
      <c r="AC38" s="46"/>
      <c r="AD38" s="46"/>
      <c r="AE38" s="46"/>
      <c r="AF38" s="66"/>
      <c r="AG38" s="49"/>
      <c r="AH38" s="46"/>
      <c r="AI38" s="46"/>
      <c r="AJ38" s="50"/>
      <c r="AK38" s="50"/>
      <c r="AL38" s="68"/>
    </row>
    <row r="39" spans="1:38" s="54" customFormat="1" ht="15" customHeight="1">
      <c r="A39" s="113"/>
      <c r="B39" s="159" t="s">
        <v>636</v>
      </c>
      <c r="C39" s="115"/>
      <c r="D39" s="60">
        <v>0</v>
      </c>
      <c r="E39" s="60">
        <v>0</v>
      </c>
      <c r="F39" s="60">
        <v>0</v>
      </c>
      <c r="G39" s="60">
        <v>0</v>
      </c>
      <c r="H39" s="66">
        <v>0</v>
      </c>
      <c r="I39" s="48"/>
      <c r="J39" s="60">
        <v>0</v>
      </c>
      <c r="K39" s="60">
        <v>0</v>
      </c>
      <c r="L39" s="60">
        <v>0</v>
      </c>
      <c r="M39" s="60">
        <v>-1652</v>
      </c>
      <c r="N39" s="66">
        <v>-1652</v>
      </c>
      <c r="O39" s="48"/>
      <c r="P39" s="60">
        <v>0</v>
      </c>
      <c r="Q39" s="60">
        <v>0</v>
      </c>
      <c r="R39" s="60">
        <v>0</v>
      </c>
      <c r="S39" s="60">
        <v>-6117</v>
      </c>
      <c r="T39" s="66">
        <v>-6117</v>
      </c>
      <c r="U39" s="48"/>
      <c r="V39" s="60">
        <v>-36653</v>
      </c>
      <c r="W39" s="60">
        <v>-41741</v>
      </c>
      <c r="X39" s="60">
        <v>-66165</v>
      </c>
      <c r="Y39" s="60">
        <v>-107733</v>
      </c>
      <c r="Z39" s="66">
        <v>-252292</v>
      </c>
      <c r="AA39" s="51"/>
      <c r="AB39" s="60">
        <v>-36983</v>
      </c>
      <c r="AC39" s="60">
        <v>-293</v>
      </c>
      <c r="AD39" s="60">
        <v>-5689</v>
      </c>
      <c r="AE39" s="60">
        <v>-48891</v>
      </c>
      <c r="AF39" s="66">
        <v>-91856</v>
      </c>
      <c r="AG39" s="49"/>
      <c r="AH39" s="60">
        <v>-37758</v>
      </c>
      <c r="AI39" s="60">
        <v>-50016</v>
      </c>
      <c r="AJ39" s="50"/>
      <c r="AK39" s="50"/>
      <c r="AL39" s="68"/>
    </row>
    <row r="40" spans="1:38" s="54" customFormat="1" ht="15" customHeight="1">
      <c r="A40" s="113"/>
      <c r="B40" s="159" t="s">
        <v>637</v>
      </c>
      <c r="C40" s="115"/>
      <c r="D40" s="60">
        <v>-11</v>
      </c>
      <c r="E40" s="60">
        <v>-10</v>
      </c>
      <c r="F40" s="60">
        <v>-889</v>
      </c>
      <c r="G40" s="60">
        <v>0</v>
      </c>
      <c r="H40" s="66">
        <v>-910</v>
      </c>
      <c r="I40" s="48"/>
      <c r="J40" s="60">
        <v>0</v>
      </c>
      <c r="K40" s="60">
        <v>-45</v>
      </c>
      <c r="L40" s="60">
        <v>-826</v>
      </c>
      <c r="M40" s="60">
        <v>0</v>
      </c>
      <c r="N40" s="66">
        <v>-871</v>
      </c>
      <c r="O40" s="48"/>
      <c r="P40" s="60">
        <v>-18</v>
      </c>
      <c r="Q40" s="60">
        <v>0</v>
      </c>
      <c r="R40" s="60">
        <v>-1102</v>
      </c>
      <c r="S40" s="60">
        <v>-7</v>
      </c>
      <c r="T40" s="66">
        <v>-1127</v>
      </c>
      <c r="U40" s="48"/>
      <c r="V40" s="60">
        <v>-45</v>
      </c>
      <c r="W40" s="60">
        <v>0</v>
      </c>
      <c r="X40" s="60">
        <v>-1588</v>
      </c>
      <c r="Y40" s="60">
        <v>-10</v>
      </c>
      <c r="Z40" s="66">
        <v>-1643</v>
      </c>
      <c r="AA40" s="51"/>
      <c r="AB40" s="60">
        <v>-5</v>
      </c>
      <c r="AC40" s="60">
        <v>0</v>
      </c>
      <c r="AD40" s="60">
        <v>-1683</v>
      </c>
      <c r="AE40" s="60">
        <v>0</v>
      </c>
      <c r="AF40" s="66">
        <v>-1688</v>
      </c>
      <c r="AG40" s="49"/>
      <c r="AH40" s="60">
        <v>-34</v>
      </c>
      <c r="AI40" s="60">
        <v>-26</v>
      </c>
      <c r="AJ40" s="50"/>
      <c r="AK40" s="50"/>
      <c r="AL40" s="68"/>
    </row>
    <row r="41" spans="1:38" s="54" customFormat="1" ht="15" customHeight="1">
      <c r="A41" s="113"/>
      <c r="B41" s="159" t="s">
        <v>638</v>
      </c>
      <c r="C41" s="115"/>
      <c r="D41" s="60">
        <v>0</v>
      </c>
      <c r="E41" s="60">
        <v>0</v>
      </c>
      <c r="F41" s="60">
        <v>0</v>
      </c>
      <c r="G41" s="60">
        <v>0</v>
      </c>
      <c r="H41" s="66">
        <v>0</v>
      </c>
      <c r="I41" s="48"/>
      <c r="J41" s="60">
        <v>0</v>
      </c>
      <c r="K41" s="60">
        <v>0</v>
      </c>
      <c r="L41" s="60">
        <v>0</v>
      </c>
      <c r="M41" s="60">
        <v>0</v>
      </c>
      <c r="N41" s="66">
        <v>0</v>
      </c>
      <c r="O41" s="48"/>
      <c r="P41" s="60">
        <v>0</v>
      </c>
      <c r="Q41" s="60">
        <v>0</v>
      </c>
      <c r="R41" s="60">
        <v>0</v>
      </c>
      <c r="S41" s="60">
        <v>0</v>
      </c>
      <c r="T41" s="66">
        <v>0</v>
      </c>
      <c r="U41" s="48"/>
      <c r="V41" s="60">
        <v>0</v>
      </c>
      <c r="W41" s="60">
        <v>0</v>
      </c>
      <c r="X41" s="60">
        <v>0</v>
      </c>
      <c r="Y41" s="60">
        <v>0</v>
      </c>
      <c r="Z41" s="66">
        <v>0</v>
      </c>
      <c r="AA41" s="51"/>
      <c r="AB41" s="60">
        <v>0</v>
      </c>
      <c r="AC41" s="60">
        <v>0</v>
      </c>
      <c r="AD41" s="60">
        <v>0</v>
      </c>
      <c r="AE41" s="60">
        <v>0</v>
      </c>
      <c r="AF41" s="66">
        <v>0</v>
      </c>
      <c r="AG41" s="49"/>
      <c r="AH41" s="60">
        <v>0</v>
      </c>
      <c r="AI41" s="60">
        <v>0</v>
      </c>
      <c r="AJ41" s="50"/>
      <c r="AK41" s="50"/>
      <c r="AL41" s="68"/>
    </row>
    <row r="42" spans="1:38" s="54" customFormat="1" ht="15" customHeight="1">
      <c r="A42" s="142"/>
      <c r="B42" s="159" t="s">
        <v>639</v>
      </c>
      <c r="C42" s="27"/>
      <c r="D42" s="60">
        <v>0</v>
      </c>
      <c r="E42" s="60">
        <v>0</v>
      </c>
      <c r="F42" s="60">
        <v>0</v>
      </c>
      <c r="G42" s="60">
        <v>0</v>
      </c>
      <c r="H42" s="66">
        <v>0</v>
      </c>
      <c r="I42" s="48"/>
      <c r="J42" s="60">
        <v>0</v>
      </c>
      <c r="K42" s="60">
        <v>0</v>
      </c>
      <c r="L42" s="60">
        <v>0</v>
      </c>
      <c r="M42" s="60">
        <v>0</v>
      </c>
      <c r="N42" s="66">
        <v>0</v>
      </c>
      <c r="O42" s="48"/>
      <c r="P42" s="60">
        <v>0</v>
      </c>
      <c r="Q42" s="60">
        <v>0</v>
      </c>
      <c r="R42" s="60">
        <v>0</v>
      </c>
      <c r="S42" s="60">
        <v>0</v>
      </c>
      <c r="T42" s="66">
        <v>0</v>
      </c>
      <c r="U42" s="48"/>
      <c r="V42" s="60">
        <v>0</v>
      </c>
      <c r="W42" s="60">
        <v>0</v>
      </c>
      <c r="X42" s="60">
        <v>0</v>
      </c>
      <c r="Y42" s="60">
        <v>0</v>
      </c>
      <c r="Z42" s="66">
        <v>0</v>
      </c>
      <c r="AA42" s="51"/>
      <c r="AB42" s="60">
        <v>0</v>
      </c>
      <c r="AC42" s="60">
        <v>0</v>
      </c>
      <c r="AD42" s="60">
        <v>0</v>
      </c>
      <c r="AE42" s="60">
        <v>0</v>
      </c>
      <c r="AF42" s="66">
        <v>0</v>
      </c>
      <c r="AG42" s="49"/>
      <c r="AH42" s="60">
        <v>0</v>
      </c>
      <c r="AI42" s="60">
        <v>0</v>
      </c>
      <c r="AJ42" s="50"/>
      <c r="AK42" s="50"/>
      <c r="AL42" s="68"/>
    </row>
    <row r="43" spans="1:38" s="54" customFormat="1" ht="15" customHeight="1">
      <c r="A43" s="113"/>
      <c r="B43" s="159" t="s">
        <v>640</v>
      </c>
      <c r="C43" s="115"/>
      <c r="D43" s="60">
        <v>-798</v>
      </c>
      <c r="E43" s="60">
        <v>-799</v>
      </c>
      <c r="F43" s="60">
        <v>-49</v>
      </c>
      <c r="G43" s="60">
        <v>-50</v>
      </c>
      <c r="H43" s="66">
        <v>-1696</v>
      </c>
      <c r="I43" s="48"/>
      <c r="J43" s="60">
        <v>-50</v>
      </c>
      <c r="K43" s="60">
        <v>-51</v>
      </c>
      <c r="L43" s="60">
        <v>-52</v>
      </c>
      <c r="M43" s="60">
        <v>-52</v>
      </c>
      <c r="N43" s="66">
        <v>-205</v>
      </c>
      <c r="O43" s="48"/>
      <c r="P43" s="60">
        <v>-53</v>
      </c>
      <c r="Q43" s="60">
        <v>-53</v>
      </c>
      <c r="R43" s="60">
        <v>-54</v>
      </c>
      <c r="S43" s="60">
        <v>-55</v>
      </c>
      <c r="T43" s="66">
        <v>-215</v>
      </c>
      <c r="U43" s="48"/>
      <c r="V43" s="60">
        <v>-55</v>
      </c>
      <c r="W43" s="60">
        <v>-39</v>
      </c>
      <c r="X43" s="60">
        <v>-73</v>
      </c>
      <c r="Y43" s="60">
        <v>-57</v>
      </c>
      <c r="Z43" s="66">
        <v>-224</v>
      </c>
      <c r="AA43" s="51"/>
      <c r="AB43" s="60">
        <v>-58</v>
      </c>
      <c r="AC43" s="60">
        <v>-156</v>
      </c>
      <c r="AD43" s="60">
        <v>0</v>
      </c>
      <c r="AE43" s="60">
        <v>0</v>
      </c>
      <c r="AF43" s="66">
        <v>-214</v>
      </c>
      <c r="AG43" s="49"/>
      <c r="AH43" s="60">
        <v>0</v>
      </c>
      <c r="AI43" s="60">
        <v>-2477</v>
      </c>
      <c r="AJ43" s="50"/>
      <c r="AK43" s="50"/>
      <c r="AL43" s="68"/>
    </row>
    <row r="44" spans="1:38" s="54" customFormat="1" ht="15" customHeight="1">
      <c r="A44" s="113"/>
      <c r="B44" s="159" t="s">
        <v>641</v>
      </c>
      <c r="C44" s="115"/>
      <c r="D44" s="60">
        <v>-756</v>
      </c>
      <c r="E44" s="60">
        <v>1</v>
      </c>
      <c r="F44" s="60">
        <v>0</v>
      </c>
      <c r="G44" s="60">
        <v>0</v>
      </c>
      <c r="H44" s="74">
        <v>-755</v>
      </c>
      <c r="I44" s="48"/>
      <c r="J44" s="60">
        <v>0</v>
      </c>
      <c r="K44" s="60">
        <v>5</v>
      </c>
      <c r="L44" s="60">
        <v>0</v>
      </c>
      <c r="M44" s="60">
        <v>0</v>
      </c>
      <c r="N44" s="74">
        <v>5</v>
      </c>
      <c r="O44" s="48"/>
      <c r="P44" s="60">
        <v>0</v>
      </c>
      <c r="Q44" s="60">
        <v>3</v>
      </c>
      <c r="R44" s="60">
        <v>0</v>
      </c>
      <c r="S44" s="60">
        <v>0</v>
      </c>
      <c r="T44" s="74">
        <v>3</v>
      </c>
      <c r="U44" s="48"/>
      <c r="V44" s="60">
        <v>0</v>
      </c>
      <c r="W44" s="60">
        <v>0</v>
      </c>
      <c r="X44" s="60">
        <v>0</v>
      </c>
      <c r="Y44" s="60">
        <v>0</v>
      </c>
      <c r="Z44" s="74">
        <v>0</v>
      </c>
      <c r="AA44" s="81"/>
      <c r="AB44" s="60">
        <v>0</v>
      </c>
      <c r="AC44" s="60">
        <v>0</v>
      </c>
      <c r="AD44" s="60">
        <v>0</v>
      </c>
      <c r="AE44" s="60">
        <v>0</v>
      </c>
      <c r="AF44" s="74">
        <v>0</v>
      </c>
      <c r="AG44" s="82"/>
      <c r="AH44" s="60">
        <v>0</v>
      </c>
      <c r="AI44" s="60">
        <v>0</v>
      </c>
      <c r="AJ44" s="50"/>
      <c r="AK44" s="50"/>
      <c r="AL44" s="75"/>
    </row>
    <row r="45" spans="1:38" s="54" customFormat="1" ht="15" customHeight="1" thickBot="1">
      <c r="A45" s="113"/>
      <c r="B45" s="160" t="s">
        <v>642</v>
      </c>
      <c r="C45" s="17"/>
      <c r="D45" s="60">
        <v>-1565</v>
      </c>
      <c r="E45" s="60">
        <v>-808</v>
      </c>
      <c r="F45" s="60">
        <v>-938</v>
      </c>
      <c r="G45" s="60">
        <v>-50</v>
      </c>
      <c r="H45" s="93">
        <v>-3361</v>
      </c>
      <c r="I45" s="48"/>
      <c r="J45" s="60">
        <v>-50</v>
      </c>
      <c r="K45" s="60">
        <v>-91</v>
      </c>
      <c r="L45" s="60">
        <v>-878</v>
      </c>
      <c r="M45" s="60">
        <v>-1704</v>
      </c>
      <c r="N45" s="93">
        <v>-2723</v>
      </c>
      <c r="O45" s="48"/>
      <c r="P45" s="60">
        <v>-71</v>
      </c>
      <c r="Q45" s="60">
        <v>-50</v>
      </c>
      <c r="R45" s="60">
        <v>-1156</v>
      </c>
      <c r="S45" s="60">
        <v>-6179</v>
      </c>
      <c r="T45" s="93">
        <v>-7456</v>
      </c>
      <c r="U45" s="48"/>
      <c r="V45" s="60">
        <v>-36753</v>
      </c>
      <c r="W45" s="60">
        <v>-41780</v>
      </c>
      <c r="X45" s="60">
        <v>-67826</v>
      </c>
      <c r="Y45" s="60">
        <v>-107800</v>
      </c>
      <c r="Z45" s="93">
        <v>-254159</v>
      </c>
      <c r="AA45" s="48"/>
      <c r="AB45" s="60">
        <v>-37046</v>
      </c>
      <c r="AC45" s="60">
        <v>-449</v>
      </c>
      <c r="AD45" s="60">
        <v>-7372</v>
      </c>
      <c r="AE45" s="60">
        <v>-48891</v>
      </c>
      <c r="AF45" s="93">
        <v>-93758</v>
      </c>
      <c r="AG45" s="95"/>
      <c r="AH45" s="60">
        <v>-37792</v>
      </c>
      <c r="AI45" s="60">
        <v>-52519</v>
      </c>
      <c r="AJ45" s="50"/>
      <c r="AK45" s="50"/>
      <c r="AL45" s="94"/>
    </row>
    <row r="46" spans="1:38" s="54" customFormat="1" ht="15" customHeight="1" thickTop="1">
      <c r="A46" s="113"/>
      <c r="B46" s="9"/>
      <c r="C46" s="115"/>
      <c r="D46" s="46"/>
      <c r="E46" s="46"/>
      <c r="F46" s="46"/>
      <c r="G46" s="46"/>
      <c r="H46" s="66"/>
      <c r="I46" s="48"/>
      <c r="J46" s="46"/>
      <c r="K46" s="46"/>
      <c r="L46" s="46"/>
      <c r="M46" s="46"/>
      <c r="N46" s="66"/>
      <c r="O46" s="48"/>
      <c r="P46" s="46"/>
      <c r="Q46" s="46"/>
      <c r="R46" s="46"/>
      <c r="S46" s="46"/>
      <c r="T46" s="66"/>
      <c r="U46" s="48"/>
      <c r="V46" s="46"/>
      <c r="W46" s="46"/>
      <c r="X46" s="46"/>
      <c r="Y46" s="46"/>
      <c r="Z46" s="66"/>
      <c r="AA46" s="81"/>
      <c r="AB46" s="46"/>
      <c r="AC46" s="46"/>
      <c r="AD46" s="46"/>
      <c r="AE46" s="46"/>
      <c r="AF46" s="66"/>
      <c r="AG46" s="82"/>
      <c r="AH46" s="46"/>
      <c r="AI46" s="46"/>
      <c r="AJ46" s="50"/>
      <c r="AK46" s="50"/>
      <c r="AL46" s="68"/>
    </row>
    <row r="47" spans="1:38" s="54" customFormat="1" ht="15" customHeight="1">
      <c r="A47" s="44" t="s">
        <v>33</v>
      </c>
      <c r="B47" s="158" t="s">
        <v>643</v>
      </c>
      <c r="C47" s="17"/>
      <c r="D47" s="60">
        <v>0</v>
      </c>
      <c r="E47" s="60">
        <v>0</v>
      </c>
      <c r="F47" s="60">
        <v>0</v>
      </c>
      <c r="G47" s="60">
        <v>0</v>
      </c>
      <c r="H47" s="66">
        <v>0</v>
      </c>
      <c r="I47" s="48"/>
      <c r="J47" s="60">
        <v>0</v>
      </c>
      <c r="K47" s="60">
        <v>0</v>
      </c>
      <c r="L47" s="60">
        <v>0</v>
      </c>
      <c r="M47" s="60">
        <v>0</v>
      </c>
      <c r="N47" s="66">
        <v>0</v>
      </c>
      <c r="O47" s="48"/>
      <c r="P47" s="60">
        <v>0</v>
      </c>
      <c r="Q47" s="60">
        <v>0</v>
      </c>
      <c r="R47" s="60">
        <v>0</v>
      </c>
      <c r="S47" s="60">
        <v>0</v>
      </c>
      <c r="T47" s="66">
        <v>0</v>
      </c>
      <c r="U47" s="48"/>
      <c r="V47" s="60">
        <v>0</v>
      </c>
      <c r="W47" s="60">
        <v>0</v>
      </c>
      <c r="X47" s="60">
        <v>0</v>
      </c>
      <c r="Y47" s="60">
        <v>0</v>
      </c>
      <c r="Z47" s="66">
        <v>0</v>
      </c>
      <c r="AA47" s="48"/>
      <c r="AB47" s="60">
        <v>0</v>
      </c>
      <c r="AC47" s="60">
        <v>0</v>
      </c>
      <c r="AD47" s="60">
        <v>0</v>
      </c>
      <c r="AE47" s="60">
        <v>0</v>
      </c>
      <c r="AF47" s="66">
        <v>0</v>
      </c>
      <c r="AG47" s="95"/>
      <c r="AH47" s="60">
        <v>0</v>
      </c>
      <c r="AI47" s="60">
        <v>0</v>
      </c>
      <c r="AJ47" s="50"/>
      <c r="AK47" s="50"/>
      <c r="AL47" s="68"/>
    </row>
    <row r="49" spans="1:35" s="54" customFormat="1" ht="15" customHeight="1">
      <c r="A49" s="44" t="s">
        <v>33</v>
      </c>
      <c r="B49" s="158" t="s">
        <v>644</v>
      </c>
      <c r="C49" s="17"/>
      <c r="D49" s="60">
        <v>-22861</v>
      </c>
      <c r="E49" s="60">
        <v>-35138</v>
      </c>
      <c r="F49" s="60">
        <v>56505</v>
      </c>
      <c r="G49" s="60">
        <v>10377</v>
      </c>
      <c r="H49" s="74">
        <v>8883</v>
      </c>
      <c r="I49" s="48"/>
      <c r="J49" s="60">
        <v>-35321</v>
      </c>
      <c r="K49" s="60">
        <v>4499</v>
      </c>
      <c r="L49" s="60">
        <v>5609</v>
      </c>
      <c r="M49" s="60">
        <v>4435</v>
      </c>
      <c r="N49" s="74">
        <v>-20778</v>
      </c>
      <c r="O49" s="48"/>
      <c r="P49" s="60">
        <v>-40668</v>
      </c>
      <c r="Q49" s="60">
        <v>-1200</v>
      </c>
      <c r="R49" s="60">
        <v>105</v>
      </c>
      <c r="S49" s="60">
        <v>122587</v>
      </c>
      <c r="T49" s="74">
        <v>1732</v>
      </c>
      <c r="U49" s="48"/>
      <c r="V49" s="60">
        <v>76937</v>
      </c>
      <c r="W49" s="60">
        <v>42614</v>
      </c>
      <c r="X49" s="60">
        <v>42979</v>
      </c>
      <c r="Y49" s="60">
        <v>71210</v>
      </c>
      <c r="Z49" s="74">
        <v>233740</v>
      </c>
      <c r="AA49" s="48"/>
      <c r="AB49" s="60">
        <v>67519</v>
      </c>
      <c r="AC49" s="60">
        <v>1440</v>
      </c>
      <c r="AD49" s="60">
        <v>5340</v>
      </c>
      <c r="AE49" s="60">
        <v>-129245</v>
      </c>
      <c r="AF49" s="74">
        <v>-54946</v>
      </c>
      <c r="AG49" s="95"/>
      <c r="AH49" s="60">
        <v>-56211</v>
      </c>
      <c r="AI49" s="60">
        <v>-41371</v>
      </c>
    </row>
    <row r="50" spans="1:35" s="54" customFormat="1" ht="15" customHeight="1" thickBot="1">
      <c r="B50" s="158" t="s">
        <v>645</v>
      </c>
      <c r="C50" s="115"/>
      <c r="D50" s="60">
        <v>46386</v>
      </c>
      <c r="E50" s="60">
        <v>11248</v>
      </c>
      <c r="F50" s="60">
        <v>67753</v>
      </c>
      <c r="G50" s="60">
        <v>78130</v>
      </c>
      <c r="H50" s="93">
        <v>78130</v>
      </c>
      <c r="I50" s="48"/>
      <c r="J50" s="60">
        <v>42809</v>
      </c>
      <c r="K50" s="60">
        <v>47308</v>
      </c>
      <c r="L50" s="60">
        <v>52917</v>
      </c>
      <c r="M50" s="60">
        <v>57352</v>
      </c>
      <c r="N50" s="93">
        <v>57352</v>
      </c>
      <c r="O50" s="48"/>
      <c r="P50" s="60">
        <v>16684</v>
      </c>
      <c r="Q50" s="60">
        <v>15484</v>
      </c>
      <c r="R50" s="60">
        <v>15589</v>
      </c>
      <c r="S50" s="60">
        <v>59084</v>
      </c>
      <c r="T50" s="93">
        <v>59084</v>
      </c>
      <c r="U50" s="48"/>
      <c r="V50" s="60">
        <v>136021</v>
      </c>
      <c r="W50" s="60">
        <v>178635</v>
      </c>
      <c r="X50" s="60">
        <v>221614</v>
      </c>
      <c r="Y50" s="60">
        <v>292824</v>
      </c>
      <c r="Z50" s="93">
        <v>292824</v>
      </c>
      <c r="AA50" s="48"/>
      <c r="AB50" s="60">
        <v>360343</v>
      </c>
      <c r="AC50" s="60">
        <v>361783</v>
      </c>
      <c r="AD50" s="60">
        <v>367123</v>
      </c>
      <c r="AE50" s="60">
        <v>237878</v>
      </c>
      <c r="AF50" s="93">
        <v>237878</v>
      </c>
      <c r="AG50" s="95"/>
      <c r="AH50" s="60">
        <v>181667</v>
      </c>
      <c r="AI50" s="60">
        <v>140296</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zoomScaleNormal="100" workbookViewId="0">
      <selection activeCell="D17" sqref="D17"/>
    </sheetView>
  </sheetViews>
  <sheetFormatPr defaultColWidth="9" defaultRowHeight="14.25" customHeight="1" outlineLevelCol="1"/>
  <cols>
    <col min="1" max="1" width="2.125" style="97" customWidth="1"/>
    <col min="2" max="2" width="50.625" style="97" customWidth="1"/>
    <col min="3" max="3" width="3.37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7" width="9.625" style="97" customWidth="1" outlineLevel="1"/>
    <col min="38" max="38" width="11.625" style="97" customWidth="1"/>
    <col min="39" max="39" width="1.625" style="23" customWidth="1"/>
    <col min="40" max="43" width="9.625" style="97" customWidth="1" outlineLevel="1"/>
    <col min="44" max="44" width="11.625" style="97" customWidth="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1:50" s="582" customFormat="1" ht="15" customHeight="1"/>
    <row r="2" spans="1:50" s="582" customFormat="1" ht="15" customHeight="1"/>
    <row r="3" spans="1:50" s="582" customFormat="1" ht="15" customHeight="1"/>
    <row r="4" spans="1:50" s="582" customFormat="1" ht="15" customHeight="1"/>
    <row r="5" spans="1:50" s="288" customFormat="1" ht="3.95" customHeight="1">
      <c r="C5" s="36"/>
      <c r="I5" s="36"/>
      <c r="O5" s="36"/>
      <c r="U5" s="36"/>
      <c r="AA5" s="36"/>
      <c r="AG5" s="36"/>
      <c r="AM5" s="36"/>
      <c r="AS5" s="36"/>
      <c r="AU5" s="36"/>
      <c r="AV5" s="289"/>
      <c r="AW5" s="36"/>
    </row>
    <row r="7" spans="1:50" s="41" customFormat="1" ht="15" customHeight="1">
      <c r="B7" s="161" t="s">
        <v>646</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row>
    <row r="8" spans="1:50" s="41" customFormat="1" ht="15" customHeight="1">
      <c r="B8" s="164"/>
      <c r="C8" s="18"/>
      <c r="D8" s="743">
        <v>2020</v>
      </c>
      <c r="E8" s="743"/>
      <c r="F8" s="743"/>
      <c r="G8" s="743"/>
      <c r="H8" s="743"/>
      <c r="I8" s="169"/>
      <c r="J8" s="743">
        <f>D8+1</f>
        <v>2021</v>
      </c>
      <c r="K8" s="743"/>
      <c r="L8" s="743"/>
      <c r="M8" s="743"/>
      <c r="N8" s="743"/>
      <c r="O8" s="169"/>
      <c r="P8" s="743">
        <f>J8+1</f>
        <v>2022</v>
      </c>
      <c r="Q8" s="743"/>
      <c r="R8" s="743"/>
      <c r="S8" s="743"/>
      <c r="T8" s="743"/>
      <c r="U8" s="169"/>
      <c r="V8" s="743">
        <f>P8+1</f>
        <v>2023</v>
      </c>
      <c r="W8" s="743"/>
      <c r="X8" s="743"/>
      <c r="Y8" s="743"/>
      <c r="Z8" s="743"/>
      <c r="AA8" s="169"/>
      <c r="AB8" s="743">
        <f>V8+1</f>
        <v>2024</v>
      </c>
      <c r="AC8" s="743"/>
      <c r="AD8" s="743"/>
      <c r="AE8" s="743"/>
      <c r="AF8" s="743"/>
      <c r="AG8" s="169"/>
      <c r="AH8" s="742">
        <f>AB8+1</f>
        <v>2025</v>
      </c>
      <c r="AI8" s="742"/>
      <c r="AJ8" s="742"/>
      <c r="AK8" s="742"/>
      <c r="AL8" s="742"/>
      <c r="AM8" s="169"/>
      <c r="AN8" s="742">
        <f>AH8+1</f>
        <v>2026</v>
      </c>
      <c r="AO8" s="742"/>
      <c r="AP8" s="742"/>
      <c r="AQ8" s="742"/>
      <c r="AR8" s="742"/>
      <c r="AS8" s="171"/>
      <c r="AT8" s="166">
        <f>AN8+1</f>
        <v>2027</v>
      </c>
      <c r="AU8" s="167"/>
      <c r="AV8" s="166">
        <f>+AT8+1</f>
        <v>2028</v>
      </c>
      <c r="AW8" s="167"/>
      <c r="AX8" s="166">
        <f>+AV8+1</f>
        <v>2029</v>
      </c>
    </row>
    <row r="9" spans="1:50" s="41" customFormat="1" ht="14.25" customHeight="1">
      <c r="B9" s="164"/>
      <c r="C9" s="18"/>
      <c r="D9" s="168" t="s">
        <v>202</v>
      </c>
      <c r="E9" s="168" t="s">
        <v>203</v>
      </c>
      <c r="F9" s="168" t="s">
        <v>204</v>
      </c>
      <c r="G9" s="168" t="s">
        <v>205</v>
      </c>
      <c r="H9" s="168" t="s">
        <v>206</v>
      </c>
      <c r="I9" s="18"/>
      <c r="J9" s="168" t="s">
        <v>202</v>
      </c>
      <c r="K9" s="168" t="s">
        <v>203</v>
      </c>
      <c r="L9" s="168" t="s">
        <v>204</v>
      </c>
      <c r="M9" s="168" t="s">
        <v>205</v>
      </c>
      <c r="N9" s="168" t="s">
        <v>206</v>
      </c>
      <c r="O9" s="165"/>
      <c r="P9" s="168" t="s">
        <v>202</v>
      </c>
      <c r="Q9" s="168" t="s">
        <v>203</v>
      </c>
      <c r="R9" s="168" t="s">
        <v>204</v>
      </c>
      <c r="S9" s="168" t="s">
        <v>205</v>
      </c>
      <c r="T9" s="168" t="s">
        <v>206</v>
      </c>
      <c r="U9" s="165"/>
      <c r="V9" s="168" t="s">
        <v>202</v>
      </c>
      <c r="W9" s="168" t="s">
        <v>203</v>
      </c>
      <c r="X9" s="168" t="s">
        <v>204</v>
      </c>
      <c r="Y9" s="168" t="s">
        <v>205</v>
      </c>
      <c r="Z9" s="168" t="s">
        <v>206</v>
      </c>
      <c r="AA9" s="165"/>
      <c r="AB9" s="168" t="s">
        <v>202</v>
      </c>
      <c r="AC9" s="168" t="s">
        <v>203</v>
      </c>
      <c r="AD9" s="168" t="s">
        <v>204</v>
      </c>
      <c r="AE9" s="168" t="s">
        <v>205</v>
      </c>
      <c r="AF9" s="168" t="s">
        <v>206</v>
      </c>
      <c r="AG9" s="165"/>
      <c r="AH9" s="168" t="s">
        <v>202</v>
      </c>
      <c r="AI9" s="168" t="s">
        <v>203</v>
      </c>
      <c r="AJ9" s="168" t="s">
        <v>204</v>
      </c>
      <c r="AK9" s="168" t="s">
        <v>205</v>
      </c>
      <c r="AL9" s="168" t="s">
        <v>206</v>
      </c>
      <c r="AM9" s="165"/>
      <c r="AN9" s="168" t="s">
        <v>202</v>
      </c>
      <c r="AO9" s="168" t="s">
        <v>203</v>
      </c>
      <c r="AP9" s="168" t="s">
        <v>204</v>
      </c>
      <c r="AQ9" s="168" t="s">
        <v>205</v>
      </c>
      <c r="AR9" s="168" t="s">
        <v>206</v>
      </c>
      <c r="AS9" s="165"/>
      <c r="AT9" s="168" t="s">
        <v>206</v>
      </c>
      <c r="AU9" s="165"/>
      <c r="AV9" s="168" t="s">
        <v>206</v>
      </c>
      <c r="AW9" s="165"/>
      <c r="AX9" s="168" t="s">
        <v>206</v>
      </c>
    </row>
    <row r="10" spans="1:50" s="41" customFormat="1"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s="41" customFormat="1"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4.25" customHeight="1">
      <c r="A12" s="44" t="s">
        <v>33</v>
      </c>
      <c r="B12" s="65" t="s">
        <v>542</v>
      </c>
      <c r="D12" s="208"/>
      <c r="E12" s="208"/>
      <c r="F12" s="208"/>
      <c r="G12" s="208"/>
      <c r="H12" s="209"/>
      <c r="I12" s="210"/>
      <c r="J12" s="208"/>
      <c r="K12" s="208"/>
      <c r="L12" s="208"/>
      <c r="M12" s="208"/>
      <c r="N12" s="209"/>
      <c r="O12" s="209"/>
      <c r="P12" s="208"/>
      <c r="Q12" s="208"/>
      <c r="R12" s="208"/>
      <c r="S12" s="208"/>
      <c r="T12" s="209"/>
      <c r="U12" s="209"/>
      <c r="V12" s="208"/>
      <c r="W12" s="208"/>
      <c r="X12" s="208"/>
      <c r="Y12" s="208"/>
      <c r="Z12" s="209"/>
      <c r="AA12" s="209"/>
      <c r="AB12" s="208"/>
      <c r="AC12" s="208"/>
      <c r="AD12" s="208"/>
      <c r="AE12" s="208"/>
      <c r="AF12" s="209"/>
      <c r="AG12" s="211"/>
      <c r="AH12" s="208"/>
      <c r="AI12" s="208"/>
      <c r="AJ12" s="212"/>
      <c r="AK12" s="212"/>
      <c r="AL12" s="209"/>
      <c r="AM12" s="213"/>
      <c r="AN12" s="212"/>
      <c r="AO12" s="212"/>
      <c r="AP12" s="212"/>
      <c r="AQ12" s="212"/>
      <c r="AR12" s="209"/>
      <c r="AS12" s="213"/>
      <c r="AT12" s="214"/>
      <c r="AU12" s="215"/>
      <c r="AV12" s="214"/>
      <c r="AW12" s="215"/>
      <c r="AX12" s="214"/>
    </row>
    <row r="13" spans="1:50" ht="14.25" customHeight="1">
      <c r="A13" s="55"/>
      <c r="B13" s="70" t="s">
        <v>543</v>
      </c>
      <c r="D13" s="208"/>
      <c r="E13" s="208"/>
      <c r="F13" s="208"/>
      <c r="G13" s="208"/>
      <c r="H13" s="209" t="str">
        <f>IF(ROUND(SUM(IS!D13:G13),1)=ROUND(IS!H13,1),"OK","ERROR")</f>
        <v>OK</v>
      </c>
      <c r="I13" s="210"/>
      <c r="J13" s="208"/>
      <c r="K13" s="208"/>
      <c r="L13" s="208"/>
      <c r="M13" s="208"/>
      <c r="N13" s="209" t="str">
        <f>IF(ROUND(SUM(IS!J13:M13),1)=ROUND(IS!N13,1),"OK","ERROR")</f>
        <v>OK</v>
      </c>
      <c r="O13" s="209"/>
      <c r="P13" s="208"/>
      <c r="Q13" s="208"/>
      <c r="R13" s="208"/>
      <c r="S13" s="208"/>
      <c r="T13" s="209" t="str">
        <f>IF(ROUND(SUM(IS!P13:S13),1)=ROUND(IS!T13,1),"OK","ERROR")</f>
        <v>OK</v>
      </c>
      <c r="U13" s="209"/>
      <c r="V13" s="208"/>
      <c r="W13" s="208"/>
      <c r="X13" s="208"/>
      <c r="Y13" s="208"/>
      <c r="Z13" s="209" t="str">
        <f>IF(ROUND(SUM(IS!V13:Y13),1)=ROUND(IS!Z13,1),"OK","ERROR")</f>
        <v>OK</v>
      </c>
      <c r="AA13" s="209"/>
      <c r="AB13" s="208"/>
      <c r="AC13" s="208"/>
      <c r="AD13" s="208"/>
      <c r="AE13" s="208"/>
      <c r="AF13" s="209" t="str">
        <f>IF(ROUND(SUM(IS!AB13:AE13),1)=ROUND(IS!AF13,1),"OK","ERROR")</f>
        <v>OK</v>
      </c>
      <c r="AG13" s="211"/>
      <c r="AH13" s="208"/>
      <c r="AI13" s="208"/>
      <c r="AJ13" s="212"/>
      <c r="AK13" s="212"/>
      <c r="AL13" s="209" t="str">
        <f>IF(ROUND(SUM(IS!AH13:AK13),1)=ROUND(IS!AL13,1),"OK","ERROR")</f>
        <v>OK</v>
      </c>
      <c r="AM13" s="213"/>
      <c r="AN13" s="212"/>
      <c r="AO13" s="212"/>
      <c r="AP13" s="212"/>
      <c r="AQ13" s="212"/>
      <c r="AR13" s="209" t="str">
        <f>IF(ROUND(SUM(IS!AN13:AQ13),1)=ROUND(IS!AR13,1),"OK","ERROR")</f>
        <v>OK</v>
      </c>
      <c r="AS13" s="213"/>
      <c r="AT13" s="209"/>
      <c r="AU13" s="215"/>
      <c r="AV13" s="209"/>
      <c r="AW13" s="215"/>
      <c r="AX13" s="209"/>
    </row>
    <row r="14" spans="1:50" ht="14.25" customHeight="1">
      <c r="A14" s="55"/>
      <c r="B14" s="70" t="s">
        <v>544</v>
      </c>
      <c r="D14" s="208"/>
      <c r="E14" s="208"/>
      <c r="F14" s="208"/>
      <c r="G14" s="208"/>
      <c r="H14" s="209" t="str">
        <f>IF(ROUND(SUM(IS!D14:G14),1)=ROUND(IS!H14,1),"OK","ERROR")</f>
        <v>OK</v>
      </c>
      <c r="I14" s="210"/>
      <c r="J14" s="208"/>
      <c r="K14" s="208"/>
      <c r="L14" s="208"/>
      <c r="M14" s="208"/>
      <c r="N14" s="209" t="str">
        <f>IF(ROUND(SUM(IS!J14:M14),1)=ROUND(IS!N14,1),"OK","ERROR")</f>
        <v>OK</v>
      </c>
      <c r="O14" s="209"/>
      <c r="P14" s="208"/>
      <c r="Q14" s="208"/>
      <c r="R14" s="208"/>
      <c r="S14" s="208"/>
      <c r="T14" s="209" t="str">
        <f>IF(ROUND(SUM(IS!P14:S14),1)=ROUND(IS!T14,1),"OK","ERROR")</f>
        <v>OK</v>
      </c>
      <c r="U14" s="209"/>
      <c r="V14" s="208"/>
      <c r="W14" s="208"/>
      <c r="X14" s="208"/>
      <c r="Y14" s="208"/>
      <c r="Z14" s="209" t="str">
        <f>IF(ROUND(SUM(IS!V14:Y14),1)=ROUND(IS!Z14,1),"OK","ERROR")</f>
        <v>OK</v>
      </c>
      <c r="AA14" s="209"/>
      <c r="AB14" s="208"/>
      <c r="AC14" s="208"/>
      <c r="AD14" s="208"/>
      <c r="AE14" s="208"/>
      <c r="AF14" s="209" t="str">
        <f>IF(ROUND(SUM(IS!AB14:AE14),1)=ROUND(IS!AF14,1),"OK","ERROR")</f>
        <v>OK</v>
      </c>
      <c r="AG14" s="211"/>
      <c r="AH14" s="208"/>
      <c r="AI14" s="208"/>
      <c r="AJ14" s="212"/>
      <c r="AK14" s="212"/>
      <c r="AL14" s="209" t="str">
        <f>IF(ROUND(SUM(IS!AH14:AK14),1)=ROUND(IS!AL14,1),"OK","ERROR")</f>
        <v>OK</v>
      </c>
      <c r="AM14" s="213"/>
      <c r="AN14" s="212"/>
      <c r="AO14" s="212"/>
      <c r="AP14" s="212"/>
      <c r="AQ14" s="212"/>
      <c r="AR14" s="209" t="str">
        <f>IF(ROUND(SUM(IS!AN14:AQ14),1)=ROUND(IS!AR14,1),"OK","ERROR")</f>
        <v>OK</v>
      </c>
      <c r="AS14" s="213"/>
      <c r="AT14" s="209"/>
      <c r="AU14" s="215"/>
      <c r="AV14" s="209"/>
      <c r="AW14" s="215"/>
      <c r="AX14" s="209"/>
    </row>
    <row r="15" spans="1:50" ht="14.25" customHeight="1">
      <c r="A15" s="55"/>
      <c r="B15" s="70" t="s">
        <v>545</v>
      </c>
      <c r="D15" s="208"/>
      <c r="E15" s="208"/>
      <c r="F15" s="208"/>
      <c r="G15" s="208"/>
      <c r="H15" s="209" t="str">
        <f>IF(ROUND(SUM(IS!D15:G15),1)=ROUND(IS!H15,1),"OK","ERROR")</f>
        <v>OK</v>
      </c>
      <c r="I15" s="210"/>
      <c r="J15" s="208"/>
      <c r="K15" s="208"/>
      <c r="L15" s="208"/>
      <c r="M15" s="208"/>
      <c r="N15" s="209" t="str">
        <f>IF(ROUND(SUM(IS!J15:M15),1)=ROUND(IS!N15,1),"OK","ERROR")</f>
        <v>OK</v>
      </c>
      <c r="O15" s="209"/>
      <c r="P15" s="208"/>
      <c r="Q15" s="208"/>
      <c r="R15" s="208"/>
      <c r="S15" s="208"/>
      <c r="T15" s="209" t="str">
        <f>IF(ROUND(SUM(IS!P15:S15),1)=ROUND(IS!T15,1),"OK","ERROR")</f>
        <v>OK</v>
      </c>
      <c r="U15" s="209"/>
      <c r="V15" s="208"/>
      <c r="W15" s="208"/>
      <c r="X15" s="208"/>
      <c r="Y15" s="208"/>
      <c r="Z15" s="209" t="str">
        <f>IF(ROUND(SUM(IS!V15:Y15),1)=ROUND(IS!Z15,1),"OK","ERROR")</f>
        <v>OK</v>
      </c>
      <c r="AA15" s="209"/>
      <c r="AB15" s="208"/>
      <c r="AC15" s="208"/>
      <c r="AD15" s="208"/>
      <c r="AE15" s="208"/>
      <c r="AF15" s="209" t="str">
        <f>IF(ROUND(SUM(IS!AB15:AE15),1)=ROUND(IS!AF15,1),"OK","ERROR")</f>
        <v>OK</v>
      </c>
      <c r="AG15" s="211"/>
      <c r="AH15" s="208"/>
      <c r="AI15" s="208"/>
      <c r="AJ15" s="212"/>
      <c r="AK15" s="212"/>
      <c r="AL15" s="209" t="str">
        <f>IF(ROUND(SUM(IS!AH15:AK15),1)=ROUND(IS!AL15,1),"OK","ERROR")</f>
        <v>OK</v>
      </c>
      <c r="AM15" s="213"/>
      <c r="AN15" s="212"/>
      <c r="AO15" s="212"/>
      <c r="AP15" s="212"/>
      <c r="AQ15" s="212"/>
      <c r="AR15" s="209" t="str">
        <f>IF(ROUND(SUM(IS!AN15:AQ15),1)=ROUND(IS!AR15,1),"OK","ERROR")</f>
        <v>OK</v>
      </c>
      <c r="AS15" s="213"/>
      <c r="AT15" s="209"/>
      <c r="AU15" s="215"/>
      <c r="AV15" s="209"/>
      <c r="AW15" s="215"/>
      <c r="AX15" s="209"/>
    </row>
    <row r="16" spans="1:50" ht="14.25" customHeight="1">
      <c r="A16" s="55"/>
      <c r="B16" s="70" t="s">
        <v>546</v>
      </c>
      <c r="D16" s="208"/>
      <c r="E16" s="208"/>
      <c r="F16" s="208"/>
      <c r="G16" s="208"/>
      <c r="H16" s="216" t="str">
        <f>IF(ROUND(SUM(IS!D16:G16),1)=ROUND(IS!H16,1),"OK","ERROR")</f>
        <v>OK</v>
      </c>
      <c r="I16" s="210"/>
      <c r="J16" s="208"/>
      <c r="K16" s="208"/>
      <c r="L16" s="208"/>
      <c r="M16" s="208"/>
      <c r="N16" s="216" t="str">
        <f>IF(ROUND(SUM(IS!J16:M16),1)=ROUND(IS!N16,1),"OK","ERROR")</f>
        <v>OK</v>
      </c>
      <c r="O16" s="216"/>
      <c r="P16" s="208"/>
      <c r="Q16" s="208"/>
      <c r="R16" s="208"/>
      <c r="S16" s="208"/>
      <c r="T16" s="216" t="str">
        <f>IF(ROUND(SUM(IS!P16:S16),1)=ROUND(IS!T16,1),"OK","ERROR")</f>
        <v>OK</v>
      </c>
      <c r="U16" s="216"/>
      <c r="V16" s="208"/>
      <c r="W16" s="208"/>
      <c r="X16" s="208"/>
      <c r="Y16" s="208"/>
      <c r="Z16" s="216" t="str">
        <f>IF(ROUND(SUM(IS!V16:Y16),1)=ROUND(IS!Z16,1),"OK","ERROR")</f>
        <v>OK</v>
      </c>
      <c r="AA16" s="216"/>
      <c r="AB16" s="208"/>
      <c r="AC16" s="208"/>
      <c r="AD16" s="208"/>
      <c r="AE16" s="208"/>
      <c r="AF16" s="216" t="str">
        <f>IF(ROUND(SUM(IS!AB16:AE16),1)=ROUND(IS!AF16,1),"OK","ERROR")</f>
        <v>OK</v>
      </c>
      <c r="AG16" s="211"/>
      <c r="AH16" s="208"/>
      <c r="AI16" s="208"/>
      <c r="AJ16" s="212"/>
      <c r="AK16" s="212"/>
      <c r="AL16" s="216" t="str">
        <f>IF(ROUND(SUM(IS!AH16:AK16),1)=ROUND(IS!AL16,1),"OK","ERROR")</f>
        <v>OK</v>
      </c>
      <c r="AM16" s="213"/>
      <c r="AN16" s="212"/>
      <c r="AO16" s="212"/>
      <c r="AP16" s="212"/>
      <c r="AQ16" s="212"/>
      <c r="AR16" s="216" t="str">
        <f>IF(ROUND(SUM(IS!AN16:AQ16),1)=ROUND(IS!AR16,1),"OK","ERROR")</f>
        <v>OK</v>
      </c>
      <c r="AS16" s="213"/>
      <c r="AT16" s="216"/>
      <c r="AU16" s="215"/>
      <c r="AV16" s="216"/>
      <c r="AW16" s="215"/>
      <c r="AX16" s="216"/>
    </row>
    <row r="17" spans="1:44" ht="14.25" customHeight="1">
      <c r="A17" s="55"/>
      <c r="B17" s="70" t="s">
        <v>547</v>
      </c>
      <c r="D17" s="208"/>
      <c r="E17" s="208"/>
      <c r="F17" s="208"/>
      <c r="G17" s="208"/>
      <c r="H17" s="216" t="str">
        <f>IF(ROUND(SUM(IS!D17:G17),1)=ROUND(IS!H17,1),"OK","ERROR")</f>
        <v>OK</v>
      </c>
      <c r="I17" s="210"/>
      <c r="J17" s="208"/>
      <c r="K17" s="208"/>
      <c r="L17" s="208"/>
      <c r="M17" s="208"/>
      <c r="N17" s="216" t="str">
        <f>IF(ROUND(SUM(IS!J17:M17),1)=ROUND(IS!N17,1),"OK","ERROR")</f>
        <v>OK</v>
      </c>
      <c r="O17" s="216"/>
      <c r="P17" s="208"/>
      <c r="Q17" s="208"/>
      <c r="R17" s="208"/>
      <c r="S17" s="208"/>
      <c r="T17" s="216" t="str">
        <f>IF(ROUND(SUM(IS!P17:S17),1)=ROUND(IS!T17,1),"OK","ERROR")</f>
        <v>OK</v>
      </c>
      <c r="U17" s="216"/>
      <c r="V17" s="208"/>
      <c r="W17" s="208"/>
      <c r="X17" s="208"/>
      <c r="Y17" s="208"/>
      <c r="Z17" s="216" t="str">
        <f>IF(ROUND(SUM(IS!V17:Y17),1)=ROUND(IS!Z17,1),"OK","ERROR")</f>
        <v>OK</v>
      </c>
      <c r="AA17" s="216"/>
      <c r="AB17" s="208"/>
      <c r="AC17" s="208"/>
      <c r="AD17" s="208"/>
      <c r="AE17" s="208"/>
      <c r="AF17" s="216" t="str">
        <f>IF(ROUND(SUM(IS!AB17:AE17),1)=ROUND(IS!AF17,1),"OK","ERROR")</f>
        <v>OK</v>
      </c>
      <c r="AG17" s="211"/>
      <c r="AH17" s="208"/>
      <c r="AI17" s="208"/>
      <c r="AJ17" s="212"/>
      <c r="AK17" s="212"/>
      <c r="AL17" s="216" t="str">
        <f>IF(ROUND(SUM(IS!AH17:AK17),1)=ROUND(IS!AL17,1),"OK","ERROR")</f>
        <v>OK</v>
      </c>
      <c r="AM17" s="213"/>
      <c r="AN17" s="212"/>
      <c r="AO17" s="212"/>
      <c r="AP17" s="212"/>
      <c r="AQ17" s="212"/>
      <c r="AR17" s="216" t="str">
        <f>IF(ROUND(SUM(IS!AN17:AQ17),1)=ROUND(IS!AR17,1),"OK","ERROR")</f>
        <v>OK</v>
      </c>
    </row>
    <row r="18" spans="1:44" ht="14.25" customHeight="1">
      <c r="A18" s="55"/>
      <c r="B18" s="76" t="s">
        <v>211</v>
      </c>
      <c r="D18" s="217"/>
      <c r="E18" s="217"/>
      <c r="F18" s="217" t="s">
        <v>0</v>
      </c>
      <c r="G18" s="217"/>
      <c r="H18" s="218" t="str">
        <f>IF(ROUND(SUM(IS!D18:G18),1)=ROUND(IS!H18,1),"OK","ERROR")</f>
        <v>OK</v>
      </c>
      <c r="I18" s="210"/>
      <c r="J18" s="217"/>
      <c r="K18" s="217"/>
      <c r="L18" s="217"/>
      <c r="M18" s="217"/>
      <c r="N18" s="218" t="str">
        <f>IF(ROUND(SUM(IS!J18:M18),1)=ROUND(IS!N18,1),"OK","ERROR")</f>
        <v>ERROR</v>
      </c>
      <c r="O18" s="209"/>
      <c r="P18" s="217"/>
      <c r="Q18" s="217"/>
      <c r="R18" s="217"/>
      <c r="S18" s="217"/>
      <c r="T18" s="218" t="str">
        <f>IF(ROUND(SUM(IS!P18:S18),1)=ROUND(IS!T18,1),"OK","ERROR")</f>
        <v>ERROR</v>
      </c>
      <c r="U18" s="209"/>
      <c r="V18" s="217"/>
      <c r="W18" s="217"/>
      <c r="X18" s="217"/>
      <c r="Y18" s="217"/>
      <c r="Z18" s="218" t="str">
        <f>IF(ROUND(SUM(IS!V18:Y18),1)=ROUND(IS!Z18,1),"OK","ERROR")</f>
        <v>OK</v>
      </c>
      <c r="AA18" s="209"/>
      <c r="AB18" s="217"/>
      <c r="AC18" s="217"/>
      <c r="AD18" s="217"/>
      <c r="AE18" s="217"/>
      <c r="AF18" s="218" t="str">
        <f>IF(ROUND(SUM(IS!AB18:AE18),1)=ROUND(IS!AF18,1),"OK","ERROR")</f>
        <v>OK</v>
      </c>
      <c r="AG18" s="211"/>
      <c r="AH18" s="217"/>
      <c r="AI18" s="217"/>
      <c r="AJ18" s="219"/>
      <c r="AK18" s="219"/>
      <c r="AL18" s="218" t="str">
        <f>IF(ROUND(SUM(IS!AH18:AK18),1)=ROUND(IS!AL18,1),"OK","ERROR")</f>
        <v>OK</v>
      </c>
      <c r="AM18" s="213"/>
      <c r="AN18" s="219"/>
      <c r="AO18" s="219"/>
      <c r="AP18" s="219"/>
      <c r="AQ18" s="219"/>
      <c r="AR18" s="218" t="str">
        <f>IF(ROUND(SUM(IS!AN18:AQ18),1)=ROUND(IS!AR18,1),"OK","ERROR")</f>
        <v>OK</v>
      </c>
    </row>
    <row r="19" spans="1:44" ht="14.25" customHeight="1">
      <c r="A19" s="55"/>
      <c r="B19" s="64"/>
      <c r="D19" s="208"/>
      <c r="E19" s="208"/>
      <c r="F19" s="208"/>
      <c r="G19" s="208"/>
      <c r="H19" s="209"/>
      <c r="I19" s="210"/>
      <c r="J19" s="208"/>
      <c r="K19" s="208"/>
      <c r="L19" s="208"/>
      <c r="M19" s="208"/>
      <c r="N19" s="209"/>
      <c r="O19" s="209"/>
      <c r="P19" s="208"/>
      <c r="Q19" s="208"/>
      <c r="R19" s="208"/>
      <c r="S19" s="208"/>
      <c r="T19" s="209"/>
      <c r="U19" s="209"/>
      <c r="V19" s="208"/>
      <c r="W19" s="208"/>
      <c r="X19" s="208"/>
      <c r="Y19" s="208"/>
      <c r="Z19" s="209"/>
      <c r="AA19" s="209"/>
      <c r="AB19" s="208"/>
      <c r="AC19" s="208"/>
      <c r="AD19" s="208"/>
      <c r="AE19" s="208"/>
      <c r="AF19" s="209"/>
      <c r="AG19" s="211"/>
      <c r="AH19" s="208"/>
      <c r="AI19" s="208"/>
      <c r="AJ19" s="212"/>
      <c r="AK19" s="212"/>
      <c r="AL19" s="209"/>
      <c r="AM19" s="213"/>
      <c r="AN19" s="212"/>
      <c r="AO19" s="212"/>
      <c r="AP19" s="212"/>
      <c r="AQ19" s="212"/>
      <c r="AR19" s="209"/>
    </row>
    <row r="20" spans="1:44" ht="14.25" customHeight="1">
      <c r="A20" s="44" t="s">
        <v>33</v>
      </c>
      <c r="B20" s="65" t="s">
        <v>548</v>
      </c>
      <c r="D20" s="208"/>
      <c r="E20" s="208"/>
      <c r="F20" s="208"/>
      <c r="G20" s="208"/>
      <c r="H20" s="220"/>
      <c r="I20" s="210"/>
      <c r="J20" s="208"/>
      <c r="K20" s="208"/>
      <c r="L20" s="208"/>
      <c r="M20" s="208"/>
      <c r="N20" s="220"/>
      <c r="O20" s="210"/>
      <c r="P20" s="208"/>
      <c r="Q20" s="208"/>
      <c r="R20" s="208"/>
      <c r="S20" s="208"/>
      <c r="T20" s="220"/>
      <c r="U20" s="210"/>
      <c r="V20" s="208"/>
      <c r="W20" s="208"/>
      <c r="X20" s="208"/>
      <c r="Y20" s="208"/>
      <c r="Z20" s="220"/>
      <c r="AA20" s="213"/>
      <c r="AB20" s="208"/>
      <c r="AC20" s="208"/>
      <c r="AD20" s="208"/>
      <c r="AE20" s="208"/>
      <c r="AF20" s="220"/>
      <c r="AG20" s="211"/>
      <c r="AH20" s="208"/>
      <c r="AI20" s="208"/>
      <c r="AJ20" s="212"/>
      <c r="AK20" s="212"/>
      <c r="AL20" s="220"/>
      <c r="AM20" s="221"/>
      <c r="AN20" s="212"/>
      <c r="AO20" s="212"/>
      <c r="AP20" s="212"/>
      <c r="AQ20" s="212"/>
      <c r="AR20" s="220"/>
    </row>
    <row r="21" spans="1:44" ht="14.25" customHeight="1">
      <c r="A21" s="55"/>
      <c r="B21" s="70" t="s">
        <v>549</v>
      </c>
      <c r="D21" s="217"/>
      <c r="E21" s="217"/>
      <c r="F21" s="217"/>
      <c r="G21" s="217"/>
      <c r="H21" s="220" t="str">
        <f>IF(ROUND(SUM(IS!D21:G21),1)=ROUND(IS!H21,1),"OK","ERROR")</f>
        <v>OK</v>
      </c>
      <c r="I21" s="210"/>
      <c r="J21" s="217"/>
      <c r="K21" s="217"/>
      <c r="L21" s="217"/>
      <c r="M21" s="217"/>
      <c r="N21" s="220" t="str">
        <f>IF(ROUND(SUM(IS!J21:M21),1)=ROUND(IS!N21,1),"OK","ERROR")</f>
        <v>OK</v>
      </c>
      <c r="O21" s="210"/>
      <c r="P21" s="217"/>
      <c r="Q21" s="217"/>
      <c r="R21" s="217"/>
      <c r="S21" s="217"/>
      <c r="T21" s="220" t="str">
        <f>IF(ROUND(SUM(IS!P21:S21),1)=ROUND(IS!T21,1),"OK","ERROR")</f>
        <v>ERROR</v>
      </c>
      <c r="U21" s="210"/>
      <c r="V21" s="217"/>
      <c r="W21" s="217"/>
      <c r="X21" s="217"/>
      <c r="Y21" s="217"/>
      <c r="Z21" s="220" t="str">
        <f>IF(ROUND(SUM(IS!V21:Y21),1)=ROUND(IS!Z21,1),"OK","ERROR")</f>
        <v>OK</v>
      </c>
      <c r="AA21" s="213"/>
      <c r="AB21" s="217"/>
      <c r="AC21" s="217"/>
      <c r="AD21" s="217"/>
      <c r="AE21" s="217"/>
      <c r="AF21" s="220" t="str">
        <f>IF(ROUND(SUM(IS!AB21:AE21),1)=ROUND(IS!AF21,1),"OK","ERROR")</f>
        <v>OK</v>
      </c>
      <c r="AG21" s="211"/>
      <c r="AH21" s="217"/>
      <c r="AI21" s="217"/>
      <c r="AJ21" s="212"/>
      <c r="AK21" s="212"/>
      <c r="AL21" s="220" t="str">
        <f>IF(ROUND(SUM(IS!AH21:AK21),1)=ROUND(IS!AL21,1),"OK","ERROR")</f>
        <v>OK</v>
      </c>
      <c r="AM21" s="224"/>
      <c r="AN21" s="212"/>
      <c r="AO21" s="212"/>
      <c r="AP21" s="212"/>
      <c r="AQ21" s="212"/>
      <c r="AR21" s="220" t="str">
        <f>IF(ROUND(SUM(IS!AN21:AQ21),1)=ROUND(IS!AR21,1),"OK","ERROR")</f>
        <v>OK</v>
      </c>
    </row>
    <row r="22" spans="1:44" ht="14.25" customHeight="1">
      <c r="A22" s="73"/>
      <c r="B22" s="70" t="s">
        <v>550</v>
      </c>
      <c r="D22" s="217"/>
      <c r="E22" s="208"/>
      <c r="F22" s="208"/>
      <c r="G22" s="208"/>
      <c r="H22" s="226" t="str">
        <f>IF(ROUND(SUM(IS!D22:G22),1)=ROUND(IS!H22,1),"OK","ERROR")</f>
        <v>OK</v>
      </c>
      <c r="I22" s="210"/>
      <c r="J22" s="217"/>
      <c r="K22" s="217"/>
      <c r="L22" s="217"/>
      <c r="M22" s="217"/>
      <c r="N22" s="226" t="str">
        <f>IF(ROUND(SUM(IS!J22:M22),1)=ROUND(IS!N22,1),"OK","ERROR")</f>
        <v>OK</v>
      </c>
      <c r="O22" s="210"/>
      <c r="P22" s="217"/>
      <c r="Q22" s="217"/>
      <c r="R22" s="217"/>
      <c r="S22" s="217"/>
      <c r="T22" s="226" t="str">
        <f>IF(ROUND(SUM(IS!P22:S22),1)=ROUND(IS!T22,1),"OK","ERROR")</f>
        <v>OK</v>
      </c>
      <c r="U22" s="210"/>
      <c r="V22" s="217"/>
      <c r="W22" s="217"/>
      <c r="X22" s="217"/>
      <c r="Y22" s="217"/>
      <c r="Z22" s="226" t="str">
        <f>IF(ROUND(SUM(IS!V22:Y22),1)=ROUND(IS!Z22,1),"OK","ERROR")</f>
        <v>OK</v>
      </c>
      <c r="AA22" s="213"/>
      <c r="AB22" s="217"/>
      <c r="AC22" s="217"/>
      <c r="AD22" s="217"/>
      <c r="AE22" s="217"/>
      <c r="AF22" s="226" t="str">
        <f>IF(ROUND(SUM(IS!AB22:AE22),1)=ROUND(IS!AF22,1),"OK","ERROR")</f>
        <v>OK</v>
      </c>
      <c r="AG22" s="211"/>
      <c r="AH22" s="217"/>
      <c r="AI22" s="217"/>
      <c r="AJ22" s="212"/>
      <c r="AK22" s="212"/>
      <c r="AL22" s="226" t="str">
        <f>IF(ROUND(SUM(IS!AH22:AK22),1)=ROUND(IS!AL22,1),"OK","ERROR")</f>
        <v>OK</v>
      </c>
      <c r="AM22" s="224"/>
      <c r="AN22" s="212"/>
      <c r="AO22" s="212"/>
      <c r="AP22" s="212"/>
      <c r="AQ22" s="212"/>
      <c r="AR22" s="226" t="str">
        <f>IF(ROUND(SUM(IS!AN22:AQ22),1)=ROUND(IS!AR22,1),"OK","ERROR")</f>
        <v>OK</v>
      </c>
    </row>
    <row r="23" spans="1:44" ht="14.25" customHeight="1">
      <c r="A23" s="55"/>
      <c r="B23" s="76" t="s">
        <v>551</v>
      </c>
      <c r="D23" s="208"/>
      <c r="E23" s="208"/>
      <c r="F23" s="208"/>
      <c r="G23" s="208"/>
      <c r="H23" s="227" t="str">
        <f>IF(ROUND(SUM(IS!D23:G23),1)=ROUND(IS!H23,1),"OK","ERROR")</f>
        <v>OK</v>
      </c>
      <c r="I23" s="210"/>
      <c r="J23" s="208"/>
      <c r="K23" s="208"/>
      <c r="L23" s="208"/>
      <c r="M23" s="208"/>
      <c r="N23" s="227" t="str">
        <f>IF(ROUND(SUM(IS!J23:M23),1)=ROUND(IS!N23,1),"OK","ERROR")</f>
        <v>OK</v>
      </c>
      <c r="O23" s="210"/>
      <c r="P23" s="208"/>
      <c r="Q23" s="208"/>
      <c r="R23" s="208"/>
      <c r="S23" s="208"/>
      <c r="T23" s="227" t="str">
        <f>IF(ROUND(SUM(IS!P23:S23),1)=ROUND(IS!T23,1),"OK","ERROR")</f>
        <v>ERROR</v>
      </c>
      <c r="U23" s="210"/>
      <c r="V23" s="208"/>
      <c r="W23" s="208"/>
      <c r="X23" s="208"/>
      <c r="Y23" s="208"/>
      <c r="Z23" s="227" t="str">
        <f>IF(ROUND(SUM(IS!V23:Y23),1)=ROUND(IS!Z23,1),"OK","ERROR")</f>
        <v>OK</v>
      </c>
      <c r="AA23" s="213"/>
      <c r="AB23" s="208"/>
      <c r="AC23" s="208"/>
      <c r="AD23" s="208"/>
      <c r="AE23" s="208"/>
      <c r="AF23" s="227" t="str">
        <f>IF(ROUND(SUM(IS!AB23:AE23),1)=ROUND(IS!AF23,1),"OK","ERROR")</f>
        <v>OK</v>
      </c>
      <c r="AG23" s="211"/>
      <c r="AH23" s="208"/>
      <c r="AI23" s="208"/>
      <c r="AJ23" s="212"/>
      <c r="AK23" s="212"/>
      <c r="AL23" s="227" t="str">
        <f>IF(ROUND(SUM(IS!AH23:AK23),1)=ROUND(IS!AL23,1),"OK","ERROR")</f>
        <v>ERROR</v>
      </c>
      <c r="AM23" s="224"/>
      <c r="AN23" s="212"/>
      <c r="AO23" s="212"/>
      <c r="AP23" s="212"/>
      <c r="AQ23" s="212"/>
      <c r="AR23" s="227" t="str">
        <f>IF(ROUND(SUM(IS!AN23:AQ23),1)=ROUND(IS!AR23,1),"OK","ERROR")</f>
        <v>OK</v>
      </c>
    </row>
    <row r="24" spans="1:44" ht="14.25" customHeight="1">
      <c r="A24" s="73"/>
      <c r="B24" s="79" t="s">
        <v>231</v>
      </c>
      <c r="D24" s="208"/>
      <c r="E24" s="208"/>
      <c r="F24" s="208"/>
      <c r="G24" s="208"/>
      <c r="H24" s="227" t="str">
        <f>IF(ROUND(SUM(IS!D24:G24),1)=ROUND(IS!H24,1),"OK","ERROR")</f>
        <v>OK</v>
      </c>
      <c r="I24" s="210"/>
      <c r="J24" s="208"/>
      <c r="K24" s="208"/>
      <c r="L24" s="208"/>
      <c r="M24" s="208"/>
      <c r="N24" s="227" t="str">
        <f>IF(ROUND(SUM(IS!J24:M24),1)=ROUND(IS!N24,1),"OK","ERROR")</f>
        <v>ERROR</v>
      </c>
      <c r="O24" s="210"/>
      <c r="P24" s="208"/>
      <c r="Q24" s="208"/>
      <c r="R24" s="208"/>
      <c r="S24" s="208"/>
      <c r="T24" s="227" t="str">
        <f>IF(ROUND(SUM(IS!P24:S24),1)=ROUND(IS!T24,1),"OK","ERROR")</f>
        <v>OK</v>
      </c>
      <c r="U24" s="210"/>
      <c r="V24" s="208"/>
      <c r="W24" s="208"/>
      <c r="X24" s="208"/>
      <c r="Y24" s="208"/>
      <c r="Z24" s="227" t="str">
        <f>IF(ROUND(SUM(IS!V24:Y24),1)=ROUND(IS!Z24,1),"OK","ERROR")</f>
        <v>OK</v>
      </c>
      <c r="AA24" s="213"/>
      <c r="AB24" s="208"/>
      <c r="AC24" s="208"/>
      <c r="AD24" s="208"/>
      <c r="AE24" s="208"/>
      <c r="AF24" s="227" t="str">
        <f>IF(ROUND(SUM(IS!AB24:AE24),1)=ROUND(IS!AF24,1),"OK","ERROR")</f>
        <v>OK</v>
      </c>
      <c r="AG24" s="211"/>
      <c r="AH24" s="208"/>
      <c r="AI24" s="208"/>
      <c r="AJ24" s="212"/>
      <c r="AK24" s="212"/>
      <c r="AL24" s="227" t="str">
        <f>IF(ROUND(SUM(IS!AH24:AK24),1)=ROUND(IS!AL24,1),"OK","ERROR")</f>
        <v>OK</v>
      </c>
      <c r="AM24" s="224"/>
      <c r="AN24" s="212"/>
      <c r="AO24" s="212"/>
      <c r="AP24" s="212"/>
      <c r="AQ24" s="212"/>
      <c r="AR24" s="227" t="str">
        <f>IF(ROUND(SUM(IS!AN24:AQ24),1)=ROUND(IS!AR24,1),"OK","ERROR")</f>
        <v>OK</v>
      </c>
    </row>
    <row r="25" spans="1:44" ht="14.25" customHeight="1">
      <c r="A25" s="55"/>
      <c r="B25" s="80"/>
      <c r="D25" s="208"/>
      <c r="E25" s="208"/>
      <c r="F25" s="208"/>
      <c r="G25" s="208"/>
      <c r="H25" s="220"/>
      <c r="I25" s="210"/>
      <c r="J25" s="208"/>
      <c r="K25" s="208"/>
      <c r="L25" s="208"/>
      <c r="M25" s="208"/>
      <c r="N25" s="220"/>
      <c r="O25" s="210"/>
      <c r="P25" s="208"/>
      <c r="Q25" s="208"/>
      <c r="R25" s="208"/>
      <c r="S25" s="208"/>
      <c r="T25" s="220"/>
      <c r="U25" s="210"/>
      <c r="V25" s="208"/>
      <c r="W25" s="208"/>
      <c r="X25" s="208"/>
      <c r="Y25" s="208"/>
      <c r="Z25" s="220"/>
      <c r="AA25" s="213"/>
      <c r="AB25" s="208"/>
      <c r="AC25" s="208"/>
      <c r="AD25" s="208"/>
      <c r="AE25" s="208"/>
      <c r="AF25" s="220"/>
      <c r="AG25" s="211"/>
      <c r="AH25" s="208"/>
      <c r="AI25" s="208"/>
      <c r="AJ25" s="212"/>
      <c r="AK25" s="212"/>
      <c r="AL25" s="220"/>
      <c r="AM25" s="224"/>
      <c r="AN25" s="212"/>
      <c r="AO25" s="212"/>
      <c r="AP25" s="212"/>
      <c r="AQ25" s="212"/>
      <c r="AR25" s="220"/>
    </row>
    <row r="26" spans="1:44" ht="14.25" customHeight="1">
      <c r="A26" s="44" t="s">
        <v>33</v>
      </c>
      <c r="B26" s="65" t="s">
        <v>552</v>
      </c>
      <c r="D26" s="208"/>
      <c r="E26" s="208"/>
      <c r="F26" s="208"/>
      <c r="G26" s="208"/>
      <c r="H26" s="220"/>
      <c r="I26" s="210"/>
      <c r="J26" s="208"/>
      <c r="K26" s="208"/>
      <c r="L26" s="208"/>
      <c r="M26" s="208"/>
      <c r="N26" s="220"/>
      <c r="O26" s="210"/>
      <c r="P26" s="208"/>
      <c r="Q26" s="208"/>
      <c r="R26" s="208"/>
      <c r="S26" s="208"/>
      <c r="T26" s="220"/>
      <c r="U26" s="210"/>
      <c r="V26" s="208"/>
      <c r="W26" s="208"/>
      <c r="X26" s="208"/>
      <c r="Y26" s="208"/>
      <c r="Z26" s="220"/>
      <c r="AA26" s="228"/>
      <c r="AB26" s="208"/>
      <c r="AC26" s="208"/>
      <c r="AD26" s="208"/>
      <c r="AE26" s="208"/>
      <c r="AF26" s="220"/>
      <c r="AG26" s="229"/>
      <c r="AH26" s="208"/>
      <c r="AI26" s="208"/>
      <c r="AJ26" s="212"/>
      <c r="AK26" s="212"/>
      <c r="AL26" s="220"/>
      <c r="AM26" s="228"/>
      <c r="AN26" s="212"/>
      <c r="AO26" s="212"/>
      <c r="AP26" s="212"/>
      <c r="AQ26" s="212"/>
      <c r="AR26" s="220"/>
    </row>
    <row r="27" spans="1:44" ht="14.25" customHeight="1">
      <c r="A27" s="84"/>
      <c r="B27" s="70" t="s">
        <v>553</v>
      </c>
      <c r="D27" s="208"/>
      <c r="E27" s="208"/>
      <c r="F27" s="208"/>
      <c r="G27" s="208"/>
      <c r="H27" s="220" t="str">
        <f>IF(ROUND(SUM(IS!D27:G27),1)=ROUND(IS!H27,1),"OK","ERROR")</f>
        <v>ERROR</v>
      </c>
      <c r="I27" s="210"/>
      <c r="J27" s="208"/>
      <c r="K27" s="208"/>
      <c r="L27" s="208"/>
      <c r="M27" s="208"/>
      <c r="N27" s="220" t="str">
        <f>IF(ROUND(SUM(IS!J27:M27),1)=ROUND(IS!N27,1),"OK","ERROR")</f>
        <v>OK</v>
      </c>
      <c r="O27" s="210"/>
      <c r="P27" s="208"/>
      <c r="Q27" s="208"/>
      <c r="R27" s="208"/>
      <c r="S27" s="208"/>
      <c r="T27" s="220" t="str">
        <f>IF(ROUND(SUM(IS!P27:S27),1)=ROUND(IS!T27,1),"OK","ERROR")</f>
        <v>OK</v>
      </c>
      <c r="U27" s="210"/>
      <c r="V27" s="208"/>
      <c r="W27" s="208"/>
      <c r="X27" s="208"/>
      <c r="Y27" s="208"/>
      <c r="Z27" s="220" t="str">
        <f>IF(ROUND(SUM(IS!V27:Y27),1)=ROUND(IS!Z27,1),"OK","ERROR")</f>
        <v>OK</v>
      </c>
      <c r="AA27" s="228"/>
      <c r="AB27" s="208"/>
      <c r="AC27" s="208"/>
      <c r="AD27" s="208"/>
      <c r="AE27" s="208"/>
      <c r="AF27" s="220" t="str">
        <f>IF(ROUND(SUM(IS!AB27:AE27),1)=ROUND(IS!AF27,1),"OK","ERROR")</f>
        <v>OK</v>
      </c>
      <c r="AG27" s="229"/>
      <c r="AH27" s="208"/>
      <c r="AI27" s="208"/>
      <c r="AJ27" s="212"/>
      <c r="AK27" s="212"/>
      <c r="AL27" s="220" t="str">
        <f>IF(ROUND(SUM(IS!AH27:AK27),1)=ROUND(IS!AL27,1),"OK","ERROR")</f>
        <v>OK</v>
      </c>
      <c r="AM27" s="228"/>
      <c r="AN27" s="212"/>
      <c r="AO27" s="212"/>
      <c r="AP27" s="212"/>
      <c r="AQ27" s="212"/>
      <c r="AR27" s="220" t="str">
        <f>IF(ROUND(SUM(IS!AN27:AQ27),1)=ROUND(IS!AR27,1),"OK","ERROR")</f>
        <v>OK</v>
      </c>
    </row>
    <row r="28" spans="1:44" ht="14.25" customHeight="1">
      <c r="A28" s="55"/>
      <c r="B28" s="70" t="s">
        <v>554</v>
      </c>
      <c r="D28" s="208"/>
      <c r="E28" s="208"/>
      <c r="F28" s="208"/>
      <c r="G28" s="208"/>
      <c r="H28" s="220" t="str">
        <f>IF(ROUND(SUM(IS!D28:G28),1)=ROUND(IS!H28,1),"OK","ERROR")</f>
        <v>OK</v>
      </c>
      <c r="I28" s="210"/>
      <c r="J28" s="208"/>
      <c r="K28" s="208"/>
      <c r="L28" s="208"/>
      <c r="M28" s="208"/>
      <c r="N28" s="220" t="str">
        <f>IF(ROUND(SUM(IS!J28:M28),1)=ROUND(IS!N28,1),"OK","ERROR")</f>
        <v>OK</v>
      </c>
      <c r="O28" s="210"/>
      <c r="P28" s="208"/>
      <c r="Q28" s="208"/>
      <c r="R28" s="208"/>
      <c r="S28" s="208"/>
      <c r="T28" s="220" t="str">
        <f>IF(ROUND(SUM(IS!P28:S28),1)=ROUND(IS!T28,1),"OK","ERROR")</f>
        <v>OK</v>
      </c>
      <c r="U28" s="210"/>
      <c r="V28" s="208"/>
      <c r="W28" s="208"/>
      <c r="X28" s="208"/>
      <c r="Y28" s="208"/>
      <c r="Z28" s="220" t="str">
        <f>IF(ROUND(SUM(IS!V28:Y28),1)=ROUND(IS!Z28,1),"OK","ERROR")</f>
        <v>OK</v>
      </c>
      <c r="AA28" s="213"/>
      <c r="AB28" s="208"/>
      <c r="AC28" s="208"/>
      <c r="AD28" s="208"/>
      <c r="AE28" s="208"/>
      <c r="AF28" s="220" t="str">
        <f>IF(ROUND(SUM(IS!AB28:AE28),1)=ROUND(IS!AF28,1),"OK","ERROR")</f>
        <v>OK</v>
      </c>
      <c r="AG28" s="211"/>
      <c r="AH28" s="208"/>
      <c r="AI28" s="208"/>
      <c r="AJ28" s="212"/>
      <c r="AK28" s="212"/>
      <c r="AL28" s="220" t="str">
        <f>IF(ROUND(SUM(IS!AH28:AK28),1)=ROUND(IS!AL28,1),"OK","ERROR")</f>
        <v>OK</v>
      </c>
      <c r="AM28" s="224"/>
      <c r="AN28" s="212"/>
      <c r="AO28" s="212"/>
      <c r="AP28" s="212"/>
      <c r="AQ28" s="212"/>
      <c r="AR28" s="220" t="str">
        <f>IF(ROUND(SUM(IS!AN28:AQ28),1)=ROUND(IS!AR28,1),"OK","ERROR")</f>
        <v>OK</v>
      </c>
    </row>
    <row r="29" spans="1:44" ht="14.25" customHeight="1">
      <c r="A29" s="73"/>
      <c r="B29" s="70" t="s">
        <v>555</v>
      </c>
      <c r="D29" s="208"/>
      <c r="E29" s="208"/>
      <c r="F29" s="208"/>
      <c r="G29" s="208"/>
      <c r="H29" s="220" t="str">
        <f>IF(ROUND(SUM(IS!D29:G29),1)=ROUND(IS!H29,1),"OK","ERROR")</f>
        <v>OK</v>
      </c>
      <c r="I29" s="210"/>
      <c r="J29" s="208"/>
      <c r="K29" s="208"/>
      <c r="L29" s="208"/>
      <c r="M29" s="208"/>
      <c r="N29" s="220" t="str">
        <f>IF(ROUND(SUM(IS!J29:M29),1)=ROUND(IS!N29,1),"OK","ERROR")</f>
        <v>OK</v>
      </c>
      <c r="O29" s="210"/>
      <c r="P29" s="208"/>
      <c r="Q29" s="208"/>
      <c r="R29" s="208"/>
      <c r="S29" s="208"/>
      <c r="T29" s="220" t="str">
        <f>IF(ROUND(SUM(IS!P29:S29),1)=ROUND(IS!T29,1),"OK","ERROR")</f>
        <v>OK</v>
      </c>
      <c r="U29" s="210"/>
      <c r="V29" s="208"/>
      <c r="W29" s="208"/>
      <c r="X29" s="208"/>
      <c r="Y29" s="208"/>
      <c r="Z29" s="220" t="str">
        <f>IF(ROUND(SUM(IS!V29:Y29),1)=ROUND(IS!Z29,1),"OK","ERROR")</f>
        <v>OK</v>
      </c>
      <c r="AA29" s="228"/>
      <c r="AB29" s="208"/>
      <c r="AC29" s="208"/>
      <c r="AD29" s="208"/>
      <c r="AE29" s="208"/>
      <c r="AF29" s="220" t="str">
        <f>IF(ROUND(SUM(IS!AB29:AE29),1)=ROUND(IS!AF29,1),"OK","ERROR")</f>
        <v>OK</v>
      </c>
      <c r="AG29" s="229"/>
      <c r="AH29" s="208"/>
      <c r="AI29" s="208"/>
      <c r="AJ29" s="212"/>
      <c r="AK29" s="212"/>
      <c r="AL29" s="220" t="str">
        <f>IF(ROUND(SUM(IS!AH29:AK29),1)=ROUND(IS!AL29,1),"OK","ERROR")</f>
        <v>OK</v>
      </c>
      <c r="AM29" s="228"/>
      <c r="AN29" s="212"/>
      <c r="AO29" s="212"/>
      <c r="AP29" s="212"/>
      <c r="AQ29" s="212"/>
      <c r="AR29" s="220" t="str">
        <f>IF(ROUND(SUM(IS!AN29:AQ29),1)=ROUND(IS!AR29,1),"OK","ERROR")</f>
        <v>OK</v>
      </c>
    </row>
    <row r="30" spans="1:44" ht="14.25" customHeight="1">
      <c r="A30" s="55"/>
      <c r="B30" s="70" t="s">
        <v>556</v>
      </c>
      <c r="D30" s="208"/>
      <c r="E30" s="208"/>
      <c r="F30" s="208"/>
      <c r="G30" s="208"/>
      <c r="H30" s="226" t="str">
        <f>IF(ROUND(SUM(IS!D30:G30),1)=ROUND(IS!H30,1),"OK","ERROR")</f>
        <v>OK</v>
      </c>
      <c r="I30" s="210"/>
      <c r="J30" s="208"/>
      <c r="K30" s="208"/>
      <c r="L30" s="208"/>
      <c r="M30" s="208"/>
      <c r="N30" s="226" t="str">
        <f>IF(ROUND(SUM(IS!J30:M30),1)=ROUND(IS!N30,1),"OK","ERROR")</f>
        <v>OK</v>
      </c>
      <c r="O30" s="210"/>
      <c r="P30" s="208"/>
      <c r="Q30" s="208"/>
      <c r="R30" s="208"/>
      <c r="S30" s="208"/>
      <c r="T30" s="226" t="str">
        <f>IF(ROUND(SUM(IS!P30:S30),1)=ROUND(IS!T30,1),"OK","ERROR")</f>
        <v>OK</v>
      </c>
      <c r="U30" s="210"/>
      <c r="V30" s="208"/>
      <c r="W30" s="208"/>
      <c r="X30" s="208"/>
      <c r="Y30" s="208"/>
      <c r="Z30" s="226" t="str">
        <f>IF(ROUND(SUM(IS!V30:Y30),1)=ROUND(IS!Z30,1),"OK","ERROR")</f>
        <v>OK</v>
      </c>
      <c r="AA30" s="213"/>
      <c r="AB30" s="208"/>
      <c r="AC30" s="208"/>
      <c r="AD30" s="208"/>
      <c r="AE30" s="208"/>
      <c r="AF30" s="226" t="str">
        <f>IF(ROUND(SUM(IS!AB30:AE30),1)=ROUND(IS!AF30,1),"OK","ERROR")</f>
        <v>OK</v>
      </c>
      <c r="AG30" s="211"/>
      <c r="AH30" s="208"/>
      <c r="AI30" s="208"/>
      <c r="AJ30" s="212"/>
      <c r="AK30" s="212"/>
      <c r="AL30" s="226" t="str">
        <f>IF(ROUND(SUM(IS!AH30:AK30),1)=ROUND(IS!AL30,1),"OK","ERROR")</f>
        <v>OK</v>
      </c>
      <c r="AM30" s="224"/>
      <c r="AN30" s="212"/>
      <c r="AO30" s="212"/>
      <c r="AP30" s="212"/>
      <c r="AQ30" s="212"/>
      <c r="AR30" s="226" t="str">
        <f>IF(ROUND(SUM(IS!AN30:AQ30),1)=ROUND(IS!AR30,1),"OK","ERROR")</f>
        <v>OK</v>
      </c>
    </row>
    <row r="31" spans="1:44" ht="14.25" customHeight="1">
      <c r="A31" s="73"/>
      <c r="B31" s="76" t="s">
        <v>557</v>
      </c>
      <c r="D31" s="208"/>
      <c r="E31" s="208"/>
      <c r="F31" s="208"/>
      <c r="G31" s="208"/>
      <c r="H31" s="231" t="str">
        <f>IF(ROUND(SUM(IS!D31:G31),1)=ROUND(IS!H31,1),"OK","ERROR")</f>
        <v>ERROR</v>
      </c>
      <c r="I31" s="210"/>
      <c r="J31" s="208"/>
      <c r="K31" s="208"/>
      <c r="L31" s="208"/>
      <c r="M31" s="208"/>
      <c r="N31" s="231" t="str">
        <f>IF(ROUND(SUM(IS!J31:M31),1)=ROUND(IS!N31,1),"OK","ERROR")</f>
        <v>OK</v>
      </c>
      <c r="O31" s="210"/>
      <c r="P31" s="208"/>
      <c r="Q31" s="208"/>
      <c r="R31" s="208"/>
      <c r="S31" s="208"/>
      <c r="T31" s="231" t="str">
        <f>IF(ROUND(SUM(IS!P31:S31),1)=ROUND(IS!T31,1),"OK","ERROR")</f>
        <v>OK</v>
      </c>
      <c r="U31" s="210"/>
      <c r="V31" s="208"/>
      <c r="W31" s="208"/>
      <c r="X31" s="208"/>
      <c r="Y31" s="208"/>
      <c r="Z31" s="231" t="str">
        <f>IF(ROUND(SUM(IS!V31:Y31),1)=ROUND(IS!Z31,1),"OK","ERROR")</f>
        <v>OK</v>
      </c>
      <c r="AA31" s="228"/>
      <c r="AB31" s="208"/>
      <c r="AC31" s="208"/>
      <c r="AD31" s="208"/>
      <c r="AE31" s="208"/>
      <c r="AF31" s="231" t="str">
        <f>IF(ROUND(SUM(IS!AB31:AE31),1)=ROUND(IS!AF31,1),"OK","ERROR")</f>
        <v>OK</v>
      </c>
      <c r="AG31" s="229"/>
      <c r="AH31" s="208"/>
      <c r="AI31" s="208"/>
      <c r="AJ31" s="212"/>
      <c r="AK31" s="212"/>
      <c r="AL31" s="231" t="str">
        <f>IF(ROUND(SUM(IS!AH31:AK31),1)=ROUND(IS!AL31,1),"OK","ERROR")</f>
        <v>OK</v>
      </c>
      <c r="AM31" s="228"/>
      <c r="AN31" s="212"/>
      <c r="AO31" s="212"/>
      <c r="AP31" s="212"/>
      <c r="AQ31" s="212"/>
      <c r="AR31" s="231" t="str">
        <f>IF(ROUND(SUM(IS!AN31:AQ31),1)=ROUND(IS!AR31,1),"OK","ERROR")</f>
        <v>OK</v>
      </c>
    </row>
    <row r="32" spans="1:44" ht="14.25" customHeight="1">
      <c r="A32" s="73"/>
      <c r="B32" s="76" t="s">
        <v>558</v>
      </c>
      <c r="D32" s="208"/>
      <c r="E32" s="208"/>
      <c r="F32" s="208"/>
      <c r="G32" s="208"/>
      <c r="H32" s="226" t="str">
        <f>IF(ROUND(SUM(IS!D32:G32),1)=ROUND(IS!H32,1),"OK","ERROR")</f>
        <v>OK</v>
      </c>
      <c r="I32" s="210"/>
      <c r="J32" s="208"/>
      <c r="K32" s="208"/>
      <c r="L32" s="208"/>
      <c r="M32" s="208"/>
      <c r="N32" s="226" t="str">
        <f>IF(ROUND(SUM(IS!J32:M32),1)=ROUND(IS!N32,1),"OK","ERROR")</f>
        <v>OK</v>
      </c>
      <c r="O32" s="210"/>
      <c r="P32" s="208"/>
      <c r="Q32" s="208"/>
      <c r="R32" s="208"/>
      <c r="S32" s="208"/>
      <c r="T32" s="226" t="str">
        <f>IF(ROUND(SUM(IS!P32:S32),1)=ROUND(IS!T32,1),"OK","ERROR")</f>
        <v>OK</v>
      </c>
      <c r="U32" s="210"/>
      <c r="V32" s="208"/>
      <c r="W32" s="208"/>
      <c r="X32" s="208"/>
      <c r="Y32" s="208"/>
      <c r="Z32" s="226" t="str">
        <f>IF(ROUND(SUM(IS!V32:Y32),1)=ROUND(IS!Z32,1),"OK","ERROR")</f>
        <v>OK</v>
      </c>
      <c r="AA32" s="232"/>
      <c r="AB32" s="208"/>
      <c r="AC32" s="208"/>
      <c r="AD32" s="208"/>
      <c r="AE32" s="208"/>
      <c r="AF32" s="226" t="str">
        <f>IF(ROUND(SUM(IS!AB32:AE32),1)=ROUND(IS!AF32,1),"OK","ERROR")</f>
        <v>OK</v>
      </c>
      <c r="AG32" s="229"/>
      <c r="AH32" s="208"/>
      <c r="AI32" s="208"/>
      <c r="AJ32" s="212"/>
      <c r="AK32" s="212"/>
      <c r="AL32" s="226" t="str">
        <f>IF(ROUND(SUM(IS!AH32:AK32),1)=ROUND(IS!AL32,1),"OK","ERROR")</f>
        <v>OK</v>
      </c>
      <c r="AM32" s="232"/>
      <c r="AN32" s="212"/>
      <c r="AO32" s="212"/>
      <c r="AP32" s="212"/>
      <c r="AQ32" s="212"/>
      <c r="AR32" s="226" t="str">
        <f>IF(ROUND(SUM(IS!AN32:AQ32),1)=ROUND(IS!AR32,1),"OK","ERROR")</f>
        <v>OK</v>
      </c>
    </row>
    <row r="33" spans="1:44" ht="14.25" customHeight="1">
      <c r="A33" s="55"/>
      <c r="B33" s="79" t="s">
        <v>559</v>
      </c>
      <c r="D33" s="208"/>
      <c r="E33" s="208"/>
      <c r="F33" s="208"/>
      <c r="G33" s="208"/>
      <c r="H33" s="226" t="str">
        <f>IF(ROUND(SUM(IS!D33:G33),1)=ROUND(IS!H33,1),"OK","ERROR")</f>
        <v>ERROR</v>
      </c>
      <c r="I33" s="210"/>
      <c r="J33" s="208"/>
      <c r="K33" s="208"/>
      <c r="L33" s="208"/>
      <c r="M33" s="208"/>
      <c r="N33" s="226" t="str">
        <f>IF(ROUND(SUM(IS!J33:M33),1)=ROUND(IS!N33,1),"OK","ERROR")</f>
        <v>ERROR</v>
      </c>
      <c r="O33" s="210"/>
      <c r="P33" s="208"/>
      <c r="Q33" s="208"/>
      <c r="R33" s="208"/>
      <c r="S33" s="208"/>
      <c r="T33" s="226" t="str">
        <f>IF(ROUND(SUM(IS!P33:S33),1)=ROUND(IS!T33,1),"OK","ERROR")</f>
        <v>OK</v>
      </c>
      <c r="U33" s="210"/>
      <c r="V33" s="208"/>
      <c r="W33" s="208"/>
      <c r="X33" s="208"/>
      <c r="Y33" s="208"/>
      <c r="Z33" s="226" t="str">
        <f>IF(ROUND(SUM(IS!V33:Y33),1)=ROUND(IS!Z33,1),"OK","ERROR")</f>
        <v>OK</v>
      </c>
      <c r="AA33" s="213"/>
      <c r="AB33" s="208"/>
      <c r="AC33" s="208"/>
      <c r="AD33" s="208"/>
      <c r="AE33" s="208"/>
      <c r="AF33" s="226" t="str">
        <f>IF(ROUND(SUM(IS!AB33:AE33),1)=ROUND(IS!AF33,1),"OK","ERROR")</f>
        <v>OK</v>
      </c>
      <c r="AG33" s="211"/>
      <c r="AH33" s="208"/>
      <c r="AI33" s="208"/>
      <c r="AJ33" s="212"/>
      <c r="AK33" s="212"/>
      <c r="AL33" s="226" t="str">
        <f>IF(ROUND(SUM(IS!AH33:AK33),1)=ROUND(IS!AL33,1),"OK","ERROR")</f>
        <v>OK</v>
      </c>
      <c r="AM33" s="224"/>
      <c r="AN33" s="212"/>
      <c r="AO33" s="212"/>
      <c r="AP33" s="212"/>
      <c r="AQ33" s="212"/>
      <c r="AR33" s="226" t="str">
        <f>IF(ROUND(SUM(IS!AN33:AQ33),1)=ROUND(IS!AR33,1),"OK","ERROR")</f>
        <v>OK</v>
      </c>
    </row>
    <row r="34" spans="1:44" ht="14.25" customHeight="1">
      <c r="A34" s="73"/>
      <c r="B34" s="206"/>
      <c r="D34" s="208"/>
      <c r="E34" s="208"/>
      <c r="F34" s="208"/>
      <c r="G34" s="208"/>
      <c r="H34" s="220"/>
      <c r="I34" s="210"/>
      <c r="J34" s="208"/>
      <c r="K34" s="208"/>
      <c r="L34" s="208"/>
      <c r="M34" s="208"/>
      <c r="N34" s="220"/>
      <c r="O34" s="210"/>
      <c r="P34" s="208"/>
      <c r="Q34" s="208"/>
      <c r="R34" s="208"/>
      <c r="S34" s="208"/>
      <c r="T34" s="220"/>
      <c r="U34" s="210"/>
      <c r="V34" s="208"/>
      <c r="W34" s="208"/>
      <c r="X34" s="208"/>
      <c r="Y34" s="208"/>
      <c r="Z34" s="220"/>
      <c r="AA34" s="228"/>
      <c r="AB34" s="208"/>
      <c r="AC34" s="208"/>
      <c r="AD34" s="208"/>
      <c r="AE34" s="208"/>
      <c r="AF34" s="220"/>
      <c r="AG34" s="229"/>
      <c r="AH34" s="208"/>
      <c r="AI34" s="208"/>
      <c r="AJ34" s="212"/>
      <c r="AK34" s="212"/>
      <c r="AL34" s="220"/>
      <c r="AM34" s="233"/>
      <c r="AN34" s="212"/>
      <c r="AO34" s="212"/>
      <c r="AP34" s="212"/>
      <c r="AQ34" s="212"/>
      <c r="AR34" s="220"/>
    </row>
    <row r="35" spans="1:44" ht="14.25" customHeight="1">
      <c r="A35" s="44" t="s">
        <v>33</v>
      </c>
      <c r="B35" s="65" t="s">
        <v>560</v>
      </c>
      <c r="D35" s="208"/>
      <c r="E35" s="208"/>
      <c r="F35" s="208"/>
      <c r="G35" s="208"/>
      <c r="H35" s="220"/>
      <c r="I35" s="210"/>
      <c r="J35" s="208"/>
      <c r="K35" s="208"/>
      <c r="L35" s="208"/>
      <c r="M35" s="208"/>
      <c r="N35" s="220"/>
      <c r="O35" s="210"/>
      <c r="P35" s="208"/>
      <c r="Q35" s="208"/>
      <c r="R35" s="208"/>
      <c r="S35" s="208"/>
      <c r="T35" s="220"/>
      <c r="U35" s="210"/>
      <c r="V35" s="208"/>
      <c r="W35" s="208"/>
      <c r="X35" s="208"/>
      <c r="Y35" s="208"/>
      <c r="Z35" s="220"/>
      <c r="AA35" s="213"/>
      <c r="AB35" s="208"/>
      <c r="AC35" s="208"/>
      <c r="AD35" s="208"/>
      <c r="AE35" s="208"/>
      <c r="AF35" s="220"/>
      <c r="AG35" s="211"/>
      <c r="AH35" s="208"/>
      <c r="AI35" s="208"/>
      <c r="AJ35" s="212"/>
      <c r="AK35" s="212"/>
      <c r="AL35" s="220"/>
      <c r="AM35" s="224"/>
      <c r="AN35" s="212"/>
      <c r="AO35" s="212"/>
      <c r="AP35" s="212"/>
      <c r="AQ35" s="212"/>
      <c r="AR35" s="220"/>
    </row>
    <row r="36" spans="1:44" ht="14.25" customHeight="1">
      <c r="A36" s="44"/>
      <c r="B36" s="70" t="s">
        <v>561</v>
      </c>
      <c r="D36" s="208"/>
      <c r="E36" s="208"/>
      <c r="F36" s="208"/>
      <c r="G36" s="208"/>
      <c r="H36" s="220" t="str">
        <f>IF(ROUND(SUM(IS!D36:G36),1)=ROUND(IS!H36,1),"OK","ERROR")</f>
        <v>ERROR</v>
      </c>
      <c r="I36" s="210"/>
      <c r="J36" s="208"/>
      <c r="K36" s="208"/>
      <c r="L36" s="208"/>
      <c r="M36" s="208"/>
      <c r="N36" s="220" t="str">
        <f>IF(ROUND(SUM(IS!J36:M36),1)=ROUND(IS!N36,1),"OK","ERROR")</f>
        <v>ERROR</v>
      </c>
      <c r="O36" s="210"/>
      <c r="P36" s="208"/>
      <c r="Q36" s="208"/>
      <c r="R36" s="208"/>
      <c r="S36" s="208"/>
      <c r="T36" s="220" t="str">
        <f>IF(ROUND(SUM(IS!P36:S36),1)=ROUND(IS!T36,1),"OK","ERROR")</f>
        <v>ERROR</v>
      </c>
      <c r="U36" s="210"/>
      <c r="V36" s="208"/>
      <c r="W36" s="208"/>
      <c r="X36" s="208"/>
      <c r="Y36" s="208"/>
      <c r="Z36" s="220" t="str">
        <f>IF(ROUND(SUM(IS!V36:Y36),1)=ROUND(IS!Z36,1),"OK","ERROR")</f>
        <v>ERROR</v>
      </c>
      <c r="AA36" s="213"/>
      <c r="AB36" s="208"/>
      <c r="AC36" s="208"/>
      <c r="AD36" s="208"/>
      <c r="AE36" s="208"/>
      <c r="AF36" s="220" t="str">
        <f>IF(ROUND(SUM(IS!AB36:AE36),1)=ROUND(IS!AF36,1),"OK","ERROR")</f>
        <v>ERROR</v>
      </c>
      <c r="AG36" s="211"/>
      <c r="AH36" s="208"/>
      <c r="AI36" s="208"/>
      <c r="AJ36" s="212"/>
      <c r="AK36" s="212"/>
      <c r="AL36" s="220" t="str">
        <f>IF(ROUND(SUM(IS!AH36:AK36),1)=ROUND(IS!AL36,1),"OK","ERROR")</f>
        <v>OK</v>
      </c>
      <c r="AM36" s="224"/>
      <c r="AN36" s="212"/>
      <c r="AO36" s="212"/>
      <c r="AP36" s="212"/>
      <c r="AQ36" s="212"/>
      <c r="AR36" s="220" t="str">
        <f>IF(ROUND(SUM(IS!AN36:AQ36),1)=ROUND(IS!AR36,1),"OK","ERROR")</f>
        <v>OK</v>
      </c>
    </row>
    <row r="37" spans="1:44" ht="14.25" customHeight="1">
      <c r="A37" s="44"/>
      <c r="B37" s="70" t="s">
        <v>562</v>
      </c>
      <c r="D37" s="208"/>
      <c r="E37" s="208"/>
      <c r="F37" s="208"/>
      <c r="G37" s="208"/>
      <c r="H37" s="220" t="str">
        <f>IF(ROUND(SUM(IS!D37:G37),1)=ROUND(IS!H37,1),"OK","ERROR")</f>
        <v>ERROR</v>
      </c>
      <c r="I37" s="210"/>
      <c r="J37" s="208"/>
      <c r="K37" s="208"/>
      <c r="L37" s="208"/>
      <c r="M37" s="208"/>
      <c r="N37" s="220" t="str">
        <f>IF(ROUND(SUM(IS!J37:M37),1)=ROUND(IS!N37,1),"OK","ERROR")</f>
        <v>ERROR</v>
      </c>
      <c r="O37" s="210"/>
      <c r="P37" s="208"/>
      <c r="Q37" s="208"/>
      <c r="R37" s="208"/>
      <c r="S37" s="208"/>
      <c r="T37" s="220" t="str">
        <f>IF(ROUND(SUM(IS!P37:S37),1)=ROUND(IS!T37,1),"OK","ERROR")</f>
        <v>ERROR</v>
      </c>
      <c r="U37" s="210"/>
      <c r="V37" s="208"/>
      <c r="W37" s="208"/>
      <c r="X37" s="208"/>
      <c r="Y37" s="208"/>
      <c r="Z37" s="220" t="str">
        <f>IF(ROUND(SUM(IS!V37:Y37),1)=ROUND(IS!Z37,1),"OK","ERROR")</f>
        <v>ERROR</v>
      </c>
      <c r="AA37" s="213"/>
      <c r="AB37" s="208"/>
      <c r="AC37" s="208"/>
      <c r="AD37" s="208"/>
      <c r="AE37" s="208"/>
      <c r="AF37" s="220" t="str">
        <f>IF(ROUND(SUM(IS!AB37:AE37),1)=ROUND(IS!AF37,1),"OK","ERROR")</f>
        <v>ERROR</v>
      </c>
      <c r="AG37" s="211"/>
      <c r="AH37" s="208"/>
      <c r="AI37" s="208"/>
      <c r="AJ37" s="212"/>
      <c r="AK37" s="212"/>
      <c r="AL37" s="220" t="str">
        <f>IF(ROUND(SUM(IS!AH37:AK37),1)=ROUND(IS!AL37,1),"OK","ERROR")</f>
        <v>ERROR</v>
      </c>
      <c r="AM37" s="224"/>
      <c r="AN37" s="212"/>
      <c r="AO37" s="212"/>
      <c r="AP37" s="212"/>
      <c r="AQ37" s="212"/>
      <c r="AR37" s="220" t="str">
        <f>IF(ROUND(SUM(IS!AN37:AQ37),1)=ROUND(IS!AR37,1),"OK","ERROR")</f>
        <v>OK</v>
      </c>
    </row>
    <row r="38" spans="1:44" ht="14.25" customHeight="1">
      <c r="A38" s="55" t="s">
        <v>33</v>
      </c>
      <c r="B38" s="76" t="s">
        <v>563</v>
      </c>
      <c r="D38" s="208"/>
      <c r="E38" s="208"/>
      <c r="F38" s="208"/>
      <c r="G38" s="208"/>
      <c r="H38" s="220" t="str">
        <f>IF(ROUND(SUM(IS!D38:G38),1)=ROUND(IS!H38,1),"OK","ERROR")</f>
        <v>ERROR</v>
      </c>
      <c r="I38" s="210"/>
      <c r="J38" s="208"/>
      <c r="K38" s="208"/>
      <c r="L38" s="208"/>
      <c r="M38" s="208"/>
      <c r="N38" s="220" t="str">
        <f>IF(ROUND(SUM(IS!J38:M38),1)=ROUND(IS!N38,1),"OK","ERROR")</f>
        <v>ERROR</v>
      </c>
      <c r="O38" s="210"/>
      <c r="P38" s="208"/>
      <c r="Q38" s="208"/>
      <c r="R38" s="208"/>
      <c r="S38" s="208"/>
      <c r="T38" s="220" t="str">
        <f>IF(ROUND(SUM(IS!P38:S38),1)=ROUND(IS!T38,1),"OK","ERROR")</f>
        <v>ERROR</v>
      </c>
      <c r="U38" s="210"/>
      <c r="V38" s="208"/>
      <c r="W38" s="208"/>
      <c r="X38" s="208"/>
      <c r="Y38" s="208"/>
      <c r="Z38" s="220" t="str">
        <f>IF(ROUND(SUM(IS!V38:Y38),1)=ROUND(IS!Z38,1),"OK","ERROR")</f>
        <v>ERROR</v>
      </c>
      <c r="AA38" s="213"/>
      <c r="AB38" s="208"/>
      <c r="AC38" s="208"/>
      <c r="AD38" s="208"/>
      <c r="AE38" s="208"/>
      <c r="AF38" s="220" t="str">
        <f>IF(ROUND(SUM(IS!AB38:AE38),1)=ROUND(IS!AF38,1),"OK","ERROR")</f>
        <v>ERROR</v>
      </c>
      <c r="AG38" s="211"/>
      <c r="AH38" s="208"/>
      <c r="AI38" s="208"/>
      <c r="AJ38" s="212"/>
      <c r="AK38" s="212"/>
      <c r="AL38" s="220" t="str">
        <f>IF(ROUND(SUM(IS!AH38:AK38),1)=ROUND(IS!AL38,1),"OK","ERROR")</f>
        <v>ERROR</v>
      </c>
      <c r="AM38" s="224"/>
      <c r="AN38" s="212"/>
      <c r="AO38" s="212"/>
      <c r="AP38" s="212"/>
      <c r="AQ38" s="212"/>
      <c r="AR38" s="220" t="str">
        <f>IF(ROUND(SUM(IS!AN38:AQ38),1)=ROUND(IS!AR38,1),"OK","ERROR")</f>
        <v>OK</v>
      </c>
    </row>
    <row r="39" spans="1:44" ht="14.25" customHeight="1">
      <c r="A39" s="73"/>
      <c r="B39" s="76" t="s">
        <v>564</v>
      </c>
      <c r="D39" s="208"/>
      <c r="E39" s="208"/>
      <c r="F39" s="208"/>
      <c r="G39" s="208"/>
      <c r="H39" s="220" t="str">
        <f>IF(ROUND(SUM(IS!D39:G39),1)=ROUND(IS!H39,1),"OK","ERROR")</f>
        <v>OK</v>
      </c>
      <c r="I39" s="210"/>
      <c r="J39" s="208"/>
      <c r="K39" s="208"/>
      <c r="L39" s="208"/>
      <c r="M39" s="208"/>
      <c r="N39" s="220" t="str">
        <f>IF(ROUND(SUM(IS!J39:M39),1)=ROUND(IS!N39,1),"OK","ERROR")</f>
        <v>OK</v>
      </c>
      <c r="O39" s="210"/>
      <c r="P39" s="208"/>
      <c r="Q39" s="208"/>
      <c r="R39" s="208"/>
      <c r="S39" s="208"/>
      <c r="T39" s="220" t="str">
        <f>IF(ROUND(SUM(IS!P39:S39),1)=ROUND(IS!T39,1),"OK","ERROR")</f>
        <v>OK</v>
      </c>
      <c r="U39" s="210"/>
      <c r="V39" s="208"/>
      <c r="W39" s="208"/>
      <c r="X39" s="208"/>
      <c r="Y39" s="208"/>
      <c r="Z39" s="220" t="str">
        <f>IF(ROUND(SUM(IS!V39:Y39),1)=ROUND(IS!Z39,1),"OK","ERROR")</f>
        <v>OK</v>
      </c>
      <c r="AA39" s="228"/>
      <c r="AB39" s="208"/>
      <c r="AC39" s="208"/>
      <c r="AD39" s="208"/>
      <c r="AE39" s="208"/>
      <c r="AF39" s="220" t="str">
        <f>IF(ROUND(SUM(IS!AB39:AE39),1)=ROUND(IS!AF39,1),"OK","ERROR")</f>
        <v>OK</v>
      </c>
      <c r="AG39" s="229"/>
      <c r="AH39" s="208"/>
      <c r="AI39" s="208"/>
      <c r="AJ39" s="212"/>
      <c r="AK39" s="212"/>
      <c r="AL39" s="220" t="str">
        <f>IF(ROUND(SUM(IS!AH39:AK39),1)=ROUND(IS!AL39,1),"OK","ERROR")</f>
        <v>OK</v>
      </c>
      <c r="AM39" s="228"/>
      <c r="AN39" s="212"/>
      <c r="AO39" s="212"/>
      <c r="AP39" s="212"/>
      <c r="AQ39" s="212"/>
      <c r="AR39" s="220" t="str">
        <f>IF(ROUND(SUM(IS!AN39:AQ39),1)=ROUND(IS!AR39,1),"OK","ERROR")</f>
        <v>OK</v>
      </c>
    </row>
    <row r="40" spans="1:44" ht="14.25" customHeight="1">
      <c r="A40" s="55"/>
      <c r="B40" s="76" t="s">
        <v>565</v>
      </c>
      <c r="D40" s="208"/>
      <c r="E40" s="208"/>
      <c r="F40" s="208"/>
      <c r="G40" s="208"/>
      <c r="H40" s="226" t="str">
        <f>IF(ROUND(SUM(IS!D40:G40),1)=ROUND(IS!H40,1),"OK","ERROR")</f>
        <v>ERROR</v>
      </c>
      <c r="I40" s="210"/>
      <c r="J40" s="208"/>
      <c r="K40" s="208"/>
      <c r="L40" s="208"/>
      <c r="M40" s="208"/>
      <c r="N40" s="226" t="str">
        <f>IF(ROUND(SUM(IS!J40:M40),1)=ROUND(IS!N40,1),"OK","ERROR")</f>
        <v>ERROR</v>
      </c>
      <c r="O40" s="210"/>
      <c r="P40" s="208"/>
      <c r="Q40" s="208"/>
      <c r="R40" s="208"/>
      <c r="S40" s="208"/>
      <c r="T40" s="226" t="str">
        <f>IF(ROUND(SUM(IS!P40:S40),1)=ROUND(IS!T40,1),"OK","ERROR")</f>
        <v>ERROR</v>
      </c>
      <c r="U40" s="210"/>
      <c r="V40" s="208"/>
      <c r="W40" s="208"/>
      <c r="X40" s="208"/>
      <c r="Y40" s="208"/>
      <c r="Z40" s="226" t="str">
        <f>IF(ROUND(SUM(IS!V40:Y40),1)=ROUND(IS!Z40,1),"OK","ERROR")</f>
        <v>ERROR</v>
      </c>
      <c r="AA40" s="213"/>
      <c r="AB40" s="208"/>
      <c r="AC40" s="208"/>
      <c r="AD40" s="208"/>
      <c r="AE40" s="208"/>
      <c r="AF40" s="226" t="str">
        <f>IF(ROUND(SUM(IS!AB40:AE40),1)=ROUND(IS!AF40,1),"OK","ERROR")</f>
        <v>ERROR</v>
      </c>
      <c r="AG40" s="211"/>
      <c r="AH40" s="208"/>
      <c r="AI40" s="208"/>
      <c r="AJ40" s="212"/>
      <c r="AK40" s="212"/>
      <c r="AL40" s="226" t="str">
        <f>IF(ROUND(SUM(IS!AH40:AK40),1)=ROUND(IS!AL40,1),"OK","ERROR")</f>
        <v>ERROR</v>
      </c>
      <c r="AM40" s="213"/>
      <c r="AN40" s="212"/>
      <c r="AO40" s="212"/>
      <c r="AP40" s="212"/>
      <c r="AQ40" s="212"/>
      <c r="AR40" s="226" t="str">
        <f>IF(ROUND(SUM(IS!AN40:AQ40),1)=ROUND(IS!AR40,1),"OK","ERROR")</f>
        <v>OK</v>
      </c>
    </row>
    <row r="41" spans="1:44" ht="14.25" customHeight="1">
      <c r="A41" s="73"/>
      <c r="B41" s="79" t="s">
        <v>566</v>
      </c>
      <c r="D41" s="208"/>
      <c r="E41" s="208"/>
      <c r="F41" s="208"/>
      <c r="G41" s="208"/>
      <c r="H41" s="227" t="str">
        <f>IF(ROUND(SUM(IS!D41:G41),1)=ROUND(IS!H41,1),"OK","ERROR")</f>
        <v>OK</v>
      </c>
      <c r="I41" s="210"/>
      <c r="J41" s="208"/>
      <c r="K41" s="208"/>
      <c r="L41" s="208"/>
      <c r="M41" s="208"/>
      <c r="N41" s="227" t="str">
        <f>IF(ROUND(SUM(IS!J41:M41),1)=ROUND(IS!N41,1),"OK","ERROR")</f>
        <v>ERROR</v>
      </c>
      <c r="O41" s="210"/>
      <c r="P41" s="208"/>
      <c r="Q41" s="208"/>
      <c r="R41" s="208"/>
      <c r="S41" s="208"/>
      <c r="T41" s="227" t="str">
        <f>IF(ROUND(SUM(IS!P41:S41),1)=ROUND(IS!T41,1),"OK","ERROR")</f>
        <v>OK</v>
      </c>
      <c r="U41" s="210"/>
      <c r="V41" s="208"/>
      <c r="W41" s="208"/>
      <c r="X41" s="208"/>
      <c r="Y41" s="208"/>
      <c r="Z41" s="227" t="str">
        <f>IF(ROUND(SUM(IS!V41:Y41),1)=ROUND(IS!Z41,1),"OK","ERROR")</f>
        <v>OK</v>
      </c>
      <c r="AA41" s="232"/>
      <c r="AB41" s="208"/>
      <c r="AC41" s="208"/>
      <c r="AD41" s="208"/>
      <c r="AE41" s="208"/>
      <c r="AF41" s="227" t="str">
        <f>IF(ROUND(SUM(IS!AB41:AE41),1)=ROUND(IS!AF41,1),"OK","ERROR")</f>
        <v>OK</v>
      </c>
      <c r="AG41" s="229"/>
      <c r="AH41" s="208"/>
      <c r="AI41" s="208"/>
      <c r="AJ41" s="212"/>
      <c r="AK41" s="212"/>
      <c r="AL41" s="227" t="str">
        <f>IF(ROUND(SUM(IS!AH41:AK41),1)=ROUND(IS!AL41,1),"OK","ERROR")</f>
        <v>ERROR</v>
      </c>
      <c r="AM41" s="228"/>
      <c r="AN41" s="212"/>
      <c r="AO41" s="212"/>
      <c r="AP41" s="212"/>
      <c r="AQ41" s="212"/>
      <c r="AR41" s="227" t="str">
        <f>IF(ROUND(SUM(IS!AN41:AQ41),1)=ROUND(IS!AR41,1),"OK","ERROR")</f>
        <v>OK</v>
      </c>
    </row>
    <row r="42" spans="1:44" ht="14.25" customHeight="1">
      <c r="A42" s="84"/>
      <c r="B42" s="90" t="s">
        <v>498</v>
      </c>
      <c r="D42" s="208"/>
      <c r="E42" s="208"/>
      <c r="F42" s="208"/>
      <c r="G42" s="208"/>
      <c r="H42" s="227" t="str">
        <f>IF(ROUND(SUM(IS!D42:G42),1)=ROUND(IS!H42,1),"OK","ERROR")</f>
        <v>ERROR</v>
      </c>
      <c r="I42" s="210"/>
      <c r="J42" s="208"/>
      <c r="K42" s="208"/>
      <c r="L42" s="208"/>
      <c r="M42" s="208"/>
      <c r="N42" s="227" t="str">
        <f>IF(ROUND(SUM(IS!J42:M42),1)=ROUND(IS!N42,1),"OK","ERROR")</f>
        <v>OK</v>
      </c>
      <c r="O42" s="210"/>
      <c r="P42" s="208"/>
      <c r="Q42" s="208"/>
      <c r="R42" s="208"/>
      <c r="S42" s="208"/>
      <c r="T42" s="227" t="str">
        <f>IF(ROUND(SUM(IS!P42:S42),1)=ROUND(IS!T42,1),"OK","ERROR")</f>
        <v>OK</v>
      </c>
      <c r="U42" s="210"/>
      <c r="V42" s="208"/>
      <c r="W42" s="208"/>
      <c r="X42" s="208"/>
      <c r="Y42" s="208"/>
      <c r="Z42" s="227" t="str">
        <f>IF(ROUND(SUM(IS!V42:Y42),1)=ROUND(IS!Z42,1),"OK","ERROR")</f>
        <v>OK</v>
      </c>
      <c r="AA42" s="213"/>
      <c r="AB42" s="208"/>
      <c r="AC42" s="208"/>
      <c r="AD42" s="208"/>
      <c r="AE42" s="208"/>
      <c r="AF42" s="227" t="str">
        <f>IF(ROUND(SUM(IS!AB42:AE42),1)=ROUND(IS!AF42,1),"OK","ERROR")</f>
        <v>OK</v>
      </c>
      <c r="AG42" s="211"/>
      <c r="AH42" s="208"/>
      <c r="AI42" s="208"/>
      <c r="AJ42" s="212"/>
      <c r="AK42" s="212"/>
      <c r="AL42" s="227" t="str">
        <f>IF(ROUND(SUM(IS!AH42:AK42),1)=ROUND(IS!AL42,1),"OK","ERROR")</f>
        <v>ERROR</v>
      </c>
      <c r="AM42" s="213"/>
      <c r="AN42" s="212"/>
      <c r="AO42" s="212"/>
      <c r="AP42" s="212"/>
      <c r="AQ42" s="212"/>
      <c r="AR42" s="227" t="str">
        <f>IF(ROUND(SUM(IS!AN42:AQ42),1)=ROUND(IS!AR42,1),"OK","ERROR")</f>
        <v>OK</v>
      </c>
    </row>
    <row r="43" spans="1:44" ht="14.25" customHeight="1">
      <c r="A43" s="73"/>
      <c r="B43" s="76"/>
      <c r="D43" s="208"/>
      <c r="E43" s="208"/>
      <c r="F43" s="208"/>
      <c r="G43" s="208"/>
      <c r="H43" s="220"/>
      <c r="I43" s="210"/>
      <c r="J43" s="208"/>
      <c r="K43" s="208"/>
      <c r="L43" s="208"/>
      <c r="M43" s="208"/>
      <c r="N43" s="220"/>
      <c r="O43" s="210"/>
      <c r="P43" s="208"/>
      <c r="Q43" s="208"/>
      <c r="R43" s="208"/>
      <c r="S43" s="208"/>
      <c r="T43" s="220"/>
      <c r="U43" s="210"/>
      <c r="V43" s="208"/>
      <c r="W43" s="208"/>
      <c r="X43" s="208"/>
      <c r="Y43" s="208"/>
      <c r="Z43" s="220"/>
      <c r="AA43" s="213"/>
      <c r="AB43" s="208"/>
      <c r="AC43" s="208"/>
      <c r="AD43" s="208"/>
      <c r="AE43" s="208"/>
      <c r="AF43" s="220"/>
      <c r="AG43" s="211"/>
      <c r="AH43" s="208"/>
      <c r="AI43" s="208"/>
      <c r="AJ43" s="212"/>
      <c r="AK43" s="212"/>
      <c r="AL43" s="220"/>
      <c r="AM43" s="213"/>
      <c r="AN43" s="212"/>
      <c r="AO43" s="212"/>
      <c r="AP43" s="212"/>
      <c r="AQ43" s="212"/>
      <c r="AR43" s="220"/>
    </row>
    <row r="44" spans="1:44" ht="14.25" customHeight="1">
      <c r="A44" s="44" t="s">
        <v>33</v>
      </c>
      <c r="B44" s="65" t="s">
        <v>567</v>
      </c>
      <c r="D44" s="208"/>
      <c r="E44" s="208"/>
      <c r="F44" s="208"/>
      <c r="G44" s="208"/>
      <c r="H44" s="220"/>
      <c r="I44" s="210"/>
      <c r="J44" s="208"/>
      <c r="K44" s="208"/>
      <c r="L44" s="208"/>
      <c r="M44" s="208"/>
      <c r="N44" s="220"/>
      <c r="O44" s="210"/>
      <c r="P44" s="208"/>
      <c r="Q44" s="208"/>
      <c r="R44" s="208"/>
      <c r="S44" s="208"/>
      <c r="T44" s="220"/>
      <c r="U44" s="210"/>
      <c r="V44" s="208"/>
      <c r="W44" s="208"/>
      <c r="X44" s="208"/>
      <c r="Y44" s="208"/>
      <c r="Z44" s="220"/>
      <c r="AA44" s="213"/>
      <c r="AB44" s="208"/>
      <c r="AC44" s="208"/>
      <c r="AD44" s="208"/>
      <c r="AE44" s="208"/>
      <c r="AF44" s="220"/>
      <c r="AG44" s="211"/>
      <c r="AH44" s="208"/>
      <c r="AI44" s="208"/>
      <c r="AJ44" s="212"/>
      <c r="AK44" s="212"/>
      <c r="AL44" s="220"/>
      <c r="AM44" s="213"/>
      <c r="AN44" s="212"/>
      <c r="AO44" s="212"/>
      <c r="AP44" s="212"/>
      <c r="AQ44" s="212"/>
      <c r="AR44" s="220"/>
    </row>
    <row r="45" spans="1:44" ht="14.25" customHeight="1">
      <c r="A45" s="84"/>
      <c r="B45" s="70" t="s">
        <v>499</v>
      </c>
      <c r="D45" s="208"/>
      <c r="E45" s="208"/>
      <c r="F45" s="208"/>
      <c r="G45" s="208"/>
      <c r="H45" s="220" t="str">
        <f>IF(ROUND(SUM(IS!D45:G45),1)=ROUND(IS!H45,1),"OK","ERROR")</f>
        <v>ERROR</v>
      </c>
      <c r="I45" s="210"/>
      <c r="J45" s="208"/>
      <c r="K45" s="208"/>
      <c r="L45" s="208"/>
      <c r="M45" s="208"/>
      <c r="N45" s="220" t="str">
        <f>IF(ROUND(SUM(IS!J45:M45),1)=ROUND(IS!N45,1),"OK","ERROR")</f>
        <v>OK</v>
      </c>
      <c r="O45" s="210"/>
      <c r="P45" s="208"/>
      <c r="Q45" s="208"/>
      <c r="R45" s="208"/>
      <c r="S45" s="208"/>
      <c r="T45" s="220" t="str">
        <f>IF(ROUND(SUM(IS!P45:S45),1)=ROUND(IS!T45,1),"OK","ERROR")</f>
        <v>OK</v>
      </c>
      <c r="U45" s="210"/>
      <c r="V45" s="208"/>
      <c r="W45" s="208"/>
      <c r="X45" s="208"/>
      <c r="Y45" s="208"/>
      <c r="Z45" s="220" t="str">
        <f>IF(ROUND(SUM(IS!V45:Y45),1)=ROUND(IS!Z45,1),"OK","ERROR")</f>
        <v>OK</v>
      </c>
      <c r="AA45" s="224"/>
      <c r="AB45" s="208"/>
      <c r="AC45" s="208"/>
      <c r="AD45" s="208"/>
      <c r="AE45" s="208"/>
      <c r="AF45" s="220" t="str">
        <f>IF(ROUND(SUM(IS!AB45:AE45),1)=ROUND(IS!AF45,1),"OK","ERROR")</f>
        <v>OK</v>
      </c>
      <c r="AG45" s="211"/>
      <c r="AH45" s="208"/>
      <c r="AI45" s="208"/>
      <c r="AJ45" s="212"/>
      <c r="AK45" s="212"/>
      <c r="AL45" s="220" t="str">
        <f>IF(ROUND(SUM(IS!AH45:AK45),1)=ROUND(IS!AL45,1),"OK","ERROR")</f>
        <v>ERROR</v>
      </c>
      <c r="AM45" s="235"/>
      <c r="AN45" s="212"/>
      <c r="AO45" s="212"/>
      <c r="AP45" s="212"/>
      <c r="AQ45" s="212"/>
      <c r="AR45" s="220" t="str">
        <f>IF(ROUND(SUM(IS!AN45:AQ45),1)=ROUND(IS!AR45,1),"OK","ERROR")</f>
        <v>OK</v>
      </c>
    </row>
    <row r="46" spans="1:44" ht="14.25" customHeight="1">
      <c r="A46" s="84"/>
      <c r="B46" s="70" t="s">
        <v>568</v>
      </c>
      <c r="D46" s="208"/>
      <c r="E46" s="208"/>
      <c r="F46" s="208"/>
      <c r="G46" s="208"/>
      <c r="H46" s="220" t="str">
        <f>IF(ROUND(SUM(IS!D46:G46),1)=ROUND(IS!H46,1),"OK","ERROR")</f>
        <v>OK</v>
      </c>
      <c r="I46" s="210"/>
      <c r="J46" s="208"/>
      <c r="K46" s="208"/>
      <c r="L46" s="208"/>
      <c r="M46" s="208"/>
      <c r="N46" s="220" t="str">
        <f>IF(ROUND(SUM(IS!J46:M46),1)=ROUND(IS!N46,1),"OK","ERROR")</f>
        <v>OK</v>
      </c>
      <c r="O46" s="210"/>
      <c r="P46" s="208"/>
      <c r="Q46" s="208"/>
      <c r="R46" s="208"/>
      <c r="S46" s="208"/>
      <c r="T46" s="220" t="str">
        <f>IF(ROUND(SUM(IS!P46:S46),1)=ROUND(IS!T46,1),"OK","ERROR")</f>
        <v>OK</v>
      </c>
      <c r="U46" s="210"/>
      <c r="V46" s="208"/>
      <c r="W46" s="208"/>
      <c r="X46" s="208"/>
      <c r="Y46" s="208"/>
      <c r="Z46" s="220" t="str">
        <f>IF(ROUND(SUM(IS!V46:Y46),1)=ROUND(IS!Z46,1),"OK","ERROR")</f>
        <v>OK</v>
      </c>
      <c r="AA46" s="213"/>
      <c r="AB46" s="208"/>
      <c r="AC46" s="208"/>
      <c r="AD46" s="208"/>
      <c r="AE46" s="208"/>
      <c r="AF46" s="220" t="str">
        <f>IF(ROUND(SUM(IS!AB46:AE46),1)=ROUND(IS!AF46,1),"OK","ERROR")</f>
        <v>OK</v>
      </c>
      <c r="AG46" s="211"/>
      <c r="AH46" s="208"/>
      <c r="AI46" s="208"/>
      <c r="AJ46" s="212"/>
      <c r="AK46" s="212"/>
      <c r="AL46" s="220" t="str">
        <f>IF(ROUND(SUM(IS!AH46:AK46),1)=ROUND(IS!AL46,1),"OK","ERROR")</f>
        <v>OK</v>
      </c>
      <c r="AM46" s="236"/>
      <c r="AN46" s="212"/>
      <c r="AO46" s="212"/>
      <c r="AP46" s="212"/>
      <c r="AQ46" s="212"/>
      <c r="AR46" s="220" t="str">
        <f>IF(ROUND(SUM(IS!AN46:AQ46),1)=ROUND(IS!AR46,1),"OK","ERROR")</f>
        <v>OK</v>
      </c>
    </row>
    <row r="47" spans="1:44" ht="14.25" customHeight="1" thickBot="1">
      <c r="A47" s="73"/>
      <c r="B47" s="70" t="s">
        <v>569</v>
      </c>
      <c r="D47" s="208"/>
      <c r="E47" s="208"/>
      <c r="F47" s="208"/>
      <c r="G47" s="208"/>
      <c r="H47" s="237" t="str">
        <f>IF(ROUND(SUM(IS!D47:G47),1)=ROUND(IS!H47,1),"OK","ERROR")</f>
        <v>ERROR</v>
      </c>
      <c r="I47" s="210"/>
      <c r="J47" s="208"/>
      <c r="K47" s="208"/>
      <c r="L47" s="208"/>
      <c r="M47" s="208"/>
      <c r="N47" s="237" t="str">
        <f>IF(ROUND(SUM(IS!J47:M47),1)=ROUND(IS!N47,1),"OK","ERROR")</f>
        <v>OK</v>
      </c>
      <c r="O47" s="210"/>
      <c r="P47" s="208"/>
      <c r="Q47" s="208"/>
      <c r="R47" s="208"/>
      <c r="S47" s="208"/>
      <c r="T47" s="237" t="str">
        <f>IF(ROUND(SUM(IS!P47:S47),1)=ROUND(IS!T47,1),"OK","ERROR")</f>
        <v>OK</v>
      </c>
      <c r="U47" s="210"/>
      <c r="V47" s="208"/>
      <c r="W47" s="208"/>
      <c r="X47" s="208"/>
      <c r="Y47" s="208"/>
      <c r="Z47" s="237" t="str">
        <f>IF(ROUND(SUM(IS!V47:Y47),1)=ROUND(IS!Z47,1),"OK","ERROR")</f>
        <v>OK</v>
      </c>
      <c r="AA47" s="213"/>
      <c r="AB47" s="208"/>
      <c r="AC47" s="208"/>
      <c r="AD47" s="208"/>
      <c r="AE47" s="208"/>
      <c r="AF47" s="237" t="str">
        <f>IF(ROUND(SUM(IS!AB47:AE47),1)=ROUND(IS!AF47,1),"OK","ERROR")</f>
        <v>OK</v>
      </c>
      <c r="AG47" s="211"/>
      <c r="AH47" s="208"/>
      <c r="AI47" s="208"/>
      <c r="AJ47" s="212"/>
      <c r="AK47" s="212"/>
      <c r="AL47" s="237" t="str">
        <f>IF(ROUND(SUM(IS!AH47:AK47),1)=ROUND(IS!AL47,1),"OK","ERROR")</f>
        <v>ERROR</v>
      </c>
      <c r="AM47" s="236"/>
      <c r="AN47" s="212"/>
      <c r="AO47" s="212"/>
      <c r="AP47" s="212"/>
      <c r="AQ47" s="212"/>
      <c r="AR47" s="237" t="str">
        <f>IF(ROUND(SUM(IS!AN47:AQ47),1)=ROUND(IS!AR47,1),"OK","ERROR")</f>
        <v>OK</v>
      </c>
    </row>
    <row r="49" spans="1:50" ht="14.25" customHeight="1">
      <c r="A49" s="44" t="s">
        <v>33</v>
      </c>
      <c r="B49" s="65" t="s">
        <v>570</v>
      </c>
      <c r="D49" s="208"/>
      <c r="E49" s="208"/>
      <c r="F49" s="208"/>
      <c r="G49" s="208"/>
      <c r="H49" s="220"/>
      <c r="I49" s="210"/>
      <c r="J49" s="208"/>
      <c r="K49" s="208"/>
      <c r="L49" s="208"/>
      <c r="M49" s="208"/>
      <c r="N49" s="220"/>
      <c r="O49" s="210"/>
      <c r="P49" s="208"/>
      <c r="Q49" s="208"/>
      <c r="R49" s="208"/>
      <c r="S49" s="208"/>
      <c r="T49" s="220"/>
      <c r="U49" s="210"/>
      <c r="V49" s="208"/>
      <c r="W49" s="208"/>
      <c r="X49" s="208"/>
      <c r="Y49" s="208"/>
      <c r="Z49" s="220"/>
      <c r="AA49" s="210"/>
      <c r="AB49" s="208"/>
      <c r="AC49" s="208"/>
      <c r="AD49" s="208"/>
      <c r="AE49" s="208"/>
      <c r="AF49" s="220"/>
      <c r="AG49" s="238"/>
      <c r="AH49" s="208"/>
      <c r="AI49" s="208"/>
      <c r="AJ49" s="212"/>
      <c r="AK49" s="212"/>
      <c r="AL49" s="220"/>
      <c r="AM49" s="210"/>
      <c r="AN49" s="212"/>
      <c r="AO49" s="212"/>
      <c r="AP49" s="212"/>
      <c r="AQ49" s="212"/>
      <c r="AR49" s="220"/>
      <c r="AS49" s="210"/>
      <c r="AT49" s="220"/>
      <c r="AU49" s="239"/>
      <c r="AV49" s="220"/>
      <c r="AW49" s="239"/>
      <c r="AX49" s="220"/>
    </row>
    <row r="50" spans="1:50" ht="14.25" customHeight="1">
      <c r="A50" s="73"/>
      <c r="B50" s="70" t="s">
        <v>571</v>
      </c>
      <c r="D50" s="208"/>
      <c r="E50" s="208"/>
      <c r="F50" s="208"/>
      <c r="G50" s="208"/>
      <c r="H50" s="220" t="str">
        <f>IF(ROUND(SUM(IS!D50:G50),1)=ROUND(IS!H50,1),"OK","ERROR")</f>
        <v>OK</v>
      </c>
      <c r="I50" s="210"/>
      <c r="J50" s="208"/>
      <c r="K50" s="208"/>
      <c r="L50" s="208"/>
      <c r="M50" s="208"/>
      <c r="N50" s="220" t="str">
        <f>IF(ROUND(SUM(IS!J50:M50),1)=ROUND(IS!N50,1),"OK","ERROR")</f>
        <v>OK</v>
      </c>
      <c r="O50" s="210"/>
      <c r="P50" s="208"/>
      <c r="Q50" s="208"/>
      <c r="R50" s="208"/>
      <c r="S50" s="208"/>
      <c r="T50" s="220" t="str">
        <f>IF(ROUND(SUM(IS!P50:S50),1)=ROUND(IS!T50,1),"OK","ERROR")</f>
        <v>OK</v>
      </c>
      <c r="U50" s="210"/>
      <c r="V50" s="208"/>
      <c r="W50" s="208"/>
      <c r="X50" s="208"/>
      <c r="Y50" s="208"/>
      <c r="Z50" s="220" t="str">
        <f>IF(ROUND(SUM(IS!V50:Y50),1)=ROUND(IS!Z50,1),"OK","ERROR")</f>
        <v>OK</v>
      </c>
      <c r="AA50" s="228"/>
      <c r="AB50" s="208"/>
      <c r="AC50" s="208"/>
      <c r="AD50" s="208"/>
      <c r="AE50" s="208"/>
      <c r="AF50" s="220" t="str">
        <f>IF(ROUND(SUM(IS!AB50:AE50),1)=ROUND(IS!AF50,1),"OK","ERROR")</f>
        <v>OK</v>
      </c>
      <c r="AG50" s="229"/>
      <c r="AH50" s="208"/>
      <c r="AI50" s="208"/>
      <c r="AJ50" s="212"/>
      <c r="AK50" s="212"/>
      <c r="AL50" s="220" t="str">
        <f>IF(ROUND(SUM(IS!AH50:AK50),1)=ROUND(IS!AL50,1),"OK","ERROR")</f>
        <v>OK</v>
      </c>
      <c r="AM50" s="228"/>
      <c r="AN50" s="212"/>
      <c r="AO50" s="212"/>
      <c r="AP50" s="212"/>
      <c r="AQ50" s="212"/>
      <c r="AR50" s="220" t="str">
        <f>IF(ROUND(SUM(IS!AN50:AQ50),1)=ROUND(IS!AR50,1),"OK","ERROR")</f>
        <v>OK</v>
      </c>
      <c r="AS50" s="228"/>
      <c r="AT50" s="220"/>
      <c r="AU50" s="230"/>
      <c r="AV50" s="220"/>
      <c r="AW50" s="230"/>
      <c r="AX50" s="220"/>
    </row>
    <row r="51" spans="1:50" ht="14.25" customHeight="1">
      <c r="A51" s="55"/>
      <c r="B51" s="70" t="s">
        <v>572</v>
      </c>
      <c r="D51" s="208"/>
      <c r="E51" s="208"/>
      <c r="F51" s="208"/>
      <c r="G51" s="208"/>
      <c r="H51" s="226" t="str">
        <f>IF(ROUND(SUM(IS!D51:G51),1)=ROUND(IS!H51,1),"OK","ERROR")</f>
        <v>OK</v>
      </c>
      <c r="I51" s="210"/>
      <c r="J51" s="208"/>
      <c r="K51" s="208"/>
      <c r="L51" s="208"/>
      <c r="M51" s="208"/>
      <c r="N51" s="226" t="str">
        <f>IF(ROUND(SUM(IS!J51:M51),1)=ROUND(IS!N51,1),"OK","ERROR")</f>
        <v>OK</v>
      </c>
      <c r="O51" s="210"/>
      <c r="P51" s="208"/>
      <c r="Q51" s="208"/>
      <c r="R51" s="208"/>
      <c r="S51" s="208"/>
      <c r="T51" s="226" t="str">
        <f>IF(ROUND(SUM(IS!P51:S51),1)=ROUND(IS!T51,1),"OK","ERROR")</f>
        <v>OK</v>
      </c>
      <c r="U51" s="210"/>
      <c r="V51" s="208"/>
      <c r="W51" s="208"/>
      <c r="X51" s="208"/>
      <c r="Y51" s="208"/>
      <c r="Z51" s="226" t="str">
        <f>IF(ROUND(SUM(IS!V51:Y51),1)=ROUND(IS!Z51,1),"OK","ERROR")</f>
        <v>OK</v>
      </c>
      <c r="AA51" s="210"/>
      <c r="AB51" s="208"/>
      <c r="AC51" s="208"/>
      <c r="AD51" s="208"/>
      <c r="AE51" s="208"/>
      <c r="AF51" s="226" t="str">
        <f>IF(ROUND(SUM(IS!AB51:AE51),1)=ROUND(IS!AF51,1),"OK","ERROR")</f>
        <v>OK</v>
      </c>
      <c r="AG51" s="238"/>
      <c r="AH51" s="208"/>
      <c r="AI51" s="208"/>
      <c r="AJ51" s="212"/>
      <c r="AK51" s="212"/>
      <c r="AL51" s="226" t="str">
        <f>IF(ROUND(SUM(IS!AH51:AK51),1)=ROUND(IS!AL51,1),"OK","ERROR")</f>
        <v>ERROR</v>
      </c>
      <c r="AM51" s="210"/>
      <c r="AN51" s="212"/>
      <c r="AO51" s="212"/>
      <c r="AP51" s="212"/>
      <c r="AQ51" s="212"/>
      <c r="AR51" s="226" t="str">
        <f>IF(ROUND(SUM(IS!AN51:AQ51),1)=ROUND(IS!AR51,1),"OK","ERROR")</f>
        <v>OK</v>
      </c>
      <c r="AS51" s="210"/>
      <c r="AT51" s="226"/>
      <c r="AU51" s="239"/>
      <c r="AV51" s="226"/>
      <c r="AW51" s="239"/>
      <c r="AX51" s="226"/>
    </row>
    <row r="52" spans="1:50" ht="14.25" customHeight="1" thickBot="1">
      <c r="A52" s="73"/>
      <c r="B52" s="76" t="s">
        <v>573</v>
      </c>
      <c r="D52" s="208"/>
      <c r="E52" s="208"/>
      <c r="F52" s="208"/>
      <c r="G52" s="208"/>
      <c r="H52" s="237" t="str">
        <f>IF(ROUND(SUM(IS!D52:G52),1)=ROUND(IS!H52,1),"OK","ERROR")</f>
        <v>ERROR</v>
      </c>
      <c r="I52" s="210"/>
      <c r="J52" s="208"/>
      <c r="K52" s="208"/>
      <c r="L52" s="208"/>
      <c r="M52" s="208"/>
      <c r="N52" s="237" t="str">
        <f>IF(ROUND(SUM(IS!J52:M52),1)=ROUND(IS!N52,1),"OK","ERROR")</f>
        <v>OK</v>
      </c>
      <c r="O52" s="210"/>
      <c r="P52" s="208"/>
      <c r="Q52" s="208"/>
      <c r="R52" s="208"/>
      <c r="S52" s="208"/>
      <c r="T52" s="237" t="str">
        <f>IF(ROUND(SUM(IS!P52:S52),1)=ROUND(IS!T52,1),"OK","ERROR")</f>
        <v>OK</v>
      </c>
      <c r="U52" s="210"/>
      <c r="V52" s="208"/>
      <c r="W52" s="208"/>
      <c r="X52" s="208"/>
      <c r="Y52" s="208"/>
      <c r="Z52" s="237" t="str">
        <f>IF(ROUND(SUM(IS!V52:Y52),1)=ROUND(IS!Z52,1),"OK","ERROR")</f>
        <v>OK</v>
      </c>
      <c r="AA52" s="210"/>
      <c r="AB52" s="208"/>
      <c r="AC52" s="208"/>
      <c r="AD52" s="208"/>
      <c r="AE52" s="208"/>
      <c r="AF52" s="237" t="str">
        <f>IF(ROUND(SUM(IS!AB52:AE52),1)=ROUND(IS!AF52,1),"OK","ERROR")</f>
        <v>OK</v>
      </c>
      <c r="AG52" s="238"/>
      <c r="AH52" s="208"/>
      <c r="AI52" s="208"/>
      <c r="AJ52" s="212"/>
      <c r="AK52" s="212"/>
      <c r="AL52" s="237" t="str">
        <f>IF(ROUND(SUM(IS!AH52:AK52),1)=ROUND(IS!AL52,1),"OK","ERROR")</f>
        <v>ERROR</v>
      </c>
      <c r="AM52" s="210"/>
      <c r="AN52" s="212"/>
      <c r="AO52" s="212"/>
      <c r="AP52" s="212"/>
      <c r="AQ52" s="212"/>
      <c r="AR52" s="237" t="str">
        <f>IF(ROUND(SUM(IS!AN52:AQ52),1)=ROUND(IS!AR52,1),"OK","ERROR")</f>
        <v>OK</v>
      </c>
      <c r="AS52" s="210"/>
      <c r="AT52" s="237"/>
      <c r="AU52" s="239"/>
      <c r="AV52" s="237"/>
      <c r="AW52" s="239"/>
      <c r="AX52" s="237"/>
    </row>
    <row r="53" spans="1:50" ht="14.25" customHeight="1" thickTop="1">
      <c r="A53" s="55"/>
      <c r="B53" s="207"/>
      <c r="D53" s="208"/>
      <c r="E53" s="208"/>
      <c r="F53" s="208"/>
      <c r="G53" s="208"/>
      <c r="H53" s="220"/>
      <c r="I53" s="210"/>
      <c r="J53" s="208"/>
      <c r="K53" s="208"/>
      <c r="L53" s="208"/>
      <c r="M53" s="208"/>
      <c r="N53" s="220"/>
      <c r="O53" s="210"/>
      <c r="P53" s="208"/>
      <c r="Q53" s="208"/>
      <c r="R53" s="208"/>
      <c r="S53" s="208"/>
      <c r="T53" s="220"/>
      <c r="U53" s="210"/>
      <c r="V53" s="208"/>
      <c r="W53" s="208"/>
      <c r="X53" s="208"/>
      <c r="Y53" s="208"/>
      <c r="Z53" s="220"/>
      <c r="AA53" s="210"/>
      <c r="AB53" s="208"/>
      <c r="AC53" s="208"/>
      <c r="AD53" s="208"/>
      <c r="AE53" s="208"/>
      <c r="AF53" s="220"/>
      <c r="AG53" s="238"/>
      <c r="AH53" s="208"/>
      <c r="AI53" s="208"/>
      <c r="AJ53" s="212"/>
      <c r="AK53" s="212"/>
      <c r="AL53" s="220"/>
      <c r="AM53" s="210"/>
      <c r="AN53" s="212"/>
      <c r="AO53" s="212"/>
      <c r="AP53" s="212"/>
      <c r="AQ53" s="212"/>
      <c r="AR53" s="220"/>
      <c r="AS53" s="210"/>
      <c r="AT53" s="220"/>
      <c r="AU53" s="239"/>
      <c r="AV53" s="220"/>
      <c r="AW53" s="239"/>
      <c r="AX53" s="220"/>
    </row>
    <row r="54" spans="1:50" ht="14.25" customHeight="1">
      <c r="A54" s="44" t="s">
        <v>33</v>
      </c>
      <c r="B54" s="65" t="s">
        <v>574</v>
      </c>
      <c r="D54" s="208"/>
      <c r="E54" s="208"/>
      <c r="F54" s="208"/>
      <c r="G54" s="208"/>
      <c r="H54" s="220"/>
      <c r="I54" s="210"/>
      <c r="J54" s="208"/>
      <c r="K54" s="208"/>
      <c r="L54" s="208"/>
      <c r="M54" s="208"/>
      <c r="N54" s="220"/>
      <c r="O54" s="210"/>
      <c r="P54" s="208"/>
      <c r="Q54" s="208"/>
      <c r="R54" s="208"/>
      <c r="S54" s="208"/>
      <c r="T54" s="220"/>
      <c r="U54" s="210"/>
      <c r="V54" s="208"/>
      <c r="W54" s="208"/>
      <c r="X54" s="208"/>
      <c r="Y54" s="208"/>
      <c r="Z54" s="220"/>
      <c r="AA54" s="210"/>
      <c r="AB54" s="208"/>
      <c r="AC54" s="208"/>
      <c r="AD54" s="208"/>
      <c r="AE54" s="208"/>
      <c r="AF54" s="220"/>
      <c r="AG54" s="238"/>
      <c r="AH54" s="208"/>
      <c r="AI54" s="208"/>
      <c r="AJ54" s="212"/>
      <c r="AK54" s="212"/>
      <c r="AL54" s="220"/>
      <c r="AM54" s="210"/>
      <c r="AN54" s="212"/>
      <c r="AO54" s="212"/>
      <c r="AP54" s="212"/>
      <c r="AQ54" s="212"/>
      <c r="AR54" s="220"/>
      <c r="AS54" s="210"/>
      <c r="AT54" s="220"/>
      <c r="AU54" s="239"/>
      <c r="AV54" s="220"/>
      <c r="AW54" s="239"/>
      <c r="AX54" s="220"/>
    </row>
    <row r="55" spans="1:50" ht="14.25" customHeight="1">
      <c r="A55" s="55"/>
      <c r="B55" s="76" t="s">
        <v>575</v>
      </c>
      <c r="D55" s="240"/>
      <c r="E55" s="240"/>
      <c r="F55" s="240"/>
      <c r="G55" s="240"/>
      <c r="H55" s="241" t="str">
        <f>IF(ROUND(AVERAGE(IS!D55:G55),0)-ROUND(IS!H55,0)&lt;0.01*ROUND(IS!H55,0),"OK","ERROR")</f>
        <v>ERROR</v>
      </c>
      <c r="I55" s="242"/>
      <c r="J55" s="240"/>
      <c r="K55" s="240"/>
      <c r="L55" s="240"/>
      <c r="M55" s="240"/>
      <c r="N55" s="241" t="str">
        <f>IF(ROUND(AVERAGE(IS!J55:M55),0)-ROUND(IS!N55,0)&lt;0.01*ROUND(IS!N55,0),"OK","ERROR")</f>
        <v>ERROR</v>
      </c>
      <c r="O55" s="242"/>
      <c r="P55" s="240"/>
      <c r="Q55" s="240"/>
      <c r="R55" s="240"/>
      <c r="S55" s="240"/>
      <c r="T55" s="241" t="str">
        <f>IF(ROUND(AVERAGE(IS!P55:S55),0)-ROUND(IS!T55,0)&lt;0.01*ROUND(IS!T55,0),"OK","ERROR")</f>
        <v>OK</v>
      </c>
      <c r="U55" s="242"/>
      <c r="V55" s="240"/>
      <c r="W55" s="240"/>
      <c r="X55" s="240"/>
      <c r="Y55" s="240"/>
      <c r="Z55" s="241" t="str">
        <f>IF(ROUND(AVERAGE(IS!V55:Y55),0)-ROUND(IS!Z55,0)&lt;0.01*ROUND(IS!Z55,0),"OK","ERROR")</f>
        <v>OK</v>
      </c>
      <c r="AA55" s="242"/>
      <c r="AB55" s="240"/>
      <c r="AC55" s="240"/>
      <c r="AD55" s="240"/>
      <c r="AE55" s="240"/>
      <c r="AF55" s="241" t="str">
        <f>IF(ROUND(AVERAGE(IS!AB55:AE55),0)-ROUND(IS!AF55,0)&lt;0.01*ROUND(IS!AF55,0),"OK","ERROR")</f>
        <v>OK</v>
      </c>
      <c r="AG55" s="243"/>
      <c r="AH55" s="240"/>
      <c r="AI55" s="240"/>
      <c r="AJ55" s="244"/>
      <c r="AK55" s="244"/>
      <c r="AL55" s="241" t="str">
        <f>IF(ROUND(AVERAGE(IS!AH55:AK55),0)-ROUND(IS!AL55,0)&lt;0.01*ROUND(IS!AL55,0),"OK","ERROR")</f>
        <v>ERROR</v>
      </c>
      <c r="AM55" s="242"/>
      <c r="AN55" s="244"/>
      <c r="AO55" s="244"/>
      <c r="AP55" s="244"/>
      <c r="AQ55" s="244"/>
      <c r="AR55" s="241" t="e">
        <f>IF(ROUND(AVERAGE(IS!AN55:AQ55),0)-ROUND(IS!AR55,0)&lt;0.01*ROUND(IS!AR55,0),"OK","ERROR")</f>
        <v>#DIV/0!</v>
      </c>
      <c r="AS55" s="242"/>
      <c r="AT55" s="241"/>
      <c r="AU55" s="245"/>
      <c r="AV55" s="241"/>
      <c r="AW55" s="245"/>
      <c r="AX55" s="241"/>
    </row>
    <row r="56" spans="1:50" ht="14.25" customHeight="1">
      <c r="A56" s="73"/>
      <c r="B56" s="76" t="s">
        <v>576</v>
      </c>
      <c r="D56" s="240"/>
      <c r="E56" s="240"/>
      <c r="F56" s="240"/>
      <c r="G56" s="240"/>
      <c r="H56" s="241" t="str">
        <f>IF(ROUND(AVERAGE(IS!D56:G56),0)-ROUND(IS!H56,0)&lt;0.01*ROUND(IS!H56,0),"OK","ERROR")</f>
        <v>ERROR</v>
      </c>
      <c r="I56" s="242"/>
      <c r="J56" s="240"/>
      <c r="K56" s="240"/>
      <c r="L56" s="240"/>
      <c r="M56" s="240"/>
      <c r="N56" s="241" t="str">
        <f>IF(ROUND(AVERAGE(IS!J56:M56),0)-ROUND(IS!N56,0)&lt;0.01*ROUND(IS!N56,0),"OK","ERROR")</f>
        <v>ERROR</v>
      </c>
      <c r="O56" s="242"/>
      <c r="P56" s="240"/>
      <c r="Q56" s="240"/>
      <c r="R56" s="240"/>
      <c r="S56" s="240"/>
      <c r="T56" s="241" t="str">
        <f>IF(ROUND(AVERAGE(IS!P56:S56),0)-ROUND(IS!T56,0)&lt;0.01*ROUND(IS!T56,0),"OK","ERROR")</f>
        <v>OK</v>
      </c>
      <c r="U56" s="242"/>
      <c r="V56" s="240"/>
      <c r="W56" s="240"/>
      <c r="X56" s="240"/>
      <c r="Y56" s="240"/>
      <c r="Z56" s="241" t="str">
        <f>IF(ROUND(AVERAGE(IS!V56:Y56),0)-ROUND(IS!Z56,0)&lt;0.01*ROUND(IS!Z56,0),"OK","ERROR")</f>
        <v>OK</v>
      </c>
      <c r="AA56" s="242"/>
      <c r="AB56" s="240"/>
      <c r="AC56" s="240"/>
      <c r="AD56" s="240"/>
      <c r="AE56" s="240"/>
      <c r="AF56" s="241" t="str">
        <f>IF(ROUND(AVERAGE(IS!AB56:AE56),0)-ROUND(IS!AF56,0)&lt;0.01*ROUND(IS!AF56,0),"OK","ERROR")</f>
        <v>OK</v>
      </c>
      <c r="AG56" s="243"/>
      <c r="AH56" s="240"/>
      <c r="AI56" s="240"/>
      <c r="AJ56" s="244"/>
      <c r="AK56" s="244"/>
      <c r="AL56" s="241" t="str">
        <f>IF(ROUND(AVERAGE(IS!AH56:AK56),0)-ROUND(IS!AL56,0)&lt;0.01*ROUND(IS!AL56,0),"OK","ERROR")</f>
        <v>ERROR</v>
      </c>
      <c r="AM56" s="242"/>
      <c r="AN56" s="244"/>
      <c r="AO56" s="244"/>
      <c r="AP56" s="244"/>
      <c r="AQ56" s="244"/>
      <c r="AR56" s="241" t="e">
        <f>IF(ROUND(AVERAGE(IS!AN56:AQ56),0)-ROUND(IS!AR56,0)&lt;0.01*ROUND(IS!AR56,0),"OK","ERROR")</f>
        <v>#DIV/0!</v>
      </c>
      <c r="AS56" s="242"/>
      <c r="AT56" s="241"/>
      <c r="AU56" s="245"/>
      <c r="AV56" s="241"/>
      <c r="AW56" s="245"/>
      <c r="AX56" s="241"/>
    </row>
    <row r="57" spans="1:50" ht="14.25" customHeight="1">
      <c r="A57" s="55"/>
      <c r="B57" s="207"/>
      <c r="D57" s="208"/>
      <c r="E57" s="208"/>
      <c r="F57" s="208"/>
      <c r="G57" s="208"/>
      <c r="H57" s="220"/>
      <c r="I57" s="210"/>
      <c r="J57" s="208"/>
      <c r="K57" s="208"/>
      <c r="L57" s="208"/>
      <c r="M57" s="208"/>
      <c r="N57" s="220"/>
      <c r="O57" s="210"/>
      <c r="P57" s="208"/>
      <c r="Q57" s="208"/>
      <c r="R57" s="208"/>
      <c r="S57" s="208"/>
      <c r="T57" s="220"/>
      <c r="U57" s="210"/>
      <c r="V57" s="208"/>
      <c r="W57" s="208"/>
      <c r="X57" s="208"/>
      <c r="Y57" s="208"/>
      <c r="Z57" s="220"/>
      <c r="AA57" s="210"/>
      <c r="AB57" s="208"/>
      <c r="AC57" s="208"/>
      <c r="AD57" s="208"/>
      <c r="AE57" s="208"/>
      <c r="AF57" s="220"/>
      <c r="AG57" s="238"/>
      <c r="AH57" s="208"/>
      <c r="AI57" s="208"/>
      <c r="AJ57" s="212"/>
      <c r="AK57" s="212"/>
      <c r="AL57" s="220"/>
      <c r="AM57" s="210"/>
      <c r="AN57" s="212"/>
      <c r="AO57" s="212"/>
      <c r="AP57" s="212"/>
      <c r="AQ57" s="212"/>
      <c r="AR57" s="220"/>
      <c r="AS57" s="210"/>
      <c r="AT57" s="220"/>
      <c r="AU57" s="239"/>
      <c r="AV57" s="220"/>
      <c r="AW57" s="239"/>
      <c r="AX57" s="220"/>
    </row>
    <row r="58" spans="1:50" ht="14.25" customHeight="1">
      <c r="A58" s="44" t="s">
        <v>33</v>
      </c>
      <c r="B58" s="65" t="s">
        <v>577</v>
      </c>
      <c r="D58" s="208"/>
      <c r="E58" s="208"/>
      <c r="F58" s="208"/>
      <c r="G58" s="208"/>
      <c r="H58" s="220"/>
      <c r="I58" s="210"/>
      <c r="J58" s="208"/>
      <c r="K58" s="208"/>
      <c r="L58" s="208"/>
      <c r="M58" s="208"/>
      <c r="N58" s="220"/>
      <c r="O58" s="210"/>
      <c r="P58" s="208"/>
      <c r="Q58" s="208"/>
      <c r="R58" s="208"/>
      <c r="S58" s="208"/>
      <c r="T58" s="220"/>
      <c r="U58" s="210"/>
      <c r="V58" s="208"/>
      <c r="W58" s="208"/>
      <c r="X58" s="208"/>
      <c r="Y58" s="208"/>
      <c r="Z58" s="220"/>
      <c r="AA58" s="210"/>
      <c r="AB58" s="208"/>
      <c r="AC58" s="208"/>
      <c r="AD58" s="208"/>
      <c r="AE58" s="208"/>
      <c r="AF58" s="220"/>
      <c r="AG58" s="238"/>
      <c r="AH58" s="208"/>
      <c r="AI58" s="208"/>
      <c r="AJ58" s="212"/>
      <c r="AK58" s="212"/>
      <c r="AL58" s="220"/>
      <c r="AM58" s="210"/>
      <c r="AN58" s="212"/>
      <c r="AO58" s="212"/>
      <c r="AP58" s="212"/>
      <c r="AQ58" s="212"/>
      <c r="AR58" s="220"/>
      <c r="AS58" s="210"/>
      <c r="AT58" s="220"/>
      <c r="AU58" s="239"/>
      <c r="AV58" s="220"/>
      <c r="AW58" s="239"/>
      <c r="AX58" s="220"/>
    </row>
    <row r="59" spans="1:50" ht="14.25" customHeight="1">
      <c r="B59" s="70" t="s">
        <v>578</v>
      </c>
      <c r="D59" s="208"/>
      <c r="E59" s="208"/>
      <c r="F59" s="208"/>
      <c r="G59" s="208"/>
      <c r="H59" s="220" t="str">
        <f>IF(ROUND(AVERAGE(IS!D59:G59),0)-ROUND(IS!H59,0)&lt;0.01*ROUND(IS!H59,0),"OK","ERROR")</f>
        <v>OK</v>
      </c>
      <c r="I59" s="210"/>
      <c r="J59" s="208"/>
      <c r="K59" s="208"/>
      <c r="L59" s="208"/>
      <c r="M59" s="208"/>
      <c r="N59" s="220" t="str">
        <f>IF(ROUND(AVERAGE(IS!J59:M59),0)-ROUND(IS!N59,0)&lt;0.01*ROUND(IS!N59,0),"OK","ERROR")</f>
        <v>OK</v>
      </c>
      <c r="O59" s="210"/>
      <c r="P59" s="208"/>
      <c r="Q59" s="208"/>
      <c r="R59" s="208"/>
      <c r="S59" s="208"/>
      <c r="T59" s="220" t="str">
        <f>IF(ROUND(AVERAGE(IS!P59:S59),0)-ROUND(IS!T59,0)&lt;0.01*ROUND(IS!T59,0),"OK","ERROR")</f>
        <v>OK</v>
      </c>
      <c r="U59" s="210"/>
      <c r="V59" s="208"/>
      <c r="W59" s="208"/>
      <c r="X59" s="208"/>
      <c r="Y59" s="208"/>
      <c r="Z59" s="220" t="str">
        <f>IF(ROUND(AVERAGE(IS!V59:Y59),0)-ROUND(IS!Z59,0)&lt;0.01*ROUND(IS!Z59,0),"OK","ERROR")</f>
        <v>OK</v>
      </c>
      <c r="AA59" s="210"/>
      <c r="AB59" s="208"/>
      <c r="AC59" s="208"/>
      <c r="AD59" s="208"/>
      <c r="AE59" s="208"/>
      <c r="AF59" s="220" t="str">
        <f>IF(ROUND(AVERAGE(IS!AB59:AE59),0)-ROUND(IS!AF59,0)&lt;0.01*ROUND(IS!AF59,0),"OK","ERROR")</f>
        <v>OK</v>
      </c>
      <c r="AG59" s="238"/>
      <c r="AH59" s="208"/>
      <c r="AI59" s="208"/>
      <c r="AJ59" s="212"/>
      <c r="AK59" s="212"/>
      <c r="AL59" s="220" t="e">
        <f>IF(ROUND(AVERAGE(IS!AH59:AK59),0)-ROUND(IS!AL59,0)&lt;0.01*ROUND(IS!AL59,0),"OK","ERROR")</f>
        <v>#DIV/0!</v>
      </c>
      <c r="AM59" s="210"/>
      <c r="AN59" s="212"/>
      <c r="AO59" s="212"/>
      <c r="AP59" s="212"/>
      <c r="AQ59" s="212"/>
      <c r="AR59" s="220" t="e">
        <f>IF(ROUND(AVERAGE(IS!AN59:AQ59),0)-ROUND(IS!AR59,0)&lt;0.01*ROUND(IS!AR59,0),"OK","ERROR")</f>
        <v>#DIV/0!</v>
      </c>
      <c r="AS59" s="210"/>
      <c r="AT59" s="220"/>
      <c r="AU59" s="239"/>
      <c r="AV59" s="220"/>
      <c r="AW59" s="239"/>
      <c r="AX59" s="220"/>
    </row>
    <row r="60" spans="1:50" ht="14.25" customHeight="1">
      <c r="B60" s="70" t="s">
        <v>579</v>
      </c>
      <c r="D60" s="208"/>
      <c r="E60" s="208"/>
      <c r="F60" s="208"/>
      <c r="G60" s="208"/>
      <c r="H60" s="220" t="str">
        <f>IF(ROUND(AVERAGE(IS!D60:G60),0)-ROUND(IS!H60,0)&lt;0.01*ROUND(IS!H60,0),"OK","ERROR")</f>
        <v>OK</v>
      </c>
      <c r="I60" s="210"/>
      <c r="J60" s="208"/>
      <c r="K60" s="208"/>
      <c r="L60" s="208"/>
      <c r="M60" s="208"/>
      <c r="N60" s="220" t="str">
        <f>IF(ROUND(AVERAGE(IS!J60:M60),0)-ROUND(IS!N60,0)&lt;0.01*ROUND(IS!N60,0),"OK","ERROR")</f>
        <v>OK</v>
      </c>
      <c r="O60" s="210"/>
      <c r="P60" s="208"/>
      <c r="Q60" s="208"/>
      <c r="R60" s="208"/>
      <c r="S60" s="208"/>
      <c r="T60" s="220" t="str">
        <f>IF(ROUND(AVERAGE(IS!P60:S60),0)-ROUND(IS!T60,0)&lt;0.01*ROUND(IS!T60,0),"OK","ERROR")</f>
        <v>OK</v>
      </c>
      <c r="U60" s="210"/>
      <c r="V60" s="208"/>
      <c r="W60" s="208"/>
      <c r="X60" s="208"/>
      <c r="Y60" s="208"/>
      <c r="Z60" s="220" t="str">
        <f>IF(ROUND(AVERAGE(IS!V60:Y60),0)-ROUND(IS!Z60,0)&lt;0.01*ROUND(IS!Z60,0),"OK","ERROR")</f>
        <v>OK</v>
      </c>
      <c r="AA60" s="210"/>
      <c r="AB60" s="208"/>
      <c r="AC60" s="208"/>
      <c r="AD60" s="208"/>
      <c r="AE60" s="208"/>
      <c r="AF60" s="220" t="str">
        <f>IF(ROUND(AVERAGE(IS!AB60:AE60),0)-ROUND(IS!AF60,0)&lt;0.01*ROUND(IS!AF60,0),"OK","ERROR")</f>
        <v>OK</v>
      </c>
      <c r="AG60" s="238"/>
      <c r="AH60" s="208"/>
      <c r="AI60" s="208"/>
      <c r="AJ60" s="212"/>
      <c r="AK60" s="212"/>
      <c r="AL60" s="220" t="str">
        <f>IF(ROUND(AVERAGE(IS!AH60:AK60),0)-ROUND(IS!AL60,0)&lt;0.01*ROUND(IS!AL60,0),"OK","ERROR")</f>
        <v>OK</v>
      </c>
      <c r="AM60" s="210"/>
      <c r="AN60" s="212"/>
      <c r="AO60" s="212"/>
      <c r="AP60" s="212"/>
      <c r="AQ60" s="212"/>
      <c r="AR60" s="220" t="str">
        <f>IF(ROUND(AVERAGE(IS!AN60:AQ60),0)-ROUND(IS!AR60,0)&lt;0.01*ROUND(IS!AR60,0),"OK","ERROR")</f>
        <v>OK</v>
      </c>
      <c r="AS60" s="210"/>
      <c r="AT60" s="220"/>
      <c r="AU60" s="239"/>
      <c r="AV60" s="220"/>
      <c r="AW60" s="239"/>
      <c r="AX60" s="220"/>
    </row>
    <row r="62" spans="1:50" s="41" customFormat="1" ht="15" customHeight="1">
      <c r="B62" s="161" t="s">
        <v>647</v>
      </c>
      <c r="C62" s="18"/>
      <c r="D62" s="202">
        <f>F62</f>
        <v>2020</v>
      </c>
      <c r="E62" s="202">
        <f>F62</f>
        <v>2020</v>
      </c>
      <c r="F62" s="202">
        <v>2020</v>
      </c>
      <c r="G62" s="202">
        <f>F62</f>
        <v>2020</v>
      </c>
      <c r="H62" s="202">
        <f>F62</f>
        <v>2020</v>
      </c>
      <c r="I62" s="18"/>
      <c r="J62" s="202">
        <f>L62</f>
        <v>2021</v>
      </c>
      <c r="K62" s="202">
        <f>L62</f>
        <v>2021</v>
      </c>
      <c r="L62" s="202">
        <v>2021</v>
      </c>
      <c r="M62" s="202">
        <f>L62</f>
        <v>2021</v>
      </c>
      <c r="N62" s="202">
        <f>L62</f>
        <v>2021</v>
      </c>
      <c r="O62" s="169"/>
      <c r="P62" s="202">
        <f>R62</f>
        <v>2022</v>
      </c>
      <c r="Q62" s="202">
        <f>R62</f>
        <v>2022</v>
      </c>
      <c r="R62" s="202">
        <v>2022</v>
      </c>
      <c r="S62" s="202">
        <f>R62</f>
        <v>2022</v>
      </c>
      <c r="T62" s="202">
        <f>R62</f>
        <v>2022</v>
      </c>
      <c r="U62" s="169"/>
      <c r="V62" s="202">
        <f>X62</f>
        <v>2023</v>
      </c>
      <c r="W62" s="202">
        <f>X62</f>
        <v>2023</v>
      </c>
      <c r="X62" s="202">
        <v>2023</v>
      </c>
      <c r="Y62" s="202">
        <f>X62</f>
        <v>2023</v>
      </c>
      <c r="Z62" s="202">
        <f>X62</f>
        <v>2023</v>
      </c>
      <c r="AA62" s="170"/>
      <c r="AB62" s="202">
        <f>AD62</f>
        <v>2024</v>
      </c>
      <c r="AC62" s="202">
        <f>AD62</f>
        <v>2024</v>
      </c>
      <c r="AD62" s="202">
        <v>2024</v>
      </c>
      <c r="AE62" s="202">
        <f>AD62</f>
        <v>2024</v>
      </c>
      <c r="AF62" s="202">
        <f>AD62</f>
        <v>2024</v>
      </c>
      <c r="AG62" s="170"/>
      <c r="AH62" s="202">
        <f>AJ62</f>
        <v>2025</v>
      </c>
      <c r="AI62" s="202">
        <f>AJ62</f>
        <v>2025</v>
      </c>
      <c r="AJ62" s="203">
        <v>2025</v>
      </c>
      <c r="AK62" s="202">
        <f>AJ62</f>
        <v>2025</v>
      </c>
      <c r="AL62" s="202">
        <f>AJ62</f>
        <v>2025</v>
      </c>
      <c r="AM62" s="171"/>
      <c r="AN62" s="202">
        <f>AP62</f>
        <v>2025</v>
      </c>
      <c r="AO62" s="202">
        <f>AP62</f>
        <v>2025</v>
      </c>
      <c r="AP62" s="203">
        <v>2025</v>
      </c>
      <c r="AQ62" s="202">
        <f>AP62</f>
        <v>2025</v>
      </c>
      <c r="AR62" s="202">
        <f>AP62</f>
        <v>2025</v>
      </c>
      <c r="AS62" s="18"/>
      <c r="AT62" s="162"/>
      <c r="AU62" s="18"/>
      <c r="AV62" s="163"/>
      <c r="AW62" s="18"/>
      <c r="AX62" s="163"/>
    </row>
    <row r="63" spans="1:50" s="41" customFormat="1" ht="15" customHeight="1">
      <c r="B63" s="164"/>
      <c r="C63" s="18"/>
      <c r="D63" s="743">
        <v>2020</v>
      </c>
      <c r="E63" s="743"/>
      <c r="F63" s="743"/>
      <c r="G63" s="743"/>
      <c r="H63" s="743"/>
      <c r="I63" s="169"/>
      <c r="J63" s="743">
        <f>D63+1</f>
        <v>2021</v>
      </c>
      <c r="K63" s="743"/>
      <c r="L63" s="743"/>
      <c r="M63" s="743"/>
      <c r="N63" s="743"/>
      <c r="O63" s="169"/>
      <c r="P63" s="743">
        <f>J63+1</f>
        <v>2022</v>
      </c>
      <c r="Q63" s="743"/>
      <c r="R63" s="743"/>
      <c r="S63" s="743"/>
      <c r="T63" s="743"/>
      <c r="U63" s="169"/>
      <c r="V63" s="743">
        <f>P63+1</f>
        <v>2023</v>
      </c>
      <c r="W63" s="743"/>
      <c r="X63" s="743"/>
      <c r="Y63" s="743"/>
      <c r="Z63" s="743"/>
      <c r="AA63" s="169"/>
      <c r="AB63" s="743">
        <f>V63+1</f>
        <v>2024</v>
      </c>
      <c r="AC63" s="743"/>
      <c r="AD63" s="743"/>
      <c r="AE63" s="743"/>
      <c r="AF63" s="743"/>
      <c r="AG63" s="169"/>
      <c r="AH63" s="742">
        <f>AB63+1</f>
        <v>2025</v>
      </c>
      <c r="AI63" s="742"/>
      <c r="AJ63" s="742"/>
      <c r="AK63" s="742"/>
      <c r="AL63" s="742"/>
      <c r="AM63" s="169"/>
      <c r="AN63" s="742">
        <f>AH63+1</f>
        <v>2026</v>
      </c>
      <c r="AO63" s="742"/>
      <c r="AP63" s="742"/>
      <c r="AQ63" s="742"/>
      <c r="AR63" s="742"/>
      <c r="AS63" s="171"/>
      <c r="AT63" s="166">
        <f>AN63+1</f>
        <v>2027</v>
      </c>
      <c r="AU63" s="167"/>
      <c r="AV63" s="166">
        <f>+AT63+1</f>
        <v>2028</v>
      </c>
      <c r="AW63" s="167"/>
      <c r="AX63" s="166">
        <f>+AV63+1</f>
        <v>2029</v>
      </c>
    </row>
    <row r="64" spans="1:50" s="41" customFormat="1" ht="14.25" customHeight="1">
      <c r="B64" s="164"/>
      <c r="C64" s="18"/>
      <c r="D64" s="168" t="s">
        <v>202</v>
      </c>
      <c r="E64" s="168" t="s">
        <v>203</v>
      </c>
      <c r="F64" s="168" t="s">
        <v>204</v>
      </c>
      <c r="G64" s="168" t="s">
        <v>205</v>
      </c>
      <c r="H64" s="168" t="s">
        <v>206</v>
      </c>
      <c r="I64" s="18"/>
      <c r="J64" s="168" t="s">
        <v>202</v>
      </c>
      <c r="K64" s="168" t="s">
        <v>203</v>
      </c>
      <c r="L64" s="168" t="s">
        <v>204</v>
      </c>
      <c r="M64" s="168" t="s">
        <v>205</v>
      </c>
      <c r="N64" s="168" t="s">
        <v>206</v>
      </c>
      <c r="O64" s="165"/>
      <c r="P64" s="168" t="s">
        <v>202</v>
      </c>
      <c r="Q64" s="168" t="s">
        <v>203</v>
      </c>
      <c r="R64" s="168" t="s">
        <v>204</v>
      </c>
      <c r="S64" s="168" t="s">
        <v>205</v>
      </c>
      <c r="T64" s="168" t="s">
        <v>206</v>
      </c>
      <c r="U64" s="165"/>
      <c r="V64" s="168" t="s">
        <v>202</v>
      </c>
      <c r="W64" s="168" t="s">
        <v>203</v>
      </c>
      <c r="X64" s="168" t="s">
        <v>204</v>
      </c>
      <c r="Y64" s="168" t="s">
        <v>205</v>
      </c>
      <c r="Z64" s="168" t="s">
        <v>206</v>
      </c>
      <c r="AA64" s="165"/>
      <c r="AB64" s="168" t="s">
        <v>202</v>
      </c>
      <c r="AC64" s="168" t="s">
        <v>203</v>
      </c>
      <c r="AD64" s="168" t="s">
        <v>204</v>
      </c>
      <c r="AE64" s="168" t="s">
        <v>205</v>
      </c>
      <c r="AF64" s="168" t="s">
        <v>206</v>
      </c>
      <c r="AG64" s="165"/>
      <c r="AH64" s="168" t="s">
        <v>202</v>
      </c>
      <c r="AI64" s="168" t="s">
        <v>203</v>
      </c>
      <c r="AJ64" s="168" t="s">
        <v>204</v>
      </c>
      <c r="AK64" s="168" t="s">
        <v>205</v>
      </c>
      <c r="AL64" s="168" t="s">
        <v>206</v>
      </c>
      <c r="AM64" s="165"/>
      <c r="AN64" s="168" t="s">
        <v>202</v>
      </c>
      <c r="AO64" s="168" t="s">
        <v>203</v>
      </c>
      <c r="AP64" s="168" t="s">
        <v>204</v>
      </c>
      <c r="AQ64" s="168" t="s">
        <v>205</v>
      </c>
      <c r="AR64" s="168" t="s">
        <v>206</v>
      </c>
      <c r="AS64" s="165"/>
      <c r="AT64" s="168" t="s">
        <v>206</v>
      </c>
      <c r="AU64" s="165"/>
      <c r="AV64" s="168" t="s">
        <v>206</v>
      </c>
      <c r="AW64" s="165"/>
      <c r="AX64" s="168" t="s">
        <v>206</v>
      </c>
    </row>
    <row r="67" spans="1:50" ht="14.25" customHeight="1">
      <c r="A67" s="44" t="s">
        <v>33</v>
      </c>
      <c r="B67" s="65" t="s">
        <v>542</v>
      </c>
      <c r="D67" s="46"/>
      <c r="E67" s="46"/>
      <c r="F67" s="46"/>
      <c r="G67" s="46"/>
      <c r="H67" s="47"/>
      <c r="I67" s="48"/>
      <c r="J67" s="46"/>
      <c r="K67" s="46"/>
      <c r="L67" s="46"/>
      <c r="M67" s="46"/>
      <c r="N67" s="47"/>
      <c r="O67" s="47"/>
      <c r="P67" s="46"/>
      <c r="Q67" s="46"/>
      <c r="R67" s="46"/>
      <c r="S67" s="46"/>
      <c r="T67" s="47"/>
      <c r="U67" s="47"/>
      <c r="V67" s="46"/>
      <c r="W67" s="46"/>
      <c r="X67" s="46"/>
      <c r="Y67" s="46"/>
      <c r="Z67" s="47"/>
      <c r="AA67" s="47"/>
      <c r="AB67" s="46"/>
      <c r="AC67" s="46"/>
      <c r="AD67" s="46"/>
      <c r="AE67" s="46"/>
      <c r="AF67" s="47"/>
      <c r="AG67" s="49"/>
      <c r="AH67" s="46"/>
      <c r="AI67" s="46"/>
      <c r="AJ67" s="50"/>
      <c r="AK67" s="50"/>
      <c r="AL67" s="47"/>
      <c r="AM67" s="51"/>
      <c r="AN67" s="50"/>
      <c r="AO67" s="50"/>
      <c r="AP67" s="50"/>
      <c r="AQ67" s="50"/>
      <c r="AR67" s="47"/>
      <c r="AS67" s="51"/>
      <c r="AT67" s="52"/>
      <c r="AU67" s="53"/>
      <c r="AV67" s="52"/>
      <c r="AW67" s="53"/>
      <c r="AX67" s="52"/>
    </row>
    <row r="68" spans="1:50" ht="14.25" customHeight="1">
      <c r="A68" s="55"/>
      <c r="B68" s="76" t="s">
        <v>211</v>
      </c>
      <c r="D68" s="217" t="str">
        <f>IF(ROUND(SUM(IS!D13:D17),0)=IS!D18,"OK","ERROR")</f>
        <v>ERROR</v>
      </c>
      <c r="E68" s="217" t="str">
        <f>IF(ROUND(SUM(IS!E13:E17),0)=IS!E18,"OK","ERROR")</f>
        <v>ERROR</v>
      </c>
      <c r="F68" s="217" t="str">
        <f>IF(ROUND(SUM(IS!F13:F17),0)=IS!F18,"OK","ERROR")</f>
        <v>ERROR</v>
      </c>
      <c r="G68" s="217" t="str">
        <f>IF(ROUND(SUM(IS!G13:G17),0)=IS!G18,"OK","ERROR")</f>
        <v>ERROR</v>
      </c>
      <c r="H68" s="218" t="str">
        <f>IF(ROUND(SUM(IS!H13:H17),0)=IS!H18,"OK","ERROR")</f>
        <v>ERROR</v>
      </c>
      <c r="I68" s="210"/>
      <c r="J68" s="217" t="str">
        <f>IF(ROUND(SUM(IS!J13:J17),0)=IS!J18,"OK","ERROR")</f>
        <v>ERROR</v>
      </c>
      <c r="K68" s="217" t="str">
        <f>IF(ROUND(SUM(IS!K13:K17),0)=IS!K18,"OK","ERROR")</f>
        <v>ERROR</v>
      </c>
      <c r="L68" s="217" t="str">
        <f>IF(ROUND(SUM(IS!L13:L17),0)=IS!L18,"OK","ERROR")</f>
        <v>ERROR</v>
      </c>
      <c r="M68" s="217" t="str">
        <f>IF(ROUND(SUM(IS!M13:M17),0)=IS!M18,"OK","ERROR")</f>
        <v>ERROR</v>
      </c>
      <c r="N68" s="218" t="str">
        <f>IF(ROUND(SUM(IS!N13:N17),0)=IS!N18,"OK","ERROR")</f>
        <v>ERROR</v>
      </c>
      <c r="O68" s="209"/>
      <c r="P68" s="217" t="str">
        <f>IF(ROUND(SUM(IS!P13:P17),0)=IS!P18,"OK","ERROR")</f>
        <v>ERROR</v>
      </c>
      <c r="Q68" s="217" t="str">
        <f>IF(ROUND(SUM(IS!Q13:Q17),0)=IS!Q18,"OK","ERROR")</f>
        <v>ERROR</v>
      </c>
      <c r="R68" s="217" t="str">
        <f>IF(ROUND(SUM(IS!R13:R17),0)=IS!R18,"OK","ERROR")</f>
        <v>ERROR</v>
      </c>
      <c r="S68" s="217" t="str">
        <f>IF(ROUND(SUM(IS!S13:S17),0)=IS!S18,"OK","ERROR")</f>
        <v>ERROR</v>
      </c>
      <c r="T68" s="218" t="str">
        <f>IF(ROUND(SUM(IS!T13:T17),0)=IS!T18,"OK","ERROR")</f>
        <v>ERROR</v>
      </c>
      <c r="U68" s="209"/>
      <c r="V68" s="217" t="str">
        <f>IF(ROUND(SUM(IS!V13:V17),0)=IS!V18,"OK","ERROR")</f>
        <v>ERROR</v>
      </c>
      <c r="W68" s="217" t="str">
        <f>IF(ROUND(SUM(IS!W13:W17),0)=IS!W18,"OK","ERROR")</f>
        <v>ERROR</v>
      </c>
      <c r="X68" s="217" t="str">
        <f>IF(ROUND(SUM(IS!X13:X17),0)=IS!X18,"OK","ERROR")</f>
        <v>ERROR</v>
      </c>
      <c r="Y68" s="217" t="str">
        <f>IF(ROUND(SUM(IS!Y13:Y17),0)=IS!Y18,"OK","ERROR")</f>
        <v>ERROR</v>
      </c>
      <c r="Z68" s="218" t="str">
        <f>IF(ROUND(SUM(IS!Z13:Z17),0)=IS!Z18,"OK","ERROR")</f>
        <v>ERROR</v>
      </c>
      <c r="AA68" s="209"/>
      <c r="AB68" s="217" t="str">
        <f>IF(ROUND(SUM(IS!AB13:AB17),0)=IS!AB18,"OK","ERROR")</f>
        <v>ERROR</v>
      </c>
      <c r="AC68" s="217" t="str">
        <f>IF(ROUND(SUM(IS!AC13:AC17),0)=IS!AC18,"OK","ERROR")</f>
        <v>ERROR</v>
      </c>
      <c r="AD68" s="217" t="str">
        <f>IF(ROUND(SUM(IS!AD13:AD17),0)=IS!AD18,"OK","ERROR")</f>
        <v>ERROR</v>
      </c>
      <c r="AE68" s="217" t="str">
        <f>IF(ROUND(SUM(IS!AE13:AE17),0)=IS!AE18,"OK","ERROR")</f>
        <v>ERROR</v>
      </c>
      <c r="AF68" s="218" t="str">
        <f>IF(ROUND(SUM(IS!AF13:AF17),0)=IS!AF18,"OK","ERROR")</f>
        <v>ERROR</v>
      </c>
      <c r="AG68" s="211"/>
      <c r="AH68" s="217" t="str">
        <f>IF(ROUND(SUM(IS!AH13:AH17),0)=IS!AH18,"OK","ERROR")</f>
        <v>ERROR</v>
      </c>
      <c r="AI68" s="217" t="str">
        <f>IF(ROUND(SUM(IS!AI13:AI17),0)=IS!AI18,"OK","ERROR")</f>
        <v>ERROR</v>
      </c>
      <c r="AJ68" s="217" t="str">
        <f>IF(ROUND(SUM(IS!AJ13:AJ17),0)=IS!AJ18,"OK","ERROR")</f>
        <v>ERROR</v>
      </c>
      <c r="AK68" s="217" t="str">
        <f>IF(ROUND(SUM(IS!AK13:AK17),0)=IS!AK18,"OK","ERROR")</f>
        <v>ERROR</v>
      </c>
      <c r="AL68" s="218" t="str">
        <f>IF(ROUND(SUM(IS!AL13:AL17),0)=IS!AL18,"OK","ERROR")</f>
        <v>ERROR</v>
      </c>
      <c r="AM68" s="213"/>
      <c r="AN68" s="217" t="str">
        <f>IF(ROUND(SUM(IS!AN13:AN17),0)=IS!AN18,"OK","ERROR")</f>
        <v>ERROR</v>
      </c>
      <c r="AO68" s="217" t="str">
        <f>IF(ROUND(SUM(IS!AO13:AO17),0)=IS!AO18,"OK","ERROR")</f>
        <v>ERROR</v>
      </c>
      <c r="AP68" s="217" t="str">
        <f>IF(ROUND(SUM(IS!AP13:AP17),0)=IS!AP18,"OK","ERROR")</f>
        <v>ERROR</v>
      </c>
      <c r="AQ68" s="217" t="str">
        <f>IF(ROUND(SUM(IS!AQ13:AQ17),0)=IS!AQ18,"OK","ERROR")</f>
        <v>ERROR</v>
      </c>
      <c r="AR68" s="218" t="str">
        <f>IF(ROUND(SUM(IS!AR13:AR17),0)=IS!AR18,"OK","ERROR")</f>
        <v>ERROR</v>
      </c>
      <c r="AS68" s="213"/>
      <c r="AT68" s="218" t="str">
        <f>IF(ROUND(SUM(IS!AT13:AT17),0)=IS!AT18,"OK","ERROR")</f>
        <v>ERROR</v>
      </c>
      <c r="AU68" s="215"/>
      <c r="AV68" s="218" t="str">
        <f>IF(ROUND(SUM(IS!AV13:AV17),0)=IS!AV18,"OK","ERROR")</f>
        <v>ERROR</v>
      </c>
      <c r="AW68" s="215"/>
      <c r="AX68" s="218" t="str">
        <f>IF(ROUND(SUM(IS!AX13:AX17),0)=IS!AX18,"OK","ERROR")</f>
        <v>ERROR</v>
      </c>
    </row>
    <row r="69" spans="1:50" ht="14.25" customHeight="1">
      <c r="A69" s="55"/>
      <c r="B69" s="64"/>
      <c r="D69" s="208"/>
      <c r="E69" s="208"/>
      <c r="F69" s="208"/>
      <c r="G69" s="208"/>
      <c r="H69" s="209"/>
      <c r="I69" s="210"/>
      <c r="J69" s="208"/>
      <c r="K69" s="208"/>
      <c r="L69" s="208"/>
      <c r="M69" s="208"/>
      <c r="N69" s="209"/>
      <c r="O69" s="209"/>
      <c r="P69" s="208"/>
      <c r="Q69" s="208"/>
      <c r="R69" s="208"/>
      <c r="S69" s="208"/>
      <c r="T69" s="209"/>
      <c r="U69" s="209"/>
      <c r="V69" s="208"/>
      <c r="W69" s="208"/>
      <c r="X69" s="208"/>
      <c r="Y69" s="208"/>
      <c r="Z69" s="209"/>
      <c r="AA69" s="209"/>
      <c r="AB69" s="208"/>
      <c r="AC69" s="208"/>
      <c r="AD69" s="208"/>
      <c r="AE69" s="208"/>
      <c r="AF69" s="209"/>
      <c r="AG69" s="211"/>
      <c r="AH69" s="208"/>
      <c r="AI69" s="208"/>
      <c r="AJ69" s="208"/>
      <c r="AK69" s="208"/>
      <c r="AL69" s="209"/>
      <c r="AM69" s="213"/>
      <c r="AN69" s="208"/>
      <c r="AO69" s="208"/>
      <c r="AP69" s="208"/>
      <c r="AQ69" s="208"/>
      <c r="AR69" s="209"/>
      <c r="AS69" s="213"/>
      <c r="AT69" s="209"/>
      <c r="AU69" s="215"/>
      <c r="AV69" s="209"/>
      <c r="AW69" s="215"/>
      <c r="AX69" s="209"/>
    </row>
    <row r="70" spans="1:50" ht="14.25" customHeight="1">
      <c r="A70" s="44" t="s">
        <v>33</v>
      </c>
      <c r="B70" s="65" t="s">
        <v>548</v>
      </c>
      <c r="D70" s="208"/>
      <c r="E70" s="208"/>
      <c r="F70" s="208"/>
      <c r="G70" s="208"/>
      <c r="H70" s="220"/>
      <c r="I70" s="210"/>
      <c r="J70" s="208"/>
      <c r="K70" s="208"/>
      <c r="L70" s="208"/>
      <c r="M70" s="208"/>
      <c r="N70" s="220"/>
      <c r="O70" s="210"/>
      <c r="P70" s="208"/>
      <c r="Q70" s="208"/>
      <c r="R70" s="208"/>
      <c r="S70" s="208"/>
      <c r="T70" s="220"/>
      <c r="U70" s="210"/>
      <c r="V70" s="208"/>
      <c r="W70" s="208"/>
      <c r="X70" s="208"/>
      <c r="Y70" s="208"/>
      <c r="Z70" s="220"/>
      <c r="AA70" s="213"/>
      <c r="AB70" s="208"/>
      <c r="AC70" s="208"/>
      <c r="AD70" s="208"/>
      <c r="AE70" s="208"/>
      <c r="AF70" s="220"/>
      <c r="AG70" s="211"/>
      <c r="AH70" s="208"/>
      <c r="AI70" s="208"/>
      <c r="AJ70" s="208"/>
      <c r="AK70" s="208"/>
      <c r="AL70" s="220"/>
      <c r="AM70" s="221"/>
      <c r="AN70" s="208"/>
      <c r="AO70" s="208"/>
      <c r="AP70" s="208"/>
      <c r="AQ70" s="208"/>
      <c r="AR70" s="220"/>
      <c r="AS70" s="221"/>
      <c r="AT70" s="220"/>
      <c r="AU70" s="223"/>
      <c r="AV70" s="220"/>
      <c r="AW70" s="223"/>
      <c r="AX70" s="220"/>
    </row>
    <row r="71" spans="1:50" ht="14.25" customHeight="1">
      <c r="A71" s="73"/>
      <c r="B71" s="79" t="s">
        <v>231</v>
      </c>
      <c r="D71" s="208" t="str">
        <f>IF(ROUND(IS!D18,0)-ROUND(SUM(IS!D21:D22),0)=ROUND(IS!D24,0),"OK","ERROR")</f>
        <v>ERROR</v>
      </c>
      <c r="E71" s="208" t="str">
        <f>IF(ROUND(IS!E18,0)-ROUND(SUM(IS!E21:E22),0)=ROUND(IS!E24,0),"OK","ERROR")</f>
        <v>ERROR</v>
      </c>
      <c r="F71" s="208" t="str">
        <f>IF(ROUND(IS!F18,0)-ROUND(SUM(IS!F21:F22),0)=ROUND(IS!F24,0),"OK","ERROR")</f>
        <v>ERROR</v>
      </c>
      <c r="G71" s="208" t="str">
        <f>IF(ROUND(IS!G18,0)-ROUND(SUM(IS!G21:G22),0)=ROUND(IS!G24,0),"OK","ERROR")</f>
        <v>ERROR</v>
      </c>
      <c r="H71" s="227" t="str">
        <f>IF(ROUND(IS!H18,0)-ROUND(SUM(IS!H21:H22),0)=ROUND(IS!H24,0),"OK","ERROR")</f>
        <v>ERROR</v>
      </c>
      <c r="I71" s="210"/>
      <c r="J71" s="208" t="str">
        <f>IF(ROUND(IS!J18,0)-ROUND(SUM(IS!J21:J22),0)=ROUND(IS!J24,0),"OK","ERROR")</f>
        <v>ERROR</v>
      </c>
      <c r="K71" s="208" t="str">
        <f>IF(ROUND(IS!K18,0)-ROUND(SUM(IS!K21:K22),0)=ROUND(IS!K24,0),"OK","ERROR")</f>
        <v>ERROR</v>
      </c>
      <c r="L71" s="208" t="str">
        <f>IF(ROUND(IS!L18,0)-ROUND(SUM(IS!L21:L22),0)=ROUND(IS!L24,0),"OK","ERROR")</f>
        <v>ERROR</v>
      </c>
      <c r="M71" s="208" t="str">
        <f>IF(ROUND(IS!M18,0)-ROUND(SUM(IS!M21:M22),0)=ROUND(IS!M24,0),"OK","ERROR")</f>
        <v>ERROR</v>
      </c>
      <c r="N71" s="227" t="str">
        <f>IF(ROUND(IS!N18,0)-ROUND(SUM(IS!N21:N22),0)=ROUND(IS!N24,0),"OK","ERROR")</f>
        <v>ERROR</v>
      </c>
      <c r="O71" s="210"/>
      <c r="P71" s="208" t="str">
        <f>IF(ROUND(IS!P18,0)-ROUND(SUM(IS!P21:P22),0)=ROUND(IS!P24,0),"OK","ERROR")</f>
        <v>ERROR</v>
      </c>
      <c r="Q71" s="208" t="str">
        <f>IF(ROUND(IS!Q18,0)-ROUND(SUM(IS!Q21:Q22),0)=ROUND(IS!Q24,0),"OK","ERROR")</f>
        <v>ERROR</v>
      </c>
      <c r="R71" s="208" t="str">
        <f>IF(ROUND(IS!R18,0)-ROUND(SUM(IS!R21:R22),0)=ROUND(IS!R24,0),"OK","ERROR")</f>
        <v>ERROR</v>
      </c>
      <c r="S71" s="208" t="str">
        <f>IF(ROUND(IS!S18,0)-ROUND(SUM(IS!S21:S22),0)=ROUND(IS!S24,0),"OK","ERROR")</f>
        <v>ERROR</v>
      </c>
      <c r="T71" s="227" t="str">
        <f>IF(ROUND(IS!T18,0)-ROUND(SUM(IS!T21:T22),0)=ROUND(IS!T24,0),"OK","ERROR")</f>
        <v>ERROR</v>
      </c>
      <c r="U71" s="210"/>
      <c r="V71" s="208" t="str">
        <f>IF(ROUND(IS!V18,0)-ROUND(SUM(IS!V21:V22),0)=ROUND(IS!V24,0),"OK","ERROR")</f>
        <v>ERROR</v>
      </c>
      <c r="W71" s="208" t="str">
        <f>IF(ROUND(IS!W18,0)-ROUND(SUM(IS!W21:W22),0)=ROUND(IS!W24,0),"OK","ERROR")</f>
        <v>ERROR</v>
      </c>
      <c r="X71" s="208" t="str">
        <f>IF(ROUND(IS!X18,0)-ROUND(SUM(IS!X21:X22),0)=ROUND(IS!X24,0),"OK","ERROR")</f>
        <v>OK</v>
      </c>
      <c r="Y71" s="208" t="str">
        <f>IF(ROUND(IS!Y18,0)-ROUND(SUM(IS!Y21:Y22),0)=ROUND(IS!Y24,0),"OK","ERROR")</f>
        <v>OK</v>
      </c>
      <c r="Z71" s="227" t="str">
        <f>IF(ROUND(IS!Z18,0)-ROUND(SUM(IS!Z21:Z22),0)=ROUND(IS!Z24,0),"OK","ERROR")</f>
        <v>ERROR</v>
      </c>
      <c r="AA71" s="213"/>
      <c r="AB71" s="208" t="str">
        <f>IF(ROUND(IS!AB18,0)-ROUND(SUM(IS!AB21:AB22),0)=ROUND(IS!AB24,0),"OK","ERROR")</f>
        <v>OK</v>
      </c>
      <c r="AC71" s="208" t="str">
        <f>IF(ROUND(IS!AC18,0)-ROUND(SUM(IS!AC21:AC22),0)=ROUND(IS!AC24,0),"OK","ERROR")</f>
        <v>OK</v>
      </c>
      <c r="AD71" s="208" t="str">
        <f>IF(ROUND(IS!AD18,0)-ROUND(SUM(IS!AD21:AD22),0)=ROUND(IS!AD24,0),"OK","ERROR")</f>
        <v>OK</v>
      </c>
      <c r="AE71" s="208" t="str">
        <f>IF(ROUND(IS!AE18,0)-ROUND(SUM(IS!AE21:AE22),0)=ROUND(IS!AE24,0),"OK","ERROR")</f>
        <v>OK</v>
      </c>
      <c r="AF71" s="227" t="str">
        <f>IF(ROUND(IS!AF18,0)-ROUND(SUM(IS!AF21:AF22),0)=ROUND(IS!AF24,0),"OK","ERROR")</f>
        <v>OK</v>
      </c>
      <c r="AG71" s="211"/>
      <c r="AH71" s="208" t="str">
        <f>IF(ROUND(IS!AH18,0)-ROUND(SUM(IS!AH21:AH22),0)=ROUND(IS!AH24,0),"OK","ERROR")</f>
        <v>OK</v>
      </c>
      <c r="AI71" s="208" t="str">
        <f>IF(ROUND(IS!AI18,0)-ROUND(SUM(IS!AI21:AI22),0)=ROUND(IS!AI24,0),"OK","ERROR")</f>
        <v>OK</v>
      </c>
      <c r="AJ71" s="208" t="str">
        <f>IF(ROUND(IS!AJ18,0)-ROUND(SUM(IS!AJ21:AJ22),0)=ROUND(IS!AJ24,0),"OK","ERROR")</f>
        <v>OK</v>
      </c>
      <c r="AK71" s="208" t="str">
        <f>IF(ROUND(IS!AK18,0)-ROUND(SUM(IS!AK21:AK22),0)=ROUND(IS!AK24,0),"OK","ERROR")</f>
        <v>OK</v>
      </c>
      <c r="AL71" s="227" t="str">
        <f>IF(ROUND(IS!AL18,0)-ROUND(SUM(IS!AL21:AL22),0)=ROUND(IS!AL24,0),"OK","ERROR")</f>
        <v>OK</v>
      </c>
      <c r="AM71" s="224"/>
      <c r="AN71" s="208" t="str">
        <f>IF(ROUND(IS!AN18,0)-ROUND(SUM(IS!AN21:AN22),0)=ROUND(IS!AN24,0),"OK","ERROR")</f>
        <v>OK</v>
      </c>
      <c r="AO71" s="208" t="str">
        <f>IF(ROUND(IS!AO18,0)-ROUND(SUM(IS!AO21:AO22),0)=ROUND(IS!AO24,0),"OK","ERROR")</f>
        <v>OK</v>
      </c>
      <c r="AP71" s="208" t="str">
        <f>IF(ROUND(IS!AP18,0)-ROUND(SUM(IS!AP21:AP22),0)=ROUND(IS!AP24,0),"OK","ERROR")</f>
        <v>OK</v>
      </c>
      <c r="AQ71" s="208" t="str">
        <f>IF(ROUND(IS!AQ18,0)-ROUND(SUM(IS!AQ21:AQ22),0)=ROUND(IS!AQ24,0),"OK","ERROR")</f>
        <v>OK</v>
      </c>
      <c r="AR71" s="227" t="str">
        <f>IF(ROUND(IS!AR18,0)-ROUND(SUM(IS!AR21:AR22),0)=ROUND(IS!AR24,0),"OK","ERROR")</f>
        <v>OK</v>
      </c>
      <c r="AS71" s="224"/>
      <c r="AT71" s="227" t="str">
        <f>IF(ROUND(IS!AT18,0)-ROUND(SUM(IS!AT21:AT22),0)=ROUND(IS!AT24,0),"OK","ERROR")</f>
        <v>OK</v>
      </c>
      <c r="AU71" s="225"/>
      <c r="AV71" s="227" t="str">
        <f>IF(ROUND(IS!AV18,0)-ROUND(SUM(IS!AV21:AV22),0)=ROUND(IS!AV24,0),"OK","ERROR")</f>
        <v>OK</v>
      </c>
      <c r="AW71" s="225"/>
      <c r="AX71" s="227" t="str">
        <f>IF(ROUND(IS!AX18,0)-ROUND(SUM(IS!AX21:AX22),0)=ROUND(IS!AX24,0),"OK","ERROR")</f>
        <v>OK</v>
      </c>
    </row>
    <row r="72" spans="1:50" ht="14.25" customHeight="1">
      <c r="A72" s="55"/>
      <c r="B72" s="80"/>
      <c r="D72" s="208"/>
      <c r="E72" s="208"/>
      <c r="F72" s="208"/>
      <c r="G72" s="208"/>
      <c r="H72" s="220"/>
      <c r="I72" s="210"/>
      <c r="J72" s="208"/>
      <c r="K72" s="208"/>
      <c r="L72" s="208"/>
      <c r="M72" s="208"/>
      <c r="N72" s="220"/>
      <c r="O72" s="210"/>
      <c r="P72" s="208"/>
      <c r="Q72" s="208"/>
      <c r="R72" s="208"/>
      <c r="S72" s="208"/>
      <c r="T72" s="220"/>
      <c r="U72" s="210"/>
      <c r="V72" s="208"/>
      <c r="W72" s="208"/>
      <c r="X72" s="208"/>
      <c r="Y72" s="208"/>
      <c r="Z72" s="220"/>
      <c r="AA72" s="213"/>
      <c r="AB72" s="208"/>
      <c r="AC72" s="208"/>
      <c r="AD72" s="208"/>
      <c r="AE72" s="208"/>
      <c r="AF72" s="220"/>
      <c r="AG72" s="211"/>
      <c r="AH72" s="208"/>
      <c r="AI72" s="208"/>
      <c r="AJ72" s="208"/>
      <c r="AK72" s="208"/>
      <c r="AL72" s="220"/>
      <c r="AM72" s="224"/>
      <c r="AN72" s="208"/>
      <c r="AO72" s="208"/>
      <c r="AP72" s="208"/>
      <c r="AQ72" s="208"/>
      <c r="AR72" s="220"/>
      <c r="AS72" s="224"/>
      <c r="AT72" s="220"/>
      <c r="AU72" s="225"/>
      <c r="AV72" s="220"/>
      <c r="AW72" s="225"/>
      <c r="AX72" s="220"/>
    </row>
    <row r="73" spans="1:50" ht="14.25" customHeight="1">
      <c r="A73" s="44" t="s">
        <v>33</v>
      </c>
      <c r="B73" s="65" t="s">
        <v>552</v>
      </c>
      <c r="D73" s="208"/>
      <c r="E73" s="208"/>
      <c r="F73" s="208"/>
      <c r="G73" s="208"/>
      <c r="H73" s="220"/>
      <c r="I73" s="210"/>
      <c r="J73" s="208"/>
      <c r="K73" s="208"/>
      <c r="L73" s="208"/>
      <c r="M73" s="208"/>
      <c r="N73" s="220"/>
      <c r="O73" s="210"/>
      <c r="P73" s="208"/>
      <c r="Q73" s="208"/>
      <c r="R73" s="208"/>
      <c r="S73" s="208"/>
      <c r="T73" s="220"/>
      <c r="U73" s="210"/>
      <c r="V73" s="208"/>
      <c r="W73" s="208"/>
      <c r="X73" s="208"/>
      <c r="Y73" s="208"/>
      <c r="Z73" s="220"/>
      <c r="AA73" s="228"/>
      <c r="AB73" s="208"/>
      <c r="AC73" s="208"/>
      <c r="AD73" s="208"/>
      <c r="AE73" s="208"/>
      <c r="AF73" s="220"/>
      <c r="AG73" s="229"/>
      <c r="AH73" s="208"/>
      <c r="AI73" s="208"/>
      <c r="AJ73" s="208"/>
      <c r="AK73" s="208"/>
      <c r="AL73" s="220"/>
      <c r="AM73" s="228"/>
      <c r="AN73" s="208"/>
      <c r="AO73" s="208"/>
      <c r="AP73" s="208"/>
      <c r="AQ73" s="208"/>
      <c r="AR73" s="220"/>
      <c r="AS73" s="228"/>
      <c r="AT73" s="220"/>
      <c r="AU73" s="230"/>
      <c r="AV73" s="220"/>
      <c r="AW73" s="230"/>
      <c r="AX73" s="220"/>
    </row>
    <row r="74" spans="1:50" ht="14.25" customHeight="1">
      <c r="A74" s="55"/>
      <c r="B74" s="79" t="s">
        <v>559</v>
      </c>
      <c r="D74" s="208" t="str">
        <f>IF(ROUND(IS!D24,0)-ROUND(SUM(IS!D31:D32),0)=ROUND(IS!D33,0),"OK","ERROR")</f>
        <v>OK</v>
      </c>
      <c r="E74" s="208" t="str">
        <f>IF(ROUND(IS!E24,0)-ROUND(SUM(IS!E31:E32),0)=ROUND(IS!E33,0),"OK","ERROR")</f>
        <v>OK</v>
      </c>
      <c r="F74" s="208" t="str">
        <f>IF(ROUND(IS!F24,0)-ROUND(SUM(IS!F31:F32),0)=ROUND(IS!F33,0),"OK","ERROR")</f>
        <v>OK</v>
      </c>
      <c r="G74" s="208" t="str">
        <f>IF(ROUND(IS!G24,0)-ROUND(SUM(IS!G31:G32),0)=ROUND(IS!G33,0),"OK","ERROR")</f>
        <v>OK</v>
      </c>
      <c r="H74" s="226" t="str">
        <f>IF(ROUND(IS!H24,0)-ROUND(SUM(IS!H31:H32),0)=ROUND(IS!H33,0),"OK","ERROR")</f>
        <v>OK</v>
      </c>
      <c r="I74" s="210"/>
      <c r="J74" s="208" t="str">
        <f>IF(ROUND(IS!J24,0)-ROUND(SUM(IS!J31:J32),0)=ROUND(IS!J33,0),"OK","ERROR")</f>
        <v>OK</v>
      </c>
      <c r="K74" s="208" t="str">
        <f>IF(ROUND(IS!K24,0)-ROUND(SUM(IS!K31:K32),0)=ROUND(IS!K33,0),"OK","ERROR")</f>
        <v>OK</v>
      </c>
      <c r="L74" s="208" t="str">
        <f>IF(ROUND(IS!L24,0)-ROUND(SUM(IS!L31:L32),0)=ROUND(IS!L33,0),"OK","ERROR")</f>
        <v>OK</v>
      </c>
      <c r="M74" s="208" t="str">
        <f>IF(ROUND(IS!M24,0)-ROUND(SUM(IS!M31:M32),0)=ROUND(IS!M33,0),"OK","ERROR")</f>
        <v>OK</v>
      </c>
      <c r="N74" s="226" t="str">
        <f>IF(ROUND(IS!N24,0)-ROUND(SUM(IS!N31:N32),0)=ROUND(IS!N33,0),"OK","ERROR")</f>
        <v>OK</v>
      </c>
      <c r="O74" s="210"/>
      <c r="P74" s="208" t="str">
        <f>IF(ROUND(IS!P24,0)-ROUND(SUM(IS!P31:P32),0)=ROUND(IS!P33,0),"OK","ERROR")</f>
        <v>OK</v>
      </c>
      <c r="Q74" s="208" t="str">
        <f>IF(ROUND(IS!Q24,0)-ROUND(SUM(IS!Q31:Q32),0)=ROUND(IS!Q33,0),"OK","ERROR")</f>
        <v>OK</v>
      </c>
      <c r="R74" s="208" t="str">
        <f>IF(ROUND(IS!R24,0)-ROUND(SUM(IS!R31:R32),0)=ROUND(IS!R33,0),"OK","ERROR")</f>
        <v>OK</v>
      </c>
      <c r="S74" s="208" t="str">
        <f>IF(ROUND(IS!S24,0)-ROUND(SUM(IS!S31:S32),0)=ROUND(IS!S33,0),"OK","ERROR")</f>
        <v>OK</v>
      </c>
      <c r="T74" s="226" t="str">
        <f>IF(ROUND(IS!T24,0)-ROUND(SUM(IS!T31:T32),0)=ROUND(IS!T33,0),"OK","ERROR")</f>
        <v>OK</v>
      </c>
      <c r="U74" s="210"/>
      <c r="V74" s="208" t="str">
        <f>IF(ROUND(IS!V24,0)-ROUND(SUM(IS!V31:V32),0)=ROUND(IS!V33,0),"OK","ERROR")</f>
        <v>OK</v>
      </c>
      <c r="W74" s="208" t="str">
        <f>IF(ROUND(IS!W24,0)-ROUND(SUM(IS!W31:W32),0)=ROUND(IS!W33,0),"OK","ERROR")</f>
        <v>OK</v>
      </c>
      <c r="X74" s="208" t="str">
        <f>IF(ROUND(IS!X24,0)-ROUND(SUM(IS!X31:X32),0)=ROUND(IS!X33,0),"OK","ERROR")</f>
        <v>OK</v>
      </c>
      <c r="Y74" s="208" t="str">
        <f>IF(ROUND(IS!Y24,0)-ROUND(SUM(IS!Y31:Y32),0)=ROUND(IS!Y33,0),"OK","ERROR")</f>
        <v>OK</v>
      </c>
      <c r="Z74" s="226" t="str">
        <f>IF(ROUND(IS!Z24,0)-ROUND(SUM(IS!Z31:Z32),0)=ROUND(IS!Z33,0),"OK","ERROR")</f>
        <v>OK</v>
      </c>
      <c r="AA74" s="213"/>
      <c r="AB74" s="208" t="str">
        <f>IF(ROUND(IS!AB24,0)-ROUND(SUM(IS!AB31:AB32),0)=ROUND(IS!AB33,0),"OK","ERROR")</f>
        <v>OK</v>
      </c>
      <c r="AC74" s="208" t="str">
        <f>IF(ROUND(IS!AC24,0)-ROUND(SUM(IS!AC31:AC32),0)=ROUND(IS!AC33,0),"OK","ERROR")</f>
        <v>OK</v>
      </c>
      <c r="AD74" s="208" t="str">
        <f>IF(ROUND(IS!AD24,0)-ROUND(SUM(IS!AD31:AD32),0)=ROUND(IS!AD33,0),"OK","ERROR")</f>
        <v>OK</v>
      </c>
      <c r="AE74" s="208" t="str">
        <f>IF(ROUND(IS!AE24,0)-ROUND(SUM(IS!AE31:AE32),0)=ROUND(IS!AE33,0),"OK","ERROR")</f>
        <v>OK</v>
      </c>
      <c r="AF74" s="226" t="str">
        <f>IF(ROUND(IS!AF24,0)-ROUND(SUM(IS!AF31:AF32),0)=ROUND(IS!AF33,0),"OK","ERROR")</f>
        <v>OK</v>
      </c>
      <c r="AG74" s="211"/>
      <c r="AH74" s="208" t="str">
        <f>IF(ROUND(IS!AH24,0)-ROUND(SUM(IS!AH31:AH32),0)=ROUND(IS!AH33,0),"OK","ERROR")</f>
        <v>OK</v>
      </c>
      <c r="AI74" s="208" t="str">
        <f>IF(ROUND(IS!AI24,0)-ROUND(SUM(IS!AI31:AI32),0)=ROUND(IS!AI33,0),"OK","ERROR")</f>
        <v>OK</v>
      </c>
      <c r="AJ74" s="208" t="str">
        <f>IF(ROUND(IS!AJ24,0)-ROUND(SUM(IS!AJ31:AJ32),0)=ROUND(IS!AJ33,0),"OK","ERROR")</f>
        <v>OK</v>
      </c>
      <c r="AK74" s="208" t="str">
        <f>IF(ROUND(IS!AK24,0)-ROUND(SUM(IS!AK31:AK32),0)=ROUND(IS!AK33,0),"OK","ERROR")</f>
        <v>OK</v>
      </c>
      <c r="AL74" s="226" t="str">
        <f>IF(ROUND(IS!AL24,0)-ROUND(SUM(IS!AL31:AL32),0)=ROUND(IS!AL33,0),"OK","ERROR")</f>
        <v>OK</v>
      </c>
      <c r="AM74" s="224"/>
      <c r="AN74" s="208" t="str">
        <f>IF(ROUND(IS!AN24,0)-ROUND(SUM(IS!AN31:AN32),0)=ROUND(IS!AN33,0),"OK","ERROR")</f>
        <v>OK</v>
      </c>
      <c r="AO74" s="208" t="str">
        <f>IF(ROUND(IS!AO24,0)-ROUND(SUM(IS!AO31:AO32),0)=ROUND(IS!AO33,0),"OK","ERROR")</f>
        <v>OK</v>
      </c>
      <c r="AP74" s="208" t="str">
        <f>IF(ROUND(IS!AP24,0)-ROUND(SUM(IS!AP31:AP32),0)=ROUND(IS!AP33,0),"OK","ERROR")</f>
        <v>OK</v>
      </c>
      <c r="AQ74" s="208" t="str">
        <f>IF(ROUND(IS!AQ24,0)-ROUND(SUM(IS!AQ31:AQ32),0)=ROUND(IS!AQ33,0),"OK","ERROR")</f>
        <v>OK</v>
      </c>
      <c r="AR74" s="226" t="str">
        <f>IF(ROUND(IS!AR24,0)-ROUND(SUM(IS!AR31:AR32),0)=ROUND(IS!AR33,0),"OK","ERROR")</f>
        <v>OK</v>
      </c>
      <c r="AS74" s="224"/>
      <c r="AT74" s="226" t="str">
        <f>IF(ROUND(IS!AT24,0)-ROUND(SUM(IS!AT31:AT32),0)=ROUND(IS!AT33,0),"OK","ERROR")</f>
        <v>OK</v>
      </c>
      <c r="AU74" s="225"/>
      <c r="AV74" s="226" t="str">
        <f>IF(ROUND(IS!AV24,0)-ROUND(SUM(IS!AV31:AV32),0)=ROUND(IS!AV33,0),"OK","ERROR")</f>
        <v>OK</v>
      </c>
      <c r="AW74" s="225"/>
      <c r="AX74" s="226" t="str">
        <f>IF(ROUND(IS!AX24,0)-ROUND(SUM(IS!AX31:AX32),0)=ROUND(IS!AX33,0),"OK","ERROR")</f>
        <v>OK</v>
      </c>
    </row>
    <row r="75" spans="1:50" ht="14.25" customHeight="1">
      <c r="A75" s="73"/>
      <c r="B75" s="73"/>
      <c r="D75" s="208"/>
      <c r="E75" s="208"/>
      <c r="F75" s="208"/>
      <c r="G75" s="208"/>
      <c r="H75" s="220"/>
      <c r="I75" s="210"/>
      <c r="J75" s="208"/>
      <c r="K75" s="208"/>
      <c r="L75" s="208"/>
      <c r="M75" s="208"/>
      <c r="N75" s="220"/>
      <c r="O75" s="210"/>
      <c r="P75" s="208"/>
      <c r="Q75" s="208"/>
      <c r="R75" s="208"/>
      <c r="S75" s="208"/>
      <c r="T75" s="220"/>
      <c r="U75" s="210"/>
      <c r="V75" s="208"/>
      <c r="W75" s="208"/>
      <c r="X75" s="208"/>
      <c r="Y75" s="208"/>
      <c r="Z75" s="220"/>
      <c r="AA75" s="228"/>
      <c r="AB75" s="208"/>
      <c r="AC75" s="208"/>
      <c r="AD75" s="208"/>
      <c r="AE75" s="208"/>
      <c r="AF75" s="220"/>
      <c r="AG75" s="229"/>
      <c r="AH75" s="208"/>
      <c r="AI75" s="208"/>
      <c r="AJ75" s="208"/>
      <c r="AK75" s="208"/>
      <c r="AL75" s="220"/>
      <c r="AM75" s="233"/>
      <c r="AN75" s="208"/>
      <c r="AO75" s="208"/>
      <c r="AP75" s="208"/>
      <c r="AQ75" s="208"/>
      <c r="AR75" s="220"/>
      <c r="AS75" s="233"/>
      <c r="AT75" s="220"/>
      <c r="AU75" s="234"/>
      <c r="AV75" s="220"/>
      <c r="AW75" s="234"/>
      <c r="AX75" s="220"/>
    </row>
    <row r="76" spans="1:50" ht="14.25" customHeight="1">
      <c r="A76" s="44" t="s">
        <v>33</v>
      </c>
      <c r="B76" s="65" t="s">
        <v>560</v>
      </c>
      <c r="D76" s="208"/>
      <c r="E76" s="208"/>
      <c r="F76" s="208"/>
      <c r="G76" s="208"/>
      <c r="H76" s="220"/>
      <c r="I76" s="210"/>
      <c r="J76" s="208"/>
      <c r="K76" s="208"/>
      <c r="L76" s="208"/>
      <c r="M76" s="208"/>
      <c r="N76" s="220"/>
      <c r="O76" s="210"/>
      <c r="P76" s="208"/>
      <c r="Q76" s="208"/>
      <c r="R76" s="208"/>
      <c r="S76" s="208"/>
      <c r="T76" s="220"/>
      <c r="U76" s="210"/>
      <c r="V76" s="208"/>
      <c r="W76" s="208"/>
      <c r="X76" s="208"/>
      <c r="Y76" s="208"/>
      <c r="Z76" s="220"/>
      <c r="AA76" s="213"/>
      <c r="AB76" s="208"/>
      <c r="AC76" s="208"/>
      <c r="AD76" s="208"/>
      <c r="AE76" s="208"/>
      <c r="AF76" s="220"/>
      <c r="AG76" s="211"/>
      <c r="AH76" s="208"/>
      <c r="AI76" s="208"/>
      <c r="AJ76" s="208"/>
      <c r="AK76" s="208"/>
      <c r="AL76" s="220"/>
      <c r="AM76" s="224"/>
      <c r="AN76" s="208"/>
      <c r="AO76" s="208"/>
      <c r="AP76" s="208"/>
      <c r="AQ76" s="208"/>
      <c r="AR76" s="220"/>
      <c r="AS76" s="224"/>
      <c r="AT76" s="220"/>
      <c r="AU76" s="225"/>
      <c r="AV76" s="220"/>
      <c r="AW76" s="225"/>
      <c r="AX76" s="220"/>
    </row>
    <row r="77" spans="1:50" ht="14.25" customHeight="1">
      <c r="A77" s="84"/>
      <c r="B77" s="90" t="s">
        <v>498</v>
      </c>
      <c r="D77" s="208" t="str">
        <f>IF(ROUND(IS!D33,0)-ROUND(IS!D41,0)=ROUND(IS!D42,0),"OK","ERROR")</f>
        <v>OK</v>
      </c>
      <c r="E77" s="208" t="str">
        <f>IF(ROUND(IS!E33,0)-ROUND(IS!E41,0)=ROUND(IS!E42,0),"OK","ERROR")</f>
        <v>OK</v>
      </c>
      <c r="F77" s="208" t="str">
        <f>IF(ROUND(IS!F33,0)-ROUND(IS!F41,0)=ROUND(IS!F42,0),"OK","ERROR")</f>
        <v>OK</v>
      </c>
      <c r="G77" s="208" t="str">
        <f>IF(ROUND(IS!G33,0)-ROUND(IS!G41,0)=ROUND(IS!G42,0),"OK","ERROR")</f>
        <v>OK</v>
      </c>
      <c r="H77" s="227" t="str">
        <f>IF(ROUND(IS!H33,0)-ROUND(IS!H41,0)=ROUND(IS!H42,0),"OK","ERROR")</f>
        <v>OK</v>
      </c>
      <c r="I77" s="210"/>
      <c r="J77" s="208" t="str">
        <f>IF(ROUND(IS!J33,0)-ROUND(IS!J41,0)=ROUND(IS!J42,0),"OK","ERROR")</f>
        <v>OK</v>
      </c>
      <c r="K77" s="208" t="str">
        <f>IF(ROUND(IS!K33,0)-ROUND(IS!K41,0)=ROUND(IS!K42,0),"OK","ERROR")</f>
        <v>OK</v>
      </c>
      <c r="L77" s="208" t="str">
        <f>IF(ROUND(IS!L33,0)-ROUND(IS!L41,0)=ROUND(IS!L42,0),"OK","ERROR")</f>
        <v>OK</v>
      </c>
      <c r="M77" s="208" t="str">
        <f>IF(ROUND(IS!M33,0)-ROUND(IS!M41,0)=ROUND(IS!M42,0),"OK","ERROR")</f>
        <v>OK</v>
      </c>
      <c r="N77" s="227" t="str">
        <f>IF(ROUND(IS!N33,0)-ROUND(IS!N41,0)=ROUND(IS!N42,0),"OK","ERROR")</f>
        <v>OK</v>
      </c>
      <c r="O77" s="210"/>
      <c r="P77" s="208" t="str">
        <f>IF(ROUND(IS!P33,0)-ROUND(IS!P41,0)=ROUND(IS!P42,0),"OK","ERROR")</f>
        <v>OK</v>
      </c>
      <c r="Q77" s="208" t="str">
        <f>IF(ROUND(IS!Q33,0)-ROUND(IS!Q41,0)=ROUND(IS!Q42,0),"OK","ERROR")</f>
        <v>OK</v>
      </c>
      <c r="R77" s="208" t="str">
        <f>IF(ROUND(IS!R33,0)-ROUND(IS!R41,0)=ROUND(IS!R42,0),"OK","ERROR")</f>
        <v>OK</v>
      </c>
      <c r="S77" s="208" t="str">
        <f>IF(ROUND(IS!S33,0)-ROUND(IS!S41,0)=ROUND(IS!S42,0),"OK","ERROR")</f>
        <v>OK</v>
      </c>
      <c r="T77" s="227" t="str">
        <f>IF(ROUND(IS!T33,0)-ROUND(IS!T41,0)=ROUND(IS!T42,0),"OK","ERROR")</f>
        <v>OK</v>
      </c>
      <c r="U77" s="210"/>
      <c r="V77" s="208" t="str">
        <f>IF(ROUND(IS!V33,0)-ROUND(IS!V41,0)=ROUND(IS!V42,0),"OK","ERROR")</f>
        <v>OK</v>
      </c>
      <c r="W77" s="208" t="str">
        <f>IF(ROUND(IS!W33,0)-ROUND(IS!W41,0)=ROUND(IS!W42,0),"OK","ERROR")</f>
        <v>OK</v>
      </c>
      <c r="X77" s="208" t="str">
        <f>IF(ROUND(IS!X33,0)-ROUND(IS!X41,0)=ROUND(IS!X42,0),"OK","ERROR")</f>
        <v>OK</v>
      </c>
      <c r="Y77" s="208" t="str">
        <f>IF(ROUND(IS!Y33,0)-ROUND(IS!Y41,0)=ROUND(IS!Y42,0),"OK","ERROR")</f>
        <v>OK</v>
      </c>
      <c r="Z77" s="227" t="str">
        <f>IF(ROUND(IS!Z33,0)-ROUND(IS!Z41,0)=ROUND(IS!Z42,0),"OK","ERROR")</f>
        <v>OK</v>
      </c>
      <c r="AA77" s="213"/>
      <c r="AB77" s="208" t="str">
        <f>IF(ROUND(IS!AB33,0)-ROUND(IS!AB41,0)=ROUND(IS!AB42,0),"OK","ERROR")</f>
        <v>OK</v>
      </c>
      <c r="AC77" s="208" t="str">
        <f>IF(ROUND(IS!AC33,0)-ROUND(IS!AC41,0)=ROUND(IS!AC42,0),"OK","ERROR")</f>
        <v>OK</v>
      </c>
      <c r="AD77" s="208" t="str">
        <f>IF(ROUND(IS!AD33,0)-ROUND(IS!AD41,0)=ROUND(IS!AD42,0),"OK","ERROR")</f>
        <v>OK</v>
      </c>
      <c r="AE77" s="208" t="str">
        <f>IF(ROUND(IS!AE33,0)-ROUND(IS!AE41,0)=ROUND(IS!AE42,0),"OK","ERROR")</f>
        <v>OK</v>
      </c>
      <c r="AF77" s="227" t="str">
        <f>IF(ROUND(IS!AF33,0)-ROUND(IS!AF41,0)=ROUND(IS!AF42,0),"OK","ERROR")</f>
        <v>OK</v>
      </c>
      <c r="AG77" s="211"/>
      <c r="AH77" s="208" t="str">
        <f>IF(ROUND(IS!AH33,0)-ROUND(IS!AH41,0)=ROUND(IS!AH42,0),"OK","ERROR")</f>
        <v>OK</v>
      </c>
      <c r="AI77" s="208" t="str">
        <f>IF(ROUND(IS!AI33,0)-ROUND(IS!AI41,0)=ROUND(IS!AI42,0),"OK","ERROR")</f>
        <v>OK</v>
      </c>
      <c r="AJ77" s="208" t="str">
        <f>IF(ROUND(IS!AJ33,0)-ROUND(IS!AJ41,0)=ROUND(IS!AJ42,0),"OK","ERROR")</f>
        <v>ERROR</v>
      </c>
      <c r="AK77" s="208" t="str">
        <f>IF(ROUND(IS!AK33,0)-ROUND(IS!AK41,0)=ROUND(IS!AK42,0),"OK","ERROR")</f>
        <v>ERROR</v>
      </c>
      <c r="AL77" s="227" t="str">
        <f>IF(ROUND(IS!AL33,0)-ROUND(IS!AL41,0)=ROUND(IS!AL42,0),"OK","ERROR")</f>
        <v>ERROR</v>
      </c>
      <c r="AM77" s="213"/>
      <c r="AN77" s="208" t="str">
        <f>IF(ROUND(IS!AN33,0)-ROUND(IS!AN41,0)=ROUND(IS!AN42,0),"OK","ERROR")</f>
        <v>ERROR</v>
      </c>
      <c r="AO77" s="208" t="str">
        <f>IF(ROUND(IS!AO33,0)-ROUND(IS!AO41,0)=ROUND(IS!AO42,0),"OK","ERROR")</f>
        <v>ERROR</v>
      </c>
      <c r="AP77" s="208" t="str">
        <f>IF(ROUND(IS!AP33,0)-ROUND(IS!AP41,0)=ROUND(IS!AP42,0),"OK","ERROR")</f>
        <v>ERROR</v>
      </c>
      <c r="AQ77" s="208" t="str">
        <f>IF(ROUND(IS!AQ33,0)-ROUND(IS!AQ41,0)=ROUND(IS!AQ42,0),"OK","ERROR")</f>
        <v>ERROR</v>
      </c>
      <c r="AR77" s="227" t="str">
        <f>IF(ROUND(IS!AR33,0)-ROUND(IS!AR41,0)=ROUND(IS!AR42,0),"OK","ERROR")</f>
        <v>ERROR</v>
      </c>
      <c r="AS77" s="213"/>
      <c r="AT77" s="227" t="str">
        <f>IF(ROUND(IS!AT33,0)-ROUND(IS!AT41,0)=ROUND(IS!AT42,0),"OK","ERROR")</f>
        <v>ERROR</v>
      </c>
      <c r="AU77" s="215"/>
      <c r="AV77" s="227" t="str">
        <f>IF(ROUND(IS!AV33,0)-ROUND(IS!AV41,0)=ROUND(IS!AV42,0),"OK","ERROR")</f>
        <v>ERROR</v>
      </c>
      <c r="AW77" s="215"/>
      <c r="AX77" s="227" t="str">
        <f>IF(ROUND(IS!AX33,0)-ROUND(IS!AX41,0)=ROUND(IS!AX42,0),"OK","ERROR")</f>
        <v>ERROR</v>
      </c>
    </row>
    <row r="78" spans="1:50" ht="14.25" customHeight="1">
      <c r="A78" s="73"/>
      <c r="B78" s="76"/>
      <c r="D78" s="208"/>
      <c r="E78" s="208"/>
      <c r="F78" s="208"/>
      <c r="G78" s="208"/>
      <c r="H78" s="220"/>
      <c r="I78" s="210"/>
      <c r="J78" s="208"/>
      <c r="K78" s="208"/>
      <c r="L78" s="208"/>
      <c r="M78" s="208"/>
      <c r="N78" s="220"/>
      <c r="O78" s="210"/>
      <c r="P78" s="208"/>
      <c r="Q78" s="208"/>
      <c r="R78" s="208"/>
      <c r="S78" s="208"/>
      <c r="T78" s="220"/>
      <c r="U78" s="210"/>
      <c r="V78" s="208"/>
      <c r="W78" s="208"/>
      <c r="X78" s="208"/>
      <c r="Y78" s="208"/>
      <c r="Z78" s="220"/>
      <c r="AA78" s="213"/>
      <c r="AB78" s="208"/>
      <c r="AC78" s="208"/>
      <c r="AD78" s="208"/>
      <c r="AE78" s="208"/>
      <c r="AF78" s="220"/>
      <c r="AG78" s="211"/>
      <c r="AH78" s="208"/>
      <c r="AI78" s="208"/>
      <c r="AJ78" s="208"/>
      <c r="AK78" s="208"/>
      <c r="AL78" s="220"/>
      <c r="AM78" s="213"/>
      <c r="AN78" s="208"/>
      <c r="AO78" s="208"/>
      <c r="AP78" s="208"/>
      <c r="AQ78" s="208"/>
      <c r="AR78" s="220"/>
      <c r="AS78" s="213"/>
      <c r="AT78" s="220"/>
      <c r="AU78" s="215"/>
      <c r="AV78" s="220"/>
      <c r="AW78" s="215"/>
      <c r="AX78" s="220"/>
    </row>
    <row r="79" spans="1:50" ht="14.25" customHeight="1">
      <c r="A79" s="44" t="s">
        <v>33</v>
      </c>
      <c r="B79" s="65" t="s">
        <v>567</v>
      </c>
      <c r="D79" s="208"/>
      <c r="E79" s="208"/>
      <c r="F79" s="208"/>
      <c r="G79" s="208"/>
      <c r="H79" s="220"/>
      <c r="I79" s="210"/>
      <c r="J79" s="208"/>
      <c r="K79" s="208"/>
      <c r="L79" s="208"/>
      <c r="M79" s="208"/>
      <c r="N79" s="220"/>
      <c r="O79" s="210"/>
      <c r="P79" s="208"/>
      <c r="Q79" s="208"/>
      <c r="R79" s="208"/>
      <c r="S79" s="208"/>
      <c r="T79" s="220"/>
      <c r="U79" s="210"/>
      <c r="V79" s="208"/>
      <c r="W79" s="208"/>
      <c r="X79" s="208"/>
      <c r="Y79" s="208"/>
      <c r="Z79" s="220"/>
      <c r="AA79" s="213"/>
      <c r="AB79" s="208"/>
      <c r="AC79" s="208"/>
      <c r="AD79" s="208"/>
      <c r="AE79" s="208"/>
      <c r="AF79" s="220"/>
      <c r="AG79" s="211"/>
      <c r="AH79" s="208"/>
      <c r="AI79" s="208"/>
      <c r="AJ79" s="208"/>
      <c r="AK79" s="208"/>
      <c r="AL79" s="220"/>
      <c r="AM79" s="213"/>
      <c r="AN79" s="208"/>
      <c r="AO79" s="208"/>
      <c r="AP79" s="208"/>
      <c r="AQ79" s="208"/>
      <c r="AR79" s="220"/>
      <c r="AS79" s="213"/>
      <c r="AT79" s="220"/>
      <c r="AU79" s="215"/>
      <c r="AV79" s="220"/>
      <c r="AW79" s="215"/>
      <c r="AX79" s="220"/>
    </row>
    <row r="80" spans="1:50" ht="14.25" customHeight="1" thickBot="1">
      <c r="A80" s="73"/>
      <c r="B80" s="70" t="s">
        <v>569</v>
      </c>
      <c r="D80" s="208" t="str">
        <f>IF(ROUND(IS!D42,0)-ROUND(SUM(IS!D45:D46),0)=ROUND(IS!D47,0),"OK","ERROR")</f>
        <v>OK</v>
      </c>
      <c r="E80" s="208" t="str">
        <f>IF(ROUND(IS!E42,0)-ROUND(SUM(IS!E45:E46),0)=ROUND(IS!E47,0),"OK","ERROR")</f>
        <v>OK</v>
      </c>
      <c r="F80" s="208" t="str">
        <f>IF(ROUND(IS!F42,0)-ROUND(SUM(IS!F45:F46),0)=ROUND(IS!F47,0),"OK","ERROR")</f>
        <v>OK</v>
      </c>
      <c r="G80" s="208" t="str">
        <f>IF(ROUND(IS!G42,0)-ROUND(SUM(IS!G45:G46),0)=ROUND(IS!G47,0),"OK","ERROR")</f>
        <v>OK</v>
      </c>
      <c r="H80" s="237" t="str">
        <f>IF(ROUND(IS!H42,0)-ROUND(SUM(IS!H45:H46),0)=ROUND(IS!H47,0),"OK","ERROR")</f>
        <v>OK</v>
      </c>
      <c r="I80" s="210"/>
      <c r="J80" s="208" t="str">
        <f>IF(ROUND(IS!J42,0)-ROUND(SUM(IS!J45:J46),0)=ROUND(IS!J47,0),"OK","ERROR")</f>
        <v>OK</v>
      </c>
      <c r="K80" s="208" t="str">
        <f>IF(ROUND(IS!K42,0)-ROUND(SUM(IS!K45:K46),0)=ROUND(IS!K47,0),"OK","ERROR")</f>
        <v>OK</v>
      </c>
      <c r="L80" s="208" t="str">
        <f>IF(ROUND(IS!L42,0)-ROUND(SUM(IS!L45:L46),0)=ROUND(IS!L47,0),"OK","ERROR")</f>
        <v>OK</v>
      </c>
      <c r="M80" s="208" t="str">
        <f>IF(ROUND(IS!M42,0)-ROUND(SUM(IS!M45:M46),0)=ROUND(IS!M47,0),"OK","ERROR")</f>
        <v>OK</v>
      </c>
      <c r="N80" s="237" t="str">
        <f>IF(ROUND(IS!N42,0)-ROUND(SUM(IS!N45:N46),0)=ROUND(IS!N47,0),"OK","ERROR")</f>
        <v>OK</v>
      </c>
      <c r="O80" s="210"/>
      <c r="P80" s="208" t="str">
        <f>IF(ROUND(IS!P42,0)-ROUND(SUM(IS!P45:P46),0)=ROUND(IS!P47,0),"OK","ERROR")</f>
        <v>OK</v>
      </c>
      <c r="Q80" s="208" t="str">
        <f>IF(ROUND(IS!Q42,0)-ROUND(SUM(IS!Q45:Q46),0)=ROUND(IS!Q47,0),"OK","ERROR")</f>
        <v>OK</v>
      </c>
      <c r="R80" s="208" t="str">
        <f>IF(ROUND(IS!R42,0)-ROUND(SUM(IS!R45:R46),0)=ROUND(IS!R47,0),"OK","ERROR")</f>
        <v>OK</v>
      </c>
      <c r="S80" s="208" t="str">
        <f>IF(ROUND(IS!S42,0)-ROUND(SUM(IS!S45:S46),0)=ROUND(IS!S47,0),"OK","ERROR")</f>
        <v>OK</v>
      </c>
      <c r="T80" s="237" t="str">
        <f>IF(ROUND(IS!T42,0)-ROUND(SUM(IS!T45:T46),0)=ROUND(IS!T47,0),"OK","ERROR")</f>
        <v>OK</v>
      </c>
      <c r="U80" s="210"/>
      <c r="V80" s="208" t="str">
        <f>IF(ROUND(IS!V42,0)-ROUND(SUM(IS!V45:V46),0)=ROUND(IS!V47,0),"OK","ERROR")</f>
        <v>OK</v>
      </c>
      <c r="W80" s="208" t="str">
        <f>IF(ROUND(IS!W42,0)-ROUND(SUM(IS!W45:W46),0)=ROUND(IS!W47,0),"OK","ERROR")</f>
        <v>OK</v>
      </c>
      <c r="X80" s="208" t="str">
        <f>IF(ROUND(IS!X42,0)-ROUND(SUM(IS!X45:X46),0)=ROUND(IS!X47,0),"OK","ERROR")</f>
        <v>OK</v>
      </c>
      <c r="Y80" s="208" t="str">
        <f>IF(ROUND(IS!Y42,0)-ROUND(SUM(IS!Y45:Y46),0)=ROUND(IS!Y47,0),"OK","ERROR")</f>
        <v>OK</v>
      </c>
      <c r="Z80" s="237" t="str">
        <f>IF(ROUND(IS!Z42,0)-ROUND(SUM(IS!Z45:Z46),0)=ROUND(IS!Z47,0),"OK","ERROR")</f>
        <v>OK</v>
      </c>
      <c r="AA80" s="213"/>
      <c r="AB80" s="208" t="str">
        <f>IF(ROUND(IS!AB42,0)-ROUND(SUM(IS!AB45:AB46),0)=ROUND(IS!AB47,0),"OK","ERROR")</f>
        <v>OK</v>
      </c>
      <c r="AC80" s="208" t="str">
        <f>IF(ROUND(IS!AC42,0)-ROUND(SUM(IS!AC45:AC46),0)=ROUND(IS!AC47,0),"OK","ERROR")</f>
        <v>OK</v>
      </c>
      <c r="AD80" s="208" t="str">
        <f>IF(ROUND(IS!AD42,0)-ROUND(SUM(IS!AD45:AD46),0)=ROUND(IS!AD47,0),"OK","ERROR")</f>
        <v>OK</v>
      </c>
      <c r="AE80" s="208" t="str">
        <f>IF(ROUND(IS!AE42,0)-ROUND(SUM(IS!AE45:AE46),0)=ROUND(IS!AE47,0),"OK","ERROR")</f>
        <v>OK</v>
      </c>
      <c r="AF80" s="237" t="str">
        <f>IF(ROUND(IS!AF42,0)-ROUND(SUM(IS!AF45:AF46),0)=ROUND(IS!AF47,0),"OK","ERROR")</f>
        <v>OK</v>
      </c>
      <c r="AG80" s="211"/>
      <c r="AH80" s="208" t="str">
        <f>IF(ROUND(IS!AH42,0)-ROUND(SUM(IS!AH45:AH46),0)=ROUND(IS!AH47,0),"OK","ERROR")</f>
        <v>OK</v>
      </c>
      <c r="AI80" s="208" t="str">
        <f>IF(ROUND(IS!AI42,0)-ROUND(SUM(IS!AI45:AI46),0)=ROUND(IS!AI47,0),"OK","ERROR")</f>
        <v>OK</v>
      </c>
      <c r="AJ80" s="208" t="str">
        <f>IF(ROUND(IS!AJ42,0)-ROUND(SUM(IS!AJ45:AJ46),0)=ROUND(IS!AJ47,0),"OK","ERROR")</f>
        <v>OK</v>
      </c>
      <c r="AK80" s="208" t="str">
        <f>IF(ROUND(IS!AK42,0)-ROUND(SUM(IS!AK45:AK46),0)=ROUND(IS!AK47,0),"OK","ERROR")</f>
        <v>OK</v>
      </c>
      <c r="AL80" s="237" t="str">
        <f>IF(ROUND(IS!AL42,0)-ROUND(SUM(IS!AL45:AL46),0)=ROUND(IS!AL47,0),"OK","ERROR")</f>
        <v>OK</v>
      </c>
      <c r="AM80" s="236"/>
      <c r="AN80" s="208" t="str">
        <f>IF(ROUND(IS!AN42,0)-ROUND(SUM(IS!AN45:AN46),0)=ROUND(IS!AN47,0),"OK","ERROR")</f>
        <v>OK</v>
      </c>
      <c r="AO80" s="208" t="str">
        <f>IF(ROUND(IS!AO42,0)-ROUND(SUM(IS!AO45:AO46),0)=ROUND(IS!AO47,0),"OK","ERROR")</f>
        <v>OK</v>
      </c>
      <c r="AP80" s="208" t="str">
        <f>IF(ROUND(IS!AP42,0)-ROUND(SUM(IS!AP45:AP46),0)=ROUND(IS!AP47,0),"OK","ERROR")</f>
        <v>OK</v>
      </c>
      <c r="AQ80" s="208" t="str">
        <f>IF(ROUND(IS!AQ42,0)-ROUND(SUM(IS!AQ45:AQ46),0)=ROUND(IS!AQ47,0),"OK","ERROR")</f>
        <v>OK</v>
      </c>
      <c r="AR80" s="237" t="str">
        <f>IF(ROUND(IS!AR42,0)-ROUND(SUM(IS!AR45:AR46),0)=ROUND(IS!AR47,0),"OK","ERROR")</f>
        <v>OK</v>
      </c>
      <c r="AS80" s="213"/>
      <c r="AT80" s="237" t="str">
        <f>IF(ROUND(IS!AT42,0)-ROUND(SUM(IS!AT45:AT46),0)=ROUND(IS!AT47,0),"OK","ERROR")</f>
        <v>OK</v>
      </c>
      <c r="AU80" s="215"/>
      <c r="AV80" s="237" t="str">
        <f>IF(ROUND(IS!AV42,0)-ROUND(SUM(IS!AV45:AV46),0)=ROUND(IS!AV47,0),"OK","ERROR")</f>
        <v>OK</v>
      </c>
      <c r="AW80" s="215"/>
      <c r="AX80" s="237" t="str">
        <f>IF(ROUND(IS!AX42,0)-ROUND(SUM(IS!AX45:AX46),0)=ROUND(IS!AX47,0),"OK","ERROR")</f>
        <v>OK</v>
      </c>
    </row>
    <row r="82" spans="1:50" ht="14.25" customHeight="1">
      <c r="A82" s="44" t="s">
        <v>33</v>
      </c>
      <c r="B82" s="65" t="s">
        <v>570</v>
      </c>
      <c r="D82" s="208"/>
      <c r="E82" s="208"/>
      <c r="F82" s="208"/>
      <c r="G82" s="208"/>
      <c r="H82" s="220"/>
      <c r="I82" s="210"/>
      <c r="J82" s="208"/>
      <c r="K82" s="208"/>
      <c r="L82" s="208"/>
      <c r="M82" s="208"/>
      <c r="N82" s="220"/>
      <c r="O82" s="210"/>
      <c r="P82" s="208"/>
      <c r="Q82" s="208"/>
      <c r="R82" s="208"/>
      <c r="S82" s="208"/>
      <c r="T82" s="220"/>
      <c r="U82" s="210"/>
      <c r="V82" s="208"/>
      <c r="W82" s="208"/>
      <c r="X82" s="208"/>
      <c r="Y82" s="208"/>
      <c r="Z82" s="220"/>
      <c r="AA82" s="210"/>
      <c r="AB82" s="208"/>
      <c r="AC82" s="208"/>
      <c r="AD82" s="208"/>
      <c r="AE82" s="208"/>
      <c r="AF82" s="220"/>
      <c r="AG82" s="238"/>
      <c r="AH82" s="208"/>
      <c r="AI82" s="208"/>
      <c r="AJ82" s="208"/>
      <c r="AK82" s="208"/>
      <c r="AL82" s="220"/>
      <c r="AM82" s="210"/>
      <c r="AN82" s="208"/>
      <c r="AO82" s="208"/>
      <c r="AP82" s="208"/>
      <c r="AQ82" s="208"/>
      <c r="AR82" s="220"/>
      <c r="AS82" s="210"/>
      <c r="AT82" s="220"/>
      <c r="AU82" s="239"/>
      <c r="AV82" s="220"/>
      <c r="AW82" s="239"/>
      <c r="AX82" s="220"/>
    </row>
    <row r="83" spans="1:50" ht="14.25" customHeight="1" thickBot="1">
      <c r="A83" s="73"/>
      <c r="B83" s="76" t="s">
        <v>573</v>
      </c>
      <c r="D83" s="208" t="str">
        <f>IF(ROUND(IS!D47,0)-ROUND(SUM(IS!D50:D51),0)=ROUND(IS!D52,0),"OK","ERROR")</f>
        <v>OK</v>
      </c>
      <c r="E83" s="208" t="str">
        <f>IF(ROUND(IS!E47,0)-ROUND(SUM(IS!E50:E51),0)=ROUND(IS!E52,0),"OK","ERROR")</f>
        <v>OK</v>
      </c>
      <c r="F83" s="208" t="str">
        <f>IF(ROUND(IS!F47,0)-ROUND(SUM(IS!F50:F51),0)=ROUND(IS!F52,0),"OK","ERROR")</f>
        <v>OK</v>
      </c>
      <c r="G83" s="208" t="str">
        <f>IF(ROUND(IS!G47,0)-ROUND(SUM(IS!G50:G51),0)=ROUND(IS!G52,0),"OK","ERROR")</f>
        <v>OK</v>
      </c>
      <c r="H83" s="237" t="str">
        <f>IF(ROUND(IS!H47,0)-ROUND(SUM(IS!H50:H51),0)=ROUND(IS!H52,0),"OK","ERROR")</f>
        <v>OK</v>
      </c>
      <c r="I83" s="210"/>
      <c r="J83" s="208" t="str">
        <f>IF(ROUND(IS!J47,0)-ROUND(SUM(IS!J50:J51),0)=ROUND(IS!J52,0),"OK","ERROR")</f>
        <v>OK</v>
      </c>
      <c r="K83" s="208" t="str">
        <f>IF(ROUND(IS!K47,0)-ROUND(SUM(IS!K50:K51),0)=ROUND(IS!K52,0),"OK","ERROR")</f>
        <v>OK</v>
      </c>
      <c r="L83" s="208" t="str">
        <f>IF(ROUND(IS!L47,0)-ROUND(SUM(IS!L50:L51),0)=ROUND(IS!L52,0),"OK","ERROR")</f>
        <v>OK</v>
      </c>
      <c r="M83" s="208" t="str">
        <f>IF(ROUND(IS!M47,0)-ROUND(SUM(IS!M50:M51),0)=ROUND(IS!M52,0),"OK","ERROR")</f>
        <v>OK</v>
      </c>
      <c r="N83" s="237" t="str">
        <f>IF(ROUND(IS!N47,0)-ROUND(SUM(IS!N50:N51),0)=ROUND(IS!N52,0),"OK","ERROR")</f>
        <v>OK</v>
      </c>
      <c r="O83" s="210"/>
      <c r="P83" s="208" t="str">
        <f>IF(ROUND(IS!P47,0)-ROUND(SUM(IS!P50:P51),0)=ROUND(IS!P52,0),"OK","ERROR")</f>
        <v>OK</v>
      </c>
      <c r="Q83" s="208" t="str">
        <f>IF(ROUND(IS!Q47,0)-ROUND(SUM(IS!Q50:Q51),0)=ROUND(IS!Q52,0),"OK","ERROR")</f>
        <v>OK</v>
      </c>
      <c r="R83" s="208" t="str">
        <f>IF(ROUND(IS!R47,0)-ROUND(SUM(IS!R50:R51),0)=ROUND(IS!R52,0),"OK","ERROR")</f>
        <v>OK</v>
      </c>
      <c r="S83" s="208" t="str">
        <f>IF(ROUND(IS!S47,0)-ROUND(SUM(IS!S50:S51),0)=ROUND(IS!S52,0),"OK","ERROR")</f>
        <v>OK</v>
      </c>
      <c r="T83" s="237" t="str">
        <f>IF(ROUND(IS!T47,0)-ROUND(SUM(IS!T50:T51),0)=ROUND(IS!T52,0),"OK","ERROR")</f>
        <v>OK</v>
      </c>
      <c r="U83" s="210"/>
      <c r="V83" s="208" t="str">
        <f>IF(ROUND(IS!V47,0)-ROUND(SUM(IS!V50:V51),0)=ROUND(IS!V52,0),"OK","ERROR")</f>
        <v>OK</v>
      </c>
      <c r="W83" s="208" t="str">
        <f>IF(ROUND(IS!W47,0)-ROUND(SUM(IS!W50:W51),0)=ROUND(IS!W52,0),"OK","ERROR")</f>
        <v>OK</v>
      </c>
      <c r="X83" s="208" t="str">
        <f>IF(ROUND(IS!X47,0)-ROUND(SUM(IS!X50:X51),0)=ROUND(IS!X52,0),"OK","ERROR")</f>
        <v>OK</v>
      </c>
      <c r="Y83" s="208" t="str">
        <f>IF(ROUND(IS!Y47,0)-ROUND(SUM(IS!Y50:Y51),0)=ROUND(IS!Y52,0),"OK","ERROR")</f>
        <v>OK</v>
      </c>
      <c r="Z83" s="237" t="str">
        <f>IF(ROUND(IS!Z47,0)-ROUND(SUM(IS!Z50:Z51),0)=ROUND(IS!Z52,0),"OK","ERROR")</f>
        <v>OK</v>
      </c>
      <c r="AA83" s="210"/>
      <c r="AB83" s="208" t="str">
        <f>IF(ROUND(IS!AB47,0)-ROUND(SUM(IS!AB50:AB51),0)=ROUND(IS!AB52,0),"OK","ERROR")</f>
        <v>OK</v>
      </c>
      <c r="AC83" s="208" t="str">
        <f>IF(ROUND(IS!AC47,0)-ROUND(SUM(IS!AC50:AC51),0)=ROUND(IS!AC52,0),"OK","ERROR")</f>
        <v>OK</v>
      </c>
      <c r="AD83" s="208" t="str">
        <f>IF(ROUND(IS!AD47,0)-ROUND(SUM(IS!AD50:AD51),0)=ROUND(IS!AD52,0),"OK","ERROR")</f>
        <v>OK</v>
      </c>
      <c r="AE83" s="208" t="str">
        <f>IF(ROUND(IS!AE47,0)-ROUND(SUM(IS!AE50:AE51),0)=ROUND(IS!AE52,0),"OK","ERROR")</f>
        <v>OK</v>
      </c>
      <c r="AF83" s="237" t="str">
        <f>IF(ROUND(IS!AF47,0)-ROUND(SUM(IS!AF50:AF51),0)=ROUND(IS!AF52,0),"OK","ERROR")</f>
        <v>OK</v>
      </c>
      <c r="AG83" s="238"/>
      <c r="AH83" s="208" t="str">
        <f>IF(ROUND(IS!AH47,0)-ROUND(SUM(IS!AH50:AH51),0)=ROUND(IS!AH52,0),"OK","ERROR")</f>
        <v>OK</v>
      </c>
      <c r="AI83" s="208" t="str">
        <f>IF(ROUND(IS!AI47,0)-ROUND(SUM(IS!AI50:AI51),0)=ROUND(IS!AI52,0),"OK","ERROR")</f>
        <v>OK</v>
      </c>
      <c r="AJ83" s="208" t="str">
        <f>IF(ROUND(IS!AJ47,0)-ROUND(SUM(IS!AJ50:AJ51),0)=ROUND(IS!AJ52,0),"OK","ERROR")</f>
        <v>OK</v>
      </c>
      <c r="AK83" s="208" t="str">
        <f>IF(ROUND(IS!AK47,0)-ROUND(SUM(IS!AK50:AK51),0)=ROUND(IS!AK52,0),"OK","ERROR")</f>
        <v>OK</v>
      </c>
      <c r="AL83" s="237" t="str">
        <f>IF(ROUND(IS!AL47,0)-ROUND(SUM(IS!AL50:AL51),0)=ROUND(IS!AL52,0),"OK","ERROR")</f>
        <v>OK</v>
      </c>
      <c r="AM83" s="210"/>
      <c r="AN83" s="208" t="str">
        <f>IF(ROUND(IS!AN47,0)-ROUND(SUM(IS!AN50:AN51),0)=ROUND(IS!AN52,0),"OK","ERROR")</f>
        <v>OK</v>
      </c>
      <c r="AO83" s="208" t="str">
        <f>IF(ROUND(IS!AO47,0)-ROUND(SUM(IS!AO50:AO51),0)=ROUND(IS!AO52,0),"OK","ERROR")</f>
        <v>OK</v>
      </c>
      <c r="AP83" s="208" t="str">
        <f>IF(ROUND(IS!AP47,0)-ROUND(SUM(IS!AP50:AP51),0)=ROUND(IS!AP52,0),"OK","ERROR")</f>
        <v>OK</v>
      </c>
      <c r="AQ83" s="208" t="str">
        <f>IF(ROUND(IS!AQ47,0)-ROUND(SUM(IS!AQ50:AQ51),0)=ROUND(IS!AQ52,0),"OK","ERROR")</f>
        <v>OK</v>
      </c>
      <c r="AR83" s="237" t="str">
        <f>IF(ROUND(IS!AR47,0)-ROUND(SUM(IS!AR50:AR51),0)=ROUND(IS!AR52,0),"OK","ERROR")</f>
        <v>OK</v>
      </c>
      <c r="AS83" s="210"/>
      <c r="AT83" s="237" t="str">
        <f>IF(ROUND(IS!AT47,0)-ROUND(SUM(IS!AT50:AT51),0)=ROUND(IS!AT52,0),"OK","ERROR")</f>
        <v>OK</v>
      </c>
      <c r="AU83" s="239"/>
      <c r="AV83" s="237" t="str">
        <f>IF(ROUND(IS!AV47,0)-ROUND(SUM(IS!AV50:AV51),0)=ROUND(IS!AV52,0),"OK","ERROR")</f>
        <v>OK</v>
      </c>
      <c r="AW83" s="239"/>
      <c r="AX83" s="237" t="str">
        <f>IF(ROUND(IS!AX47,0)-ROUND(SUM(IS!AX50:AX51),0)=ROUND(IS!AX52,0),"OK","ERROR")</f>
        <v>OK</v>
      </c>
    </row>
    <row r="84" spans="1:50" ht="14.25" customHeight="1" thickTop="1">
      <c r="A84" s="55"/>
      <c r="D84" s="208"/>
      <c r="E84" s="208"/>
      <c r="F84" s="208"/>
      <c r="G84" s="208"/>
      <c r="H84" s="220"/>
      <c r="I84" s="210"/>
      <c r="J84" s="208"/>
      <c r="K84" s="208"/>
      <c r="L84" s="208"/>
      <c r="M84" s="208"/>
      <c r="N84" s="220"/>
      <c r="O84" s="210"/>
      <c r="P84" s="208"/>
      <c r="Q84" s="208"/>
      <c r="R84" s="208"/>
      <c r="S84" s="208"/>
      <c r="T84" s="220"/>
      <c r="U84" s="210"/>
      <c r="V84" s="208"/>
      <c r="W84" s="208"/>
      <c r="X84" s="208"/>
      <c r="Y84" s="208"/>
      <c r="Z84" s="220"/>
      <c r="AA84" s="210"/>
      <c r="AB84" s="208"/>
      <c r="AC84" s="208"/>
      <c r="AD84" s="208"/>
      <c r="AE84" s="208"/>
      <c r="AF84" s="220"/>
      <c r="AG84" s="238"/>
      <c r="AH84" s="208"/>
      <c r="AI84" s="208"/>
      <c r="AJ84" s="208"/>
      <c r="AK84" s="208"/>
      <c r="AL84" s="220"/>
      <c r="AM84" s="210"/>
      <c r="AN84" s="208"/>
      <c r="AO84" s="208"/>
      <c r="AP84" s="208"/>
      <c r="AQ84" s="208"/>
      <c r="AR84" s="220"/>
      <c r="AS84" s="210"/>
      <c r="AT84" s="220"/>
      <c r="AU84" s="239"/>
      <c r="AV84" s="220"/>
      <c r="AW84" s="239"/>
      <c r="AX84" s="220"/>
    </row>
    <row r="85" spans="1:50" ht="14.25" customHeight="1">
      <c r="A85" s="44" t="s">
        <v>33</v>
      </c>
      <c r="B85" s="65" t="s">
        <v>574</v>
      </c>
      <c r="D85" s="208"/>
      <c r="E85" s="208"/>
      <c r="F85" s="208"/>
      <c r="G85" s="208"/>
      <c r="H85" s="220"/>
      <c r="I85" s="210"/>
      <c r="J85" s="208"/>
      <c r="K85" s="208"/>
      <c r="L85" s="208"/>
      <c r="M85" s="208"/>
      <c r="N85" s="220"/>
      <c r="O85" s="210"/>
      <c r="P85" s="208"/>
      <c r="Q85" s="208"/>
      <c r="R85" s="208"/>
      <c r="S85" s="208"/>
      <c r="T85" s="220"/>
      <c r="U85" s="210"/>
      <c r="V85" s="208"/>
      <c r="W85" s="208"/>
      <c r="X85" s="208"/>
      <c r="Y85" s="208"/>
      <c r="Z85" s="220"/>
      <c r="AA85" s="210"/>
      <c r="AB85" s="208"/>
      <c r="AC85" s="208"/>
      <c r="AD85" s="208"/>
      <c r="AE85" s="208"/>
      <c r="AF85" s="220"/>
      <c r="AG85" s="238"/>
      <c r="AH85" s="208"/>
      <c r="AI85" s="208"/>
      <c r="AJ85" s="208"/>
      <c r="AK85" s="208"/>
      <c r="AL85" s="220"/>
      <c r="AM85" s="210"/>
      <c r="AN85" s="208"/>
      <c r="AO85" s="208"/>
      <c r="AP85" s="208"/>
      <c r="AQ85" s="208"/>
      <c r="AR85" s="220"/>
      <c r="AS85" s="210"/>
      <c r="AT85" s="220"/>
      <c r="AU85" s="239"/>
      <c r="AV85" s="220"/>
      <c r="AW85" s="239"/>
      <c r="AX85" s="220"/>
    </row>
    <row r="86" spans="1:50" ht="14.25" customHeight="1">
      <c r="A86" s="55"/>
      <c r="B86" s="76" t="s">
        <v>575</v>
      </c>
      <c r="D86" s="240" t="str">
        <f>IF(ROUND(IS!D52/IS!D59,1)=ROUND(IS!D55,1),"OK","ERROR")</f>
        <v>OK</v>
      </c>
      <c r="E86" s="240" t="str">
        <f>IF(ROUND(IS!E52/IS!E59,1)=ROUND(IS!E55,1),"OK","ERROR")</f>
        <v>OK</v>
      </c>
      <c r="F86" s="240" t="str">
        <f>IF(ROUND(IS!F52/IS!F59,1)=ROUND(IS!F55,1),"OK","ERROR")</f>
        <v>OK</v>
      </c>
      <c r="G86" s="240" t="str">
        <f>IF(ROUND(IS!G52/IS!G59,1)=ROUND(IS!G55,1),"OK","ERROR")</f>
        <v>OK</v>
      </c>
      <c r="H86" s="241" t="str">
        <f>IF(ROUND(IS!H52/IS!H59,1)=ROUND(IS!H55,1),"OK","ERROR")</f>
        <v>OK</v>
      </c>
      <c r="I86" s="242"/>
      <c r="J86" s="240" t="str">
        <f>IF(ROUND(IS!J52/IS!J59,1)=ROUND(IS!J55,1),"OK","ERROR")</f>
        <v>OK</v>
      </c>
      <c r="K86" s="240" t="str">
        <f>IF(ROUND(IS!K52/IS!K59,1)=ROUND(IS!K55,1),"OK","ERROR")</f>
        <v>OK</v>
      </c>
      <c r="L86" s="240" t="str">
        <f>IF(ROUND(IS!L52/IS!L59,1)=ROUND(IS!L55,1),"OK","ERROR")</f>
        <v>OK</v>
      </c>
      <c r="M86" s="240" t="str">
        <f>IF(ROUND(IS!M52/IS!M59,1)=ROUND(IS!M55,1),"OK","ERROR")</f>
        <v>OK</v>
      </c>
      <c r="N86" s="241" t="str">
        <f>IF(ROUND(IS!N52/IS!N59,1)=ROUND(IS!N55,1),"OK","ERROR")</f>
        <v>OK</v>
      </c>
      <c r="O86" s="242"/>
      <c r="P86" s="240" t="str">
        <f>IF(ROUND(IS!P52/IS!P59,1)=ROUND(IS!P55,1),"OK","ERROR")</f>
        <v>OK</v>
      </c>
      <c r="Q86" s="240" t="str">
        <f>IF(ROUND(IS!Q52/IS!Q59,1)=ROUND(IS!Q55,1),"OK","ERROR")</f>
        <v>OK</v>
      </c>
      <c r="R86" s="240" t="str">
        <f>IF(ROUND(IS!R52/IS!R59,1)=ROUND(IS!R55,1),"OK","ERROR")</f>
        <v>OK</v>
      </c>
      <c r="S86" s="240" t="str">
        <f>IF(ROUND(IS!S52/IS!S59,1)=ROUND(IS!S55,1),"OK","ERROR")</f>
        <v>OK</v>
      </c>
      <c r="T86" s="241" t="str">
        <f>IF(ROUND(IS!T52/IS!T59,1)=ROUND(IS!T55,1),"OK","ERROR")</f>
        <v>OK</v>
      </c>
      <c r="U86" s="242"/>
      <c r="V86" s="240" t="str">
        <f>IF(ROUND(IS!V52/IS!V59,1)=ROUND(IS!V55,1),"OK","ERROR")</f>
        <v>OK</v>
      </c>
      <c r="W86" s="240" t="str">
        <f>IF(ROUND(IS!W52/IS!W59,1)=ROUND(IS!W55,1),"OK","ERROR")</f>
        <v>OK</v>
      </c>
      <c r="X86" s="240" t="str">
        <f>IF(ROUND(IS!X52/IS!X59,1)=ROUND(IS!X55,1),"OK","ERROR")</f>
        <v>OK</v>
      </c>
      <c r="Y86" s="240" t="str">
        <f>IF(ROUND(IS!Y52/IS!Y59,1)=ROUND(IS!Y55,1),"OK","ERROR")</f>
        <v>OK</v>
      </c>
      <c r="Z86" s="241" t="str">
        <f>IF(ROUND(IS!Z52/IS!Z59,1)=ROUND(IS!Z55,1),"OK","ERROR")</f>
        <v>OK</v>
      </c>
      <c r="AA86" s="242"/>
      <c r="AB86" s="240" t="str">
        <f>IF(ROUND(IS!AB52/IS!AB59,1)=ROUND(IS!AB55,1),"OK","ERROR")</f>
        <v>OK</v>
      </c>
      <c r="AC86" s="240" t="str">
        <f>IF(ROUND(IS!AC52/IS!AC59,1)=ROUND(IS!AC55,1),"OK","ERROR")</f>
        <v>OK</v>
      </c>
      <c r="AD86" s="240" t="str">
        <f>IF(ROUND(IS!AD52/IS!AD59,1)=ROUND(IS!AD55,1),"OK","ERROR")</f>
        <v>OK</v>
      </c>
      <c r="AE86" s="240" t="str">
        <f>IF(ROUND(IS!AE52/IS!AE59,1)=ROUND(IS!AE55,1),"OK","ERROR")</f>
        <v>OK</v>
      </c>
      <c r="AF86" s="241" t="str">
        <f>IF(ROUND(IS!AF52/IS!AF59,1)=ROUND(IS!AF55,1),"OK","ERROR")</f>
        <v>OK</v>
      </c>
      <c r="AG86" s="243"/>
      <c r="AH86" s="240" t="str">
        <f>IF(ROUND(IS!AH52/IS!AH59,1)=ROUND(IS!AH55,1),"OK","ERROR")</f>
        <v>OK</v>
      </c>
      <c r="AI86" s="240" t="str">
        <f>IF(ROUND(IS!AI52/IS!AI59,1)=ROUND(IS!AI55,1),"OK","ERROR")</f>
        <v>OK</v>
      </c>
      <c r="AJ86" s="240" t="e">
        <f>IF(ROUND(IS!AJ52/IS!AJ59,1)=ROUND(IS!AJ55,1),"OK","ERROR")</f>
        <v>#DIV/0!</v>
      </c>
      <c r="AK86" s="240" t="e">
        <f>IF(ROUND(IS!AK52/IS!AK59,1)=ROUND(IS!AK55,1),"OK","ERROR")</f>
        <v>#DIV/0!</v>
      </c>
      <c r="AL86" s="241" t="e">
        <f>IF(ROUND(IS!AL52/IS!AL59,1)=ROUND(IS!AL55,1),"OK","ERROR")</f>
        <v>#DIV/0!</v>
      </c>
      <c r="AM86" s="242"/>
      <c r="AN86" s="240" t="e">
        <f>IF(ROUND(IS!AN52/IS!AN59,1)=ROUND(IS!AN55,1),"OK","ERROR")</f>
        <v>#DIV/0!</v>
      </c>
      <c r="AO86" s="240" t="e">
        <f>IF(ROUND(IS!AO52/IS!AO59,1)=ROUND(IS!AO55,1),"OK","ERROR")</f>
        <v>#DIV/0!</v>
      </c>
      <c r="AP86" s="240" t="e">
        <f>IF(ROUND(IS!AP52/IS!AP59,1)=ROUND(IS!AP55,1),"OK","ERROR")</f>
        <v>#DIV/0!</v>
      </c>
      <c r="AQ86" s="240" t="e">
        <f>IF(ROUND(IS!AQ52/IS!AQ59,1)=ROUND(IS!AQ55,1),"OK","ERROR")</f>
        <v>#DIV/0!</v>
      </c>
      <c r="AR86" s="241" t="e">
        <f>IF(ROUND(IS!AR52/IS!AR59,1)=ROUND(IS!AR55,1),"OK","ERROR")</f>
        <v>#DIV/0!</v>
      </c>
      <c r="AS86" s="242"/>
      <c r="AT86" s="241" t="e">
        <f>IF(ROUND(IS!AT52/IS!AT59,1)=ROUND(IS!AT55,1),"OK","ERROR")</f>
        <v>#DIV/0!</v>
      </c>
      <c r="AU86" s="245"/>
      <c r="AV86" s="241" t="e">
        <f>IF(ROUND(IS!AV52/IS!AV59,1)=ROUND(IS!AV55,1),"OK","ERROR")</f>
        <v>#DIV/0!</v>
      </c>
      <c r="AW86" s="245"/>
      <c r="AX86" s="241" t="e">
        <f>IF(ROUND(IS!AX52/IS!AX59,1)=ROUND(IS!AX55,1),"OK","ERROR")</f>
        <v>#DIV/0!</v>
      </c>
    </row>
    <row r="87" spans="1:50" ht="14.25" customHeight="1">
      <c r="A87" s="73"/>
      <c r="B87" s="76" t="s">
        <v>576</v>
      </c>
      <c r="D87" s="240" t="str">
        <f>IF(ROUND(IS!D52/IS!D60,1)=ROUND(IS!D56,1),"OK","ERROR")</f>
        <v>OK</v>
      </c>
      <c r="E87" s="240" t="str">
        <f>IF(ROUND(IS!E52/IS!E60,1)=ROUND(IS!E56,1),"OK","ERROR")</f>
        <v>OK</v>
      </c>
      <c r="F87" s="240" t="str">
        <f>IF(ROUND(IS!F52/IS!F60,1)=ROUND(IS!F56,1),"OK","ERROR")</f>
        <v>OK</v>
      </c>
      <c r="G87" s="240" t="str">
        <f>IF(ROUND(IS!G52/IS!G60,1)=ROUND(IS!G56,1),"OK","ERROR")</f>
        <v>OK</v>
      </c>
      <c r="H87" s="241" t="str">
        <f>IF(ROUND(IS!H52/IS!H60,1)=ROUND(IS!H56,1),"OK","ERROR")</f>
        <v>OK</v>
      </c>
      <c r="I87" s="242"/>
      <c r="J87" s="240" t="str">
        <f>IF(ROUND(IS!J52/IS!J60,1)=ROUND(IS!J56,1),"OK","ERROR")</f>
        <v>OK</v>
      </c>
      <c r="K87" s="240" t="str">
        <f>IF(ROUND(IS!K52/IS!K60,1)=ROUND(IS!K56,1),"OK","ERROR")</f>
        <v>OK</v>
      </c>
      <c r="L87" s="240" t="str">
        <f>IF(ROUND(IS!L52/IS!L60,1)=ROUND(IS!L56,1),"OK","ERROR")</f>
        <v>OK</v>
      </c>
      <c r="M87" s="240" t="str">
        <f>IF(ROUND(IS!M52/IS!M60,1)=ROUND(IS!M56,1),"OK","ERROR")</f>
        <v>OK</v>
      </c>
      <c r="N87" s="241" t="str">
        <f>IF(ROUND(IS!N52/IS!N60,1)=ROUND(IS!N56,1),"OK","ERROR")</f>
        <v>OK</v>
      </c>
      <c r="O87" s="242"/>
      <c r="P87" s="240" t="str">
        <f>IF(ROUND(IS!P52/IS!P60,1)=ROUND(IS!P56,1),"OK","ERROR")</f>
        <v>OK</v>
      </c>
      <c r="Q87" s="240" t="str">
        <f>IF(ROUND(IS!Q52/IS!Q60,1)=ROUND(IS!Q56,1),"OK","ERROR")</f>
        <v>OK</v>
      </c>
      <c r="R87" s="240" t="str">
        <f>IF(ROUND(IS!R52/IS!R60,1)=ROUND(IS!R56,1),"OK","ERROR")</f>
        <v>OK</v>
      </c>
      <c r="S87" s="240" t="str">
        <f>IF(ROUND(IS!S52/IS!S60,1)=ROUND(IS!S56,1),"OK","ERROR")</f>
        <v>OK</v>
      </c>
      <c r="T87" s="241" t="str">
        <f>IF(ROUND(IS!T52/IS!T60,1)=ROUND(IS!T56,1),"OK","ERROR")</f>
        <v>OK</v>
      </c>
      <c r="U87" s="242"/>
      <c r="V87" s="240" t="str">
        <f>IF(ROUND(IS!V52/IS!V60,1)=ROUND(IS!V56,1),"OK","ERROR")</f>
        <v>OK</v>
      </c>
      <c r="W87" s="240" t="str">
        <f>IF(ROUND(IS!W52/IS!W60,1)=ROUND(IS!W56,1),"OK","ERROR")</f>
        <v>OK</v>
      </c>
      <c r="X87" s="240" t="str">
        <f>IF(ROUND(IS!X52/IS!X60,1)=ROUND(IS!X56,1),"OK","ERROR")</f>
        <v>OK</v>
      </c>
      <c r="Y87" s="240" t="str">
        <f>IF(ROUND(IS!Y52/IS!Y60,1)=ROUND(IS!Y56,1),"OK","ERROR")</f>
        <v>OK</v>
      </c>
      <c r="Z87" s="241" t="str">
        <f>IF(ROUND(IS!Z52/IS!Z60,1)=ROUND(IS!Z56,1),"OK","ERROR")</f>
        <v>OK</v>
      </c>
      <c r="AA87" s="242"/>
      <c r="AB87" s="240" t="str">
        <f>IF(ROUND(IS!AB52/IS!AB60,1)=ROUND(IS!AB56,1),"OK","ERROR")</f>
        <v>OK</v>
      </c>
      <c r="AC87" s="240" t="str">
        <f>IF(ROUND(IS!AC52/IS!AC60,1)=ROUND(IS!AC56,1),"OK","ERROR")</f>
        <v>OK</v>
      </c>
      <c r="AD87" s="240" t="str">
        <f>IF(ROUND(IS!AD52/IS!AD60,1)=ROUND(IS!AD56,1),"OK","ERROR")</f>
        <v>OK</v>
      </c>
      <c r="AE87" s="240" t="str">
        <f>IF(ROUND(IS!AE52/IS!AE60,1)=ROUND(IS!AE56,1),"OK","ERROR")</f>
        <v>OK</v>
      </c>
      <c r="AF87" s="241" t="str">
        <f>IF(ROUND(IS!AF52/IS!AF60,1)=ROUND(IS!AF56,1),"OK","ERROR")</f>
        <v>OK</v>
      </c>
      <c r="AG87" s="243"/>
      <c r="AH87" s="240" t="str">
        <f>IF(ROUND(IS!AH52/IS!AH60,1)=ROUND(IS!AH56,1),"OK","ERROR")</f>
        <v>OK</v>
      </c>
      <c r="AI87" s="240" t="str">
        <f>IF(ROUND(IS!AI52/IS!AI60,1)=ROUND(IS!AI56,1),"OK","ERROR")</f>
        <v>OK</v>
      </c>
      <c r="AJ87" s="240" t="str">
        <f>IF(ROUND(IS!AJ52/IS!AJ60,1)=ROUND(IS!AJ56,1),"OK","ERROR")</f>
        <v>OK</v>
      </c>
      <c r="AK87" s="240" t="str">
        <f>IF(ROUND(IS!AK52/IS!AK60,1)=ROUND(IS!AK56,1),"OK","ERROR")</f>
        <v>OK</v>
      </c>
      <c r="AL87" s="241" t="str">
        <f>IF(ROUND(IS!AL52/IS!AL60,1)=ROUND(IS!AL56,1),"OK","ERROR")</f>
        <v>OK</v>
      </c>
      <c r="AM87" s="242"/>
      <c r="AN87" s="240" t="str">
        <f>IF(ROUND(IS!AN52/IS!AN60,1)=ROUND(IS!AN56,1),"OK","ERROR")</f>
        <v>OK</v>
      </c>
      <c r="AO87" s="240" t="str">
        <f>IF(ROUND(IS!AO52/IS!AO60,1)=ROUND(IS!AO56,1),"OK","ERROR")</f>
        <v>OK</v>
      </c>
      <c r="AP87" s="240" t="str">
        <f>IF(ROUND(IS!AP52/IS!AP60,1)=ROUND(IS!AP56,1),"OK","ERROR")</f>
        <v>OK</v>
      </c>
      <c r="AQ87" s="240" t="str">
        <f>IF(ROUND(IS!AQ52/IS!AQ60,1)=ROUND(IS!AQ56,1),"OK","ERROR")</f>
        <v>OK</v>
      </c>
      <c r="AR87" s="241" t="str">
        <f>IF(ROUND(IS!AR52/IS!AR60,1)=ROUND(IS!AR56,1),"OK","ERROR")</f>
        <v>OK</v>
      </c>
      <c r="AS87" s="242"/>
      <c r="AT87" s="241" t="str">
        <f>IF(ROUND(IS!AT52/IS!AT60,1)=ROUND(IS!AT56,1),"OK","ERROR")</f>
        <v>OK</v>
      </c>
      <c r="AU87" s="245"/>
      <c r="AV87" s="241" t="str">
        <f>IF(ROUND(IS!AV52/IS!AV60,1)=ROUND(IS!AV56,1),"OK","ERROR")</f>
        <v>OK</v>
      </c>
      <c r="AW87" s="245"/>
      <c r="AX87" s="241" t="str">
        <f>IF(ROUND(IS!AX52/IS!AX60,1)=ROUND(IS!AX56,1),"OK","ERROR")</f>
        <v>OK</v>
      </c>
    </row>
    <row r="89" spans="1:50" s="41" customFormat="1" ht="15" customHeight="1">
      <c r="B89" s="161" t="s">
        <v>648</v>
      </c>
      <c r="C89" s="18"/>
      <c r="D89" s="202">
        <f>F89</f>
        <v>2020</v>
      </c>
      <c r="E89" s="202">
        <f>F89</f>
        <v>2020</v>
      </c>
      <c r="F89" s="202">
        <v>2020</v>
      </c>
      <c r="G89" s="202">
        <f>F89</f>
        <v>2020</v>
      </c>
      <c r="H89" s="202">
        <f>F89</f>
        <v>2020</v>
      </c>
      <c r="I89" s="18"/>
      <c r="J89" s="202">
        <f>L89</f>
        <v>2021</v>
      </c>
      <c r="K89" s="202">
        <f>L89</f>
        <v>2021</v>
      </c>
      <c r="L89" s="202">
        <v>2021</v>
      </c>
      <c r="M89" s="202">
        <f>L89</f>
        <v>2021</v>
      </c>
      <c r="N89" s="202">
        <f>L89</f>
        <v>2021</v>
      </c>
      <c r="O89" s="169"/>
      <c r="P89" s="202">
        <f>R89</f>
        <v>2022</v>
      </c>
      <c r="Q89" s="202">
        <f>R89</f>
        <v>2022</v>
      </c>
      <c r="R89" s="202">
        <v>2022</v>
      </c>
      <c r="S89" s="202">
        <f>R89</f>
        <v>2022</v>
      </c>
      <c r="T89" s="202">
        <f>R89</f>
        <v>2022</v>
      </c>
      <c r="U89" s="169"/>
      <c r="V89" s="202">
        <f>X89</f>
        <v>2023</v>
      </c>
      <c r="W89" s="202">
        <f>X89</f>
        <v>2023</v>
      </c>
      <c r="X89" s="202">
        <v>2023</v>
      </c>
      <c r="Y89" s="202">
        <f>X89</f>
        <v>2023</v>
      </c>
      <c r="Z89" s="202">
        <f>X89</f>
        <v>2023</v>
      </c>
      <c r="AA89" s="170"/>
      <c r="AB89" s="202">
        <f>AD89</f>
        <v>2024</v>
      </c>
      <c r="AC89" s="202">
        <f>AD89</f>
        <v>2024</v>
      </c>
      <c r="AD89" s="202">
        <v>2024</v>
      </c>
      <c r="AE89" s="202">
        <f>AD89</f>
        <v>2024</v>
      </c>
      <c r="AF89" s="202">
        <f>AD89</f>
        <v>2024</v>
      </c>
      <c r="AG89" s="170"/>
      <c r="AH89" s="202">
        <f>AJ89</f>
        <v>2025</v>
      </c>
      <c r="AI89" s="202">
        <f>AJ89</f>
        <v>2025</v>
      </c>
      <c r="AJ89" s="203">
        <v>2025</v>
      </c>
      <c r="AK89" s="202">
        <f>AJ89</f>
        <v>2025</v>
      </c>
      <c r="AL89" s="202">
        <f>AJ89</f>
        <v>2025</v>
      </c>
      <c r="AM89" s="171"/>
      <c r="AN89" s="202">
        <f>AP89</f>
        <v>2025</v>
      </c>
      <c r="AO89" s="202">
        <f>AP89</f>
        <v>2025</v>
      </c>
      <c r="AP89" s="203">
        <v>2025</v>
      </c>
      <c r="AQ89" s="202">
        <f>AP89</f>
        <v>2025</v>
      </c>
      <c r="AR89" s="202">
        <f>AP89</f>
        <v>2025</v>
      </c>
      <c r="AS89" s="18"/>
      <c r="AT89" s="162"/>
      <c r="AU89" s="18"/>
      <c r="AV89" s="163"/>
      <c r="AW89" s="18"/>
      <c r="AX89" s="163"/>
    </row>
    <row r="90" spans="1:50" s="41" customFormat="1" ht="15" customHeight="1">
      <c r="B90" s="164"/>
      <c r="C90" s="18"/>
      <c r="D90" s="743">
        <v>2020</v>
      </c>
      <c r="E90" s="743"/>
      <c r="F90" s="743"/>
      <c r="G90" s="743"/>
      <c r="H90" s="743"/>
      <c r="I90" s="169"/>
      <c r="J90" s="743">
        <f>D90+1</f>
        <v>2021</v>
      </c>
      <c r="K90" s="743"/>
      <c r="L90" s="743"/>
      <c r="M90" s="743"/>
      <c r="N90" s="743"/>
      <c r="O90" s="169"/>
      <c r="P90" s="743">
        <f>J90+1</f>
        <v>2022</v>
      </c>
      <c r="Q90" s="743"/>
      <c r="R90" s="743"/>
      <c r="S90" s="743"/>
      <c r="T90" s="743"/>
      <c r="U90" s="169"/>
      <c r="V90" s="743">
        <f>P90+1</f>
        <v>2023</v>
      </c>
      <c r="W90" s="743"/>
      <c r="X90" s="743"/>
      <c r="Y90" s="743"/>
      <c r="Z90" s="743"/>
      <c r="AA90" s="169"/>
      <c r="AB90" s="743">
        <f>V90+1</f>
        <v>2024</v>
      </c>
      <c r="AC90" s="743"/>
      <c r="AD90" s="743"/>
      <c r="AE90" s="743"/>
      <c r="AF90" s="743"/>
      <c r="AG90" s="169"/>
      <c r="AH90" s="742">
        <f>AB90+1</f>
        <v>2025</v>
      </c>
      <c r="AI90" s="742"/>
      <c r="AJ90" s="742"/>
      <c r="AK90" s="742"/>
      <c r="AL90" s="742"/>
      <c r="AM90" s="169"/>
      <c r="AN90" s="742">
        <f>AH90+1</f>
        <v>2026</v>
      </c>
      <c r="AO90" s="742"/>
      <c r="AP90" s="742"/>
      <c r="AQ90" s="742"/>
      <c r="AR90" s="742"/>
      <c r="AS90" s="171"/>
      <c r="AT90" s="166">
        <f>AN90+1</f>
        <v>2027</v>
      </c>
      <c r="AU90" s="167"/>
      <c r="AV90" s="166">
        <f>+AT90+1</f>
        <v>2028</v>
      </c>
      <c r="AW90" s="167"/>
      <c r="AX90" s="166">
        <f>+AV90+1</f>
        <v>2029</v>
      </c>
    </row>
    <row r="91" spans="1:50" s="41" customFormat="1" ht="15" customHeight="1">
      <c r="B91" s="164"/>
      <c r="C91" s="18"/>
      <c r="D91" s="168" t="s">
        <v>202</v>
      </c>
      <c r="E91" s="168" t="s">
        <v>203</v>
      </c>
      <c r="F91" s="168" t="s">
        <v>204</v>
      </c>
      <c r="G91" s="168" t="s">
        <v>205</v>
      </c>
      <c r="H91" s="168" t="s">
        <v>206</v>
      </c>
      <c r="I91" s="18"/>
      <c r="J91" s="168" t="s">
        <v>202</v>
      </c>
      <c r="K91" s="168" t="s">
        <v>203</v>
      </c>
      <c r="L91" s="168" t="s">
        <v>204</v>
      </c>
      <c r="M91" s="168" t="s">
        <v>205</v>
      </c>
      <c r="N91" s="168" t="s">
        <v>206</v>
      </c>
      <c r="O91" s="165"/>
      <c r="P91" s="168" t="s">
        <v>202</v>
      </c>
      <c r="Q91" s="168" t="s">
        <v>203</v>
      </c>
      <c r="R91" s="168" t="s">
        <v>204</v>
      </c>
      <c r="S91" s="168" t="s">
        <v>205</v>
      </c>
      <c r="T91" s="168" t="s">
        <v>206</v>
      </c>
      <c r="U91" s="165"/>
      <c r="V91" s="168" t="s">
        <v>202</v>
      </c>
      <c r="W91" s="168" t="s">
        <v>203</v>
      </c>
      <c r="X91" s="168" t="s">
        <v>204</v>
      </c>
      <c r="Y91" s="168" t="s">
        <v>205</v>
      </c>
      <c r="Z91" s="168" t="s">
        <v>206</v>
      </c>
      <c r="AA91" s="165"/>
      <c r="AB91" s="168" t="s">
        <v>202</v>
      </c>
      <c r="AC91" s="168" t="s">
        <v>203</v>
      </c>
      <c r="AD91" s="168" t="s">
        <v>204</v>
      </c>
      <c r="AE91" s="168" t="s">
        <v>205</v>
      </c>
      <c r="AF91" s="168" t="s">
        <v>206</v>
      </c>
      <c r="AG91" s="165"/>
      <c r="AH91" s="168" t="s">
        <v>202</v>
      </c>
      <c r="AI91" s="168" t="s">
        <v>203</v>
      </c>
      <c r="AJ91" s="168" t="s">
        <v>204</v>
      </c>
      <c r="AK91" s="168" t="s">
        <v>205</v>
      </c>
      <c r="AL91" s="168" t="s">
        <v>206</v>
      </c>
      <c r="AM91" s="165"/>
      <c r="AN91" s="168" t="s">
        <v>202</v>
      </c>
      <c r="AO91" s="168" t="s">
        <v>203</v>
      </c>
      <c r="AP91" s="168" t="s">
        <v>204</v>
      </c>
      <c r="AQ91" s="168" t="s">
        <v>205</v>
      </c>
      <c r="AR91" s="168" t="s">
        <v>206</v>
      </c>
      <c r="AS91" s="165"/>
      <c r="AT91" s="168" t="s">
        <v>206</v>
      </c>
      <c r="AU91" s="165"/>
      <c r="AV91" s="168" t="s">
        <v>206</v>
      </c>
      <c r="AW91" s="165"/>
      <c r="AX91" s="168" t="s">
        <v>206</v>
      </c>
    </row>
    <row r="92" spans="1:50" s="41" customFormat="1" ht="3.95" customHeight="1">
      <c r="A92" s="43"/>
      <c r="B92" s="176"/>
      <c r="C92" s="35"/>
      <c r="D92" s="177"/>
      <c r="E92" s="177"/>
      <c r="F92" s="177"/>
      <c r="G92" s="177"/>
      <c r="H92" s="177"/>
      <c r="I92" s="35"/>
      <c r="J92" s="177"/>
      <c r="K92" s="177"/>
      <c r="L92" s="177"/>
      <c r="M92" s="177"/>
      <c r="N92" s="177"/>
      <c r="O92" s="178"/>
      <c r="P92" s="177"/>
      <c r="Q92" s="177"/>
      <c r="R92" s="177"/>
      <c r="S92" s="177"/>
      <c r="T92" s="177"/>
      <c r="U92" s="178"/>
      <c r="V92" s="177"/>
      <c r="W92" s="177"/>
      <c r="X92" s="177"/>
      <c r="Y92" s="177"/>
      <c r="Z92" s="177"/>
      <c r="AA92" s="178"/>
      <c r="AB92" s="177"/>
      <c r="AC92" s="177"/>
      <c r="AD92" s="177"/>
      <c r="AE92" s="177"/>
      <c r="AF92" s="177"/>
      <c r="AG92" s="178"/>
      <c r="AH92" s="177"/>
      <c r="AI92" s="177"/>
      <c r="AJ92" s="177"/>
      <c r="AK92" s="177"/>
      <c r="AL92" s="179"/>
      <c r="AM92" s="180"/>
      <c r="AN92" s="179"/>
      <c r="AO92" s="179"/>
      <c r="AP92" s="179"/>
      <c r="AQ92" s="179"/>
      <c r="AR92" s="179"/>
      <c r="AS92" s="180"/>
      <c r="AT92" s="179"/>
      <c r="AU92" s="180"/>
      <c r="AV92" s="179"/>
      <c r="AW92" s="180"/>
      <c r="AX92" s="179"/>
    </row>
    <row r="93" spans="1:50" s="41" customFormat="1" ht="3.95" customHeight="1">
      <c r="A93" s="43"/>
      <c r="B93" s="172"/>
      <c r="C93" s="19"/>
      <c r="D93" s="173"/>
      <c r="E93" s="173"/>
      <c r="F93" s="173"/>
      <c r="G93" s="173"/>
      <c r="H93" s="173"/>
      <c r="I93" s="19"/>
      <c r="J93" s="173"/>
      <c r="K93" s="173"/>
      <c r="L93" s="173"/>
      <c r="M93" s="173"/>
      <c r="N93" s="173"/>
      <c r="O93" s="174"/>
      <c r="P93" s="173"/>
      <c r="Q93" s="173"/>
      <c r="R93" s="173"/>
      <c r="S93" s="173"/>
      <c r="T93" s="173"/>
      <c r="U93" s="174"/>
      <c r="V93" s="173"/>
      <c r="W93" s="173"/>
      <c r="X93" s="173"/>
      <c r="Y93" s="173"/>
      <c r="Z93" s="173"/>
      <c r="AA93" s="174"/>
      <c r="AB93" s="173"/>
      <c r="AC93" s="173"/>
      <c r="AD93" s="173"/>
      <c r="AE93" s="173"/>
      <c r="AF93" s="173"/>
      <c r="AG93" s="204"/>
      <c r="AH93" s="173"/>
      <c r="AI93" s="173"/>
      <c r="AJ93" s="173"/>
      <c r="AK93" s="173"/>
      <c r="AL93" s="175"/>
      <c r="AM93" s="34"/>
      <c r="AN93" s="175"/>
      <c r="AO93" s="175"/>
      <c r="AP93" s="175"/>
      <c r="AQ93" s="175"/>
      <c r="AR93" s="175"/>
      <c r="AS93" s="34"/>
      <c r="AT93" s="175"/>
      <c r="AU93" s="34"/>
      <c r="AV93" s="175"/>
      <c r="AW93" s="34"/>
      <c r="AX93" s="175"/>
    </row>
    <row r="94" spans="1:50" s="41" customFormat="1" ht="15" customHeight="1">
      <c r="A94" s="44"/>
      <c r="B94" s="106" t="s">
        <v>583</v>
      </c>
      <c r="C94" s="17"/>
      <c r="D94" s="208"/>
      <c r="E94" s="208"/>
      <c r="F94" s="208"/>
      <c r="G94" s="208"/>
      <c r="H94" s="216"/>
      <c r="I94" s="248"/>
      <c r="J94" s="249"/>
      <c r="K94" s="249"/>
      <c r="L94" s="249"/>
      <c r="M94" s="249"/>
      <c r="N94" s="250"/>
      <c r="O94" s="250"/>
      <c r="P94" s="249"/>
      <c r="Q94" s="249"/>
      <c r="R94" s="249"/>
      <c r="S94" s="249"/>
      <c r="T94" s="250"/>
      <c r="U94" s="250"/>
      <c r="V94" s="249"/>
      <c r="W94" s="249"/>
      <c r="X94" s="249"/>
      <c r="Y94" s="249"/>
      <c r="Z94" s="250"/>
      <c r="AA94" s="250"/>
      <c r="AB94" s="251"/>
      <c r="AC94" s="251"/>
      <c r="AD94" s="251"/>
      <c r="AE94" s="251"/>
      <c r="AF94" s="250"/>
      <c r="AG94" s="252"/>
      <c r="AH94" s="253"/>
      <c r="AI94" s="253"/>
      <c r="AJ94" s="253"/>
      <c r="AK94" s="253"/>
      <c r="AL94" s="250"/>
      <c r="AM94" s="254"/>
      <c r="AN94" s="253"/>
      <c r="AO94" s="253"/>
      <c r="AP94" s="253"/>
      <c r="AQ94" s="253"/>
      <c r="AR94" s="250"/>
      <c r="AS94" s="254"/>
      <c r="AT94" s="250"/>
      <c r="AU94" s="254"/>
      <c r="AV94" s="250"/>
      <c r="AW94" s="255"/>
      <c r="AX94" s="255"/>
    </row>
    <row r="95" spans="1:50" s="113" customFormat="1" ht="15" customHeight="1">
      <c r="B95" s="114"/>
      <c r="C95" s="115"/>
      <c r="D95" s="208"/>
      <c r="E95" s="208"/>
      <c r="F95" s="208"/>
      <c r="G95" s="208"/>
      <c r="H95" s="216"/>
      <c r="I95" s="256"/>
      <c r="J95" s="249"/>
      <c r="K95" s="249"/>
      <c r="L95" s="249"/>
      <c r="M95" s="249"/>
      <c r="N95" s="250"/>
      <c r="O95" s="256"/>
      <c r="P95" s="249"/>
      <c r="Q95" s="249"/>
      <c r="R95" s="249"/>
      <c r="S95" s="249"/>
      <c r="T95" s="250"/>
      <c r="U95" s="256"/>
      <c r="V95" s="249"/>
      <c r="W95" s="249"/>
      <c r="X95" s="249"/>
      <c r="Y95" s="249"/>
      <c r="Z95" s="250"/>
      <c r="AA95" s="257"/>
      <c r="AB95" s="251"/>
      <c r="AC95" s="251"/>
      <c r="AD95" s="251"/>
      <c r="AE95" s="251"/>
      <c r="AF95" s="250"/>
      <c r="AG95" s="258"/>
      <c r="AH95" s="259"/>
      <c r="AI95" s="259"/>
      <c r="AJ95" s="259"/>
      <c r="AK95" s="259"/>
      <c r="AL95" s="250"/>
      <c r="AM95" s="260"/>
      <c r="AN95" s="259"/>
      <c r="AO95" s="259"/>
      <c r="AP95" s="259"/>
      <c r="AQ95" s="259"/>
      <c r="AR95" s="250"/>
      <c r="AS95" s="260"/>
      <c r="AT95" s="250"/>
      <c r="AU95" s="260"/>
      <c r="AV95" s="250"/>
      <c r="AW95" s="261"/>
      <c r="AX95" s="261"/>
    </row>
    <row r="96" spans="1:50" s="41" customFormat="1" ht="15" customHeight="1">
      <c r="A96" s="44" t="s">
        <v>33</v>
      </c>
      <c r="B96" s="114" t="s">
        <v>584</v>
      </c>
      <c r="C96" s="17"/>
      <c r="D96" s="208"/>
      <c r="E96" s="208"/>
      <c r="F96" s="208"/>
      <c r="G96" s="208"/>
      <c r="H96" s="220"/>
      <c r="I96" s="248"/>
      <c r="J96" s="262"/>
      <c r="K96" s="262"/>
      <c r="L96" s="262"/>
      <c r="M96" s="262"/>
      <c r="N96" s="250"/>
      <c r="O96" s="248"/>
      <c r="P96" s="262"/>
      <c r="Q96" s="262"/>
      <c r="R96" s="262"/>
      <c r="S96" s="262"/>
      <c r="T96" s="250"/>
      <c r="U96" s="248"/>
      <c r="V96" s="262"/>
      <c r="W96" s="262"/>
      <c r="X96" s="262"/>
      <c r="Y96" s="262"/>
      <c r="Z96" s="250"/>
      <c r="AA96" s="263"/>
      <c r="AB96" s="264"/>
      <c r="AC96" s="264"/>
      <c r="AD96" s="264"/>
      <c r="AE96" s="264"/>
      <c r="AF96" s="250"/>
      <c r="AG96" s="265"/>
      <c r="AH96" s="266"/>
      <c r="AI96" s="266"/>
      <c r="AJ96" s="266"/>
      <c r="AK96" s="266"/>
      <c r="AL96" s="250"/>
      <c r="AM96" s="267"/>
      <c r="AN96" s="266"/>
      <c r="AO96" s="266"/>
      <c r="AP96" s="266"/>
      <c r="AQ96" s="266"/>
      <c r="AR96" s="250"/>
      <c r="AS96" s="267"/>
      <c r="AT96" s="250"/>
      <c r="AU96" s="267"/>
      <c r="AV96" s="250"/>
      <c r="AW96" s="255"/>
      <c r="AX96" s="255"/>
    </row>
    <row r="97" spans="1:50" s="41" customFormat="1" ht="15" customHeight="1">
      <c r="A97" s="44"/>
      <c r="B97" s="127" t="s">
        <v>585</v>
      </c>
      <c r="C97" s="17"/>
      <c r="D97" s="208" t="str">
        <f>IF(ROUND(BS!D15,0)=ROUND(SUM(BS!D16:D17),0),"OK","ERROR")</f>
        <v>OK</v>
      </c>
      <c r="E97" s="208" t="str">
        <f>IF(ROUND(BS!E15,0)=ROUND(SUM(BS!E16:E17),0),"OK","ERROR")</f>
        <v>OK</v>
      </c>
      <c r="F97" s="208" t="str">
        <f>IF(ROUND(BS!F15,0)=ROUND(SUM(BS!F16:F17),0),"OK","ERROR")</f>
        <v>OK</v>
      </c>
      <c r="G97" s="208" t="str">
        <f>IF(ROUND(BS!G15,0)=ROUND(SUM(BS!G16:G17),0),"OK","ERROR")</f>
        <v>OK</v>
      </c>
      <c r="H97" s="220" t="str">
        <f>IF(ROUND(BS!H15,0)=ROUND(SUM(BS!H16:H17),0),"OK","ERROR")</f>
        <v>OK</v>
      </c>
      <c r="I97" s="248"/>
      <c r="J97" s="208" t="str">
        <f>IF(ROUND(BS!J15,0)=ROUND(SUM(BS!J16:J17),0),"OK","ERROR")</f>
        <v>OK</v>
      </c>
      <c r="K97" s="208" t="str">
        <f>IF(ROUND(BS!K15,0)=ROUND(SUM(BS!K16:K17),0),"OK","ERROR")</f>
        <v>OK</v>
      </c>
      <c r="L97" s="208" t="str">
        <f>IF(ROUND(BS!L15,0)=ROUND(SUM(BS!L16:L17),0),"OK","ERROR")</f>
        <v>OK</v>
      </c>
      <c r="M97" s="208" t="str">
        <f>IF(ROUND(BS!M15,0)=ROUND(SUM(BS!M16:M17),0),"OK","ERROR")</f>
        <v>OK</v>
      </c>
      <c r="N97" s="220" t="str">
        <f>IF(ROUND(BS!N15,0)=ROUND(SUM(BS!N16:N17),0),"OK","ERROR")</f>
        <v>OK</v>
      </c>
      <c r="O97" s="248"/>
      <c r="P97" s="208" t="str">
        <f>IF(ROUND(BS!P15,0)=ROUND(SUM(BS!P16:P17),0),"OK","ERROR")</f>
        <v>OK</v>
      </c>
      <c r="Q97" s="208" t="str">
        <f>IF(ROUND(BS!Q15,0)=ROUND(SUM(BS!Q16:Q17),0),"OK","ERROR")</f>
        <v>OK</v>
      </c>
      <c r="R97" s="208" t="str">
        <f>IF(ROUND(BS!R15,0)=ROUND(SUM(BS!R16:R17),0),"OK","ERROR")</f>
        <v>OK</v>
      </c>
      <c r="S97" s="208" t="str">
        <f>IF(ROUND(BS!S15,0)=ROUND(SUM(BS!S16:S17),0),"OK","ERROR")</f>
        <v>OK</v>
      </c>
      <c r="T97" s="220" t="str">
        <f>IF(ROUND(BS!T15,0)=ROUND(SUM(BS!T16:T17),0),"OK","ERROR")</f>
        <v>OK</v>
      </c>
      <c r="U97" s="248"/>
      <c r="V97" s="208" t="str">
        <f>IF(ROUND(BS!V15,0)=ROUND(SUM(BS!V16:V17),0),"OK","ERROR")</f>
        <v>OK</v>
      </c>
      <c r="W97" s="208" t="str">
        <f>IF(ROUND(BS!W15,0)=ROUND(SUM(BS!W16:W17),0),"OK","ERROR")</f>
        <v>OK</v>
      </c>
      <c r="X97" s="208" t="str">
        <f>IF(ROUND(BS!X15,0)=ROUND(SUM(BS!X16:X17),0),"OK","ERROR")</f>
        <v>OK</v>
      </c>
      <c r="Y97" s="208" t="str">
        <f>IF(ROUND(BS!Y15,0)=ROUND(SUM(BS!Y16:Y17),0),"OK","ERROR")</f>
        <v>OK</v>
      </c>
      <c r="Z97" s="220" t="str">
        <f>IF(ROUND(BS!Z15,0)=ROUND(SUM(BS!Z16:Z17),0),"OK","ERROR")</f>
        <v>OK</v>
      </c>
      <c r="AA97" s="263"/>
      <c r="AB97" s="208" t="str">
        <f>IF(ROUND(BS!AB15,0)=ROUND(SUM(BS!AB16:AB17),0),"OK","ERROR")</f>
        <v>OK</v>
      </c>
      <c r="AC97" s="208" t="str">
        <f>IF(ROUND(BS!AC15,0)=ROUND(SUM(BS!AC16:AC17),0),"OK","ERROR")</f>
        <v>OK</v>
      </c>
      <c r="AD97" s="208" t="str">
        <f>IF(ROUND(BS!AD15,0)=ROUND(SUM(BS!AD16:AD17),0),"OK","ERROR")</f>
        <v>OK</v>
      </c>
      <c r="AE97" s="208" t="str">
        <f>IF(ROUND(BS!AE15,0)=ROUND(SUM(BS!AE16:AE17),0),"OK","ERROR")</f>
        <v>OK</v>
      </c>
      <c r="AF97" s="220" t="str">
        <f>IF(ROUND(BS!AF15,0)=ROUND(SUM(BS!AF16:AF17),0),"OK","ERROR")</f>
        <v>OK</v>
      </c>
      <c r="AG97" s="265"/>
      <c r="AH97" s="208" t="str">
        <f>IF(ROUND(BS!AH15,0)=ROUND(SUM(BS!AH16:AH17),0),"OK","ERROR")</f>
        <v>OK</v>
      </c>
      <c r="AI97" s="208" t="str">
        <f>IF(ROUND(BS!AI15,0)=ROUND(SUM(BS!AI16:AI17),0),"OK","ERROR")</f>
        <v>OK</v>
      </c>
      <c r="AJ97" s="208" t="str">
        <f>IF(ROUND(BS!AJ15,0)=ROUND(SUM(BS!AJ16:AJ17),0),"OK","ERROR")</f>
        <v>OK</v>
      </c>
      <c r="AK97" s="208" t="str">
        <f>IF(ROUND(BS!AK15,0)=ROUND(SUM(BS!AK16:AK17),0),"OK","ERROR")</f>
        <v>OK</v>
      </c>
      <c r="AL97" s="220" t="str">
        <f>IF(ROUND(BS!AL15,0)=ROUND(SUM(BS!AL16:AL17),0),"OK","ERROR")</f>
        <v>OK</v>
      </c>
      <c r="AM97" s="267"/>
      <c r="AN97" s="208" t="str">
        <f>IF(ROUND(BS!AN15,0)=ROUND(SUM(BS!AN16:AN17),0),"OK","ERROR")</f>
        <v>OK</v>
      </c>
      <c r="AO97" s="208" t="str">
        <f>IF(ROUND(BS!AO15,0)=ROUND(SUM(BS!AO16:AO17),0),"OK","ERROR")</f>
        <v>OK</v>
      </c>
      <c r="AP97" s="208" t="str">
        <f>IF(ROUND(BS!AP15,0)=ROUND(SUM(BS!AP16:AP17),0),"OK","ERROR")</f>
        <v>OK</v>
      </c>
      <c r="AQ97" s="208" t="str">
        <f>IF(ROUND(BS!AQ15,0)=ROUND(SUM(BS!AQ16:AQ17),0),"OK","ERROR")</f>
        <v>OK</v>
      </c>
      <c r="AR97" s="220" t="str">
        <f>IF(ROUND(BS!AR15,0)=ROUND(SUM(BS!AR16:AR17),0),"OK","ERROR")</f>
        <v>OK</v>
      </c>
      <c r="AS97" s="267"/>
      <c r="AT97" s="220" t="str">
        <f>IF(ROUND(BS!AT15,0)=ROUND(SUM(BS!AT16:AT17),0),"OK","ERROR")</f>
        <v>OK</v>
      </c>
      <c r="AU97" s="267"/>
      <c r="AV97" s="220" t="str">
        <f>IF(ROUND(BS!AV15,0)=ROUND(SUM(BS!AV16:AV17),0),"OK","ERROR")</f>
        <v>OK</v>
      </c>
      <c r="AW97" s="255"/>
      <c r="AX97" s="220" t="str">
        <f>IF(ROUND(BS!AX15,0)=ROUND(SUM(BS!AX16:AX17),0),"OK","ERROR")</f>
        <v>OK</v>
      </c>
    </row>
    <row r="98" spans="1:50" s="135" customFormat="1" ht="15" customHeight="1">
      <c r="A98" s="84"/>
      <c r="B98" s="59" t="s">
        <v>590</v>
      </c>
      <c r="C98" s="26"/>
      <c r="D98" s="217" t="str">
        <f>IF(ROUND(BS!D21,0)=ROUND(SUM(BS!D16:D20),0),"OK","ERROR")</f>
        <v>OK</v>
      </c>
      <c r="E98" s="217" t="str">
        <f>IF(ROUND(BS!E21,0)=ROUND(SUM(BS!E16:E20),0),"OK","ERROR")</f>
        <v>OK</v>
      </c>
      <c r="F98" s="217" t="str">
        <f>IF(ROUND(BS!F21,0)=ROUND(SUM(BS!F16:F20),0),"OK","ERROR")</f>
        <v>OK</v>
      </c>
      <c r="G98" s="217" t="str">
        <f>IF(ROUND(BS!G21,0)=ROUND(SUM(BS!G16:G20),0),"OK","ERROR")</f>
        <v>OK</v>
      </c>
      <c r="H98" s="227" t="str">
        <f>IF(ROUND(BS!H21,0)=ROUND(SUM(BS!H16:H20),0),"OK","ERROR")</f>
        <v>OK</v>
      </c>
      <c r="I98" s="268"/>
      <c r="J98" s="217" t="str">
        <f>IF(ROUND(BS!J21,0)=ROUND(SUM(BS!J16:J20),0),"OK","ERROR")</f>
        <v>OK</v>
      </c>
      <c r="K98" s="217" t="str">
        <f>IF(ROUND(BS!K21,0)=ROUND(SUM(BS!K16:K20),0),"OK","ERROR")</f>
        <v>OK</v>
      </c>
      <c r="L98" s="217" t="str">
        <f>IF(ROUND(BS!L21,0)=ROUND(SUM(BS!L16:L20),0),"OK","ERROR")</f>
        <v>OK</v>
      </c>
      <c r="M98" s="217" t="str">
        <f>IF(ROUND(BS!M21,0)=ROUND(SUM(BS!M16:M20),0),"OK","ERROR")</f>
        <v>OK</v>
      </c>
      <c r="N98" s="227" t="str">
        <f>IF(ROUND(BS!N21,0)=ROUND(SUM(BS!N16:N20),0),"OK","ERROR")</f>
        <v>OK</v>
      </c>
      <c r="O98" s="268"/>
      <c r="P98" s="217" t="str">
        <f>IF(ROUND(BS!P21,0)=ROUND(SUM(BS!P16:P20),0),"OK","ERROR")</f>
        <v>OK</v>
      </c>
      <c r="Q98" s="217" t="str">
        <f>IF(ROUND(BS!Q21,0)=ROUND(SUM(BS!Q16:Q20),0),"OK","ERROR")</f>
        <v>OK</v>
      </c>
      <c r="R98" s="217" t="str">
        <f>IF(ROUND(BS!R21,0)=ROUND(SUM(BS!R16:R20),0),"OK","ERROR")</f>
        <v>OK</v>
      </c>
      <c r="S98" s="217" t="str">
        <f>IF(ROUND(BS!S21,0)=ROUND(SUM(BS!S16:S20),0),"OK","ERROR")</f>
        <v>OK</v>
      </c>
      <c r="T98" s="227" t="str">
        <f>IF(ROUND(BS!T21,0)=ROUND(SUM(BS!T16:T20),0),"OK","ERROR")</f>
        <v>OK</v>
      </c>
      <c r="U98" s="268"/>
      <c r="V98" s="217" t="str">
        <f>IF(ROUND(BS!V21,0)=ROUND(SUM(BS!V16:V20),0),"OK","ERROR")</f>
        <v>OK</v>
      </c>
      <c r="W98" s="217" t="str">
        <f>IF(ROUND(BS!W21,0)=ROUND(SUM(BS!W16:W20),0),"OK","ERROR")</f>
        <v>OK</v>
      </c>
      <c r="X98" s="217" t="str">
        <f>IF(ROUND(BS!X21,0)=ROUND(SUM(BS!X16:X20),0),"OK","ERROR")</f>
        <v>OK</v>
      </c>
      <c r="Y98" s="217" t="str">
        <f>IF(ROUND(BS!Y21,0)=ROUND(SUM(BS!Y16:Y20),0),"OK","ERROR")</f>
        <v>OK</v>
      </c>
      <c r="Z98" s="227" t="str">
        <f>IF(ROUND(BS!Z21,0)=ROUND(SUM(BS!Z16:Z20),0),"OK","ERROR")</f>
        <v>OK</v>
      </c>
      <c r="AA98" s="269"/>
      <c r="AB98" s="217" t="str">
        <f>IF(ROUND(BS!AB21,0)=ROUND(SUM(BS!AB16:AB20),0),"OK","ERROR")</f>
        <v>OK</v>
      </c>
      <c r="AC98" s="217" t="str">
        <f>IF(ROUND(BS!AC21,0)=ROUND(SUM(BS!AC16:AC20),0),"OK","ERROR")</f>
        <v>OK</v>
      </c>
      <c r="AD98" s="217" t="str">
        <f>IF(ROUND(BS!AD21,0)=ROUND(SUM(BS!AD16:AD20),0),"OK","ERROR")</f>
        <v>OK</v>
      </c>
      <c r="AE98" s="217" t="str">
        <f>IF(ROUND(BS!AE21,0)=ROUND(SUM(BS!AE16:AE20),0),"OK","ERROR")</f>
        <v>OK</v>
      </c>
      <c r="AF98" s="227" t="str">
        <f>IF(ROUND(BS!AF21,0)=ROUND(SUM(BS!AF16:AF20),0),"OK","ERROR")</f>
        <v>OK</v>
      </c>
      <c r="AG98" s="270"/>
      <c r="AH98" s="217" t="str">
        <f>IF(ROUND(BS!AH21,0)=ROUND(SUM(BS!AH16:AH20),0),"OK","ERROR")</f>
        <v>OK</v>
      </c>
      <c r="AI98" s="217" t="str">
        <f>IF(ROUND(BS!AI21,0)=ROUND(SUM(BS!AI16:AI20),0),"OK","ERROR")</f>
        <v>OK</v>
      </c>
      <c r="AJ98" s="217" t="str">
        <f>IF(ROUND(BS!AJ21,0)=ROUND(SUM(BS!AJ16:AJ20),0),"OK","ERROR")</f>
        <v>OK</v>
      </c>
      <c r="AK98" s="217" t="str">
        <f>IF(ROUND(BS!AK21,0)=ROUND(SUM(BS!AK16:AK20),0),"OK","ERROR")</f>
        <v>OK</v>
      </c>
      <c r="AL98" s="227" t="str">
        <f>IF(ROUND(BS!AL21,0)=ROUND(SUM(BS!AL16:AL20),0),"OK","ERROR")</f>
        <v>OK</v>
      </c>
      <c r="AM98" s="271"/>
      <c r="AN98" s="217" t="str">
        <f>IF(ROUND(BS!AN21,0)=ROUND(SUM(BS!AN16:AN20),0),"OK","ERROR")</f>
        <v>OK</v>
      </c>
      <c r="AO98" s="217" t="str">
        <f>IF(ROUND(BS!AO21,0)=ROUND(SUM(BS!AO16:AO20),0),"OK","ERROR")</f>
        <v>OK</v>
      </c>
      <c r="AP98" s="217" t="str">
        <f>IF(ROUND(BS!AP21,0)=ROUND(SUM(BS!AP16:AP20),0),"OK","ERROR")</f>
        <v>OK</v>
      </c>
      <c r="AQ98" s="217" t="str">
        <f>IF(ROUND(BS!AQ21,0)=ROUND(SUM(BS!AQ16:AQ20),0),"OK","ERROR")</f>
        <v>OK</v>
      </c>
      <c r="AR98" s="227" t="str">
        <f>IF(ROUND(BS!AR21,0)=ROUND(SUM(BS!AR16:AR20),0),"OK","ERROR")</f>
        <v>OK</v>
      </c>
      <c r="AS98" s="271"/>
      <c r="AT98" s="227" t="str">
        <f>IF(ROUND(BS!AT21,0)=ROUND(SUM(BS!AT16:AT20),0),"OK","ERROR")</f>
        <v>OK</v>
      </c>
      <c r="AU98" s="271"/>
      <c r="AV98" s="227" t="str">
        <f>IF(ROUND(BS!AV21,0)=ROUND(SUM(BS!AV16:AV20),0),"OK","ERROR")</f>
        <v>OK</v>
      </c>
      <c r="AW98" s="272"/>
      <c r="AX98" s="227" t="str">
        <f>IF(ROUND(BS!AX21,0)=ROUND(SUM(BS!AX16:AX20),0),"OK","ERROR")</f>
        <v>OK</v>
      </c>
    </row>
    <row r="99" spans="1:50" s="41" customFormat="1" ht="15" customHeight="1">
      <c r="A99" s="43"/>
      <c r="B99" s="136"/>
      <c r="C99" s="17"/>
      <c r="D99" s="208"/>
      <c r="E99" s="208"/>
      <c r="F99" s="208"/>
      <c r="G99" s="208"/>
      <c r="H99" s="220"/>
      <c r="I99" s="248"/>
      <c r="J99" s="208"/>
      <c r="K99" s="208"/>
      <c r="L99" s="208"/>
      <c r="M99" s="208"/>
      <c r="N99" s="220"/>
      <c r="O99" s="248"/>
      <c r="P99" s="208"/>
      <c r="Q99" s="208"/>
      <c r="R99" s="208"/>
      <c r="S99" s="208"/>
      <c r="T99" s="220"/>
      <c r="U99" s="248"/>
      <c r="V99" s="208"/>
      <c r="W99" s="208"/>
      <c r="X99" s="208"/>
      <c r="Y99" s="208"/>
      <c r="Z99" s="220"/>
      <c r="AA99" s="263"/>
      <c r="AB99" s="208"/>
      <c r="AC99" s="208"/>
      <c r="AD99" s="208"/>
      <c r="AE99" s="208"/>
      <c r="AF99" s="220"/>
      <c r="AG99" s="265"/>
      <c r="AH99" s="208"/>
      <c r="AI99" s="208"/>
      <c r="AJ99" s="208"/>
      <c r="AK99" s="208"/>
      <c r="AL99" s="220"/>
      <c r="AM99" s="267"/>
      <c r="AN99" s="208"/>
      <c r="AO99" s="208"/>
      <c r="AP99" s="208"/>
      <c r="AQ99" s="208"/>
      <c r="AR99" s="220"/>
      <c r="AS99" s="267"/>
      <c r="AT99" s="220"/>
      <c r="AU99" s="267"/>
      <c r="AV99" s="220"/>
      <c r="AW99" s="255"/>
      <c r="AX99" s="220"/>
    </row>
    <row r="100" spans="1:50" s="113" customFormat="1" ht="15" customHeight="1">
      <c r="A100" s="44" t="s">
        <v>33</v>
      </c>
      <c r="B100" s="45" t="s">
        <v>591</v>
      </c>
      <c r="C100" s="115"/>
      <c r="D100" s="208"/>
      <c r="E100" s="208"/>
      <c r="F100" s="208"/>
      <c r="G100" s="208"/>
      <c r="H100" s="220"/>
      <c r="I100" s="256"/>
      <c r="J100" s="208"/>
      <c r="K100" s="208"/>
      <c r="L100" s="208"/>
      <c r="M100" s="208"/>
      <c r="N100" s="220"/>
      <c r="O100" s="256"/>
      <c r="P100" s="208"/>
      <c r="Q100" s="208"/>
      <c r="R100" s="208"/>
      <c r="S100" s="208"/>
      <c r="T100" s="220"/>
      <c r="U100" s="256"/>
      <c r="V100" s="208"/>
      <c r="W100" s="208"/>
      <c r="X100" s="208"/>
      <c r="Y100" s="208"/>
      <c r="Z100" s="220"/>
      <c r="AA100" s="273"/>
      <c r="AB100" s="208"/>
      <c r="AC100" s="208"/>
      <c r="AD100" s="208"/>
      <c r="AE100" s="208"/>
      <c r="AF100" s="220"/>
      <c r="AG100" s="274"/>
      <c r="AH100" s="208"/>
      <c r="AI100" s="208"/>
      <c r="AJ100" s="208"/>
      <c r="AK100" s="208"/>
      <c r="AL100" s="220"/>
      <c r="AM100" s="273"/>
      <c r="AN100" s="208"/>
      <c r="AO100" s="208"/>
      <c r="AP100" s="208"/>
      <c r="AQ100" s="208"/>
      <c r="AR100" s="220"/>
      <c r="AS100" s="273"/>
      <c r="AT100" s="220"/>
      <c r="AU100" s="273"/>
      <c r="AV100" s="220"/>
      <c r="AW100" s="261"/>
      <c r="AX100" s="220"/>
    </row>
    <row r="101" spans="1:50" s="113" customFormat="1" ht="15" customHeight="1">
      <c r="A101" s="44"/>
      <c r="B101" s="127" t="s">
        <v>411</v>
      </c>
      <c r="C101" s="115"/>
      <c r="D101" s="208" t="str">
        <f>IF(ROUND(BS!D24,0)=ROUND(BS!D25-BS!D26,0),"OK","ERROR")</f>
        <v>ERROR</v>
      </c>
      <c r="E101" s="208" t="str">
        <f>IF(ROUND(BS!E24,0)=ROUND(BS!E25-BS!E26,0),"OK","ERROR")</f>
        <v>ERROR</v>
      </c>
      <c r="F101" s="208" t="str">
        <f>IF(ROUND(BS!F24,0)=ROUND(BS!F25-BS!F26,0),"OK","ERROR")</f>
        <v>ERROR</v>
      </c>
      <c r="G101" s="208" t="str">
        <f>IF(ROUND(BS!G24,0)=ROUND(BS!G25-BS!G26,0),"OK","ERROR")</f>
        <v>OK</v>
      </c>
      <c r="H101" s="220" t="str">
        <f>IF(ROUND(BS!H24,0)=ROUND(BS!H25-BS!H26,0),"OK","ERROR")</f>
        <v>OK</v>
      </c>
      <c r="I101" s="256"/>
      <c r="J101" s="208" t="str">
        <f>IF(ROUND(BS!J24,0)=ROUND(BS!J25-BS!J26,0),"OK","ERROR")</f>
        <v>ERROR</v>
      </c>
      <c r="K101" s="208" t="str">
        <f>IF(ROUND(BS!K24,0)=ROUND(BS!K25-BS!K26,0),"OK","ERROR")</f>
        <v>ERROR</v>
      </c>
      <c r="L101" s="208" t="str">
        <f>IF(ROUND(BS!L24,0)=ROUND(BS!L25-BS!L26,0),"OK","ERROR")</f>
        <v>ERROR</v>
      </c>
      <c r="M101" s="208" t="str">
        <f>IF(ROUND(BS!M24,0)=ROUND(BS!M25-BS!M26,0),"OK","ERROR")</f>
        <v>OK</v>
      </c>
      <c r="N101" s="220" t="str">
        <f>IF(ROUND(BS!N24,0)=ROUND(BS!N25-BS!N26,0),"OK","ERROR")</f>
        <v>OK</v>
      </c>
      <c r="O101" s="256"/>
      <c r="P101" s="208" t="str">
        <f>IF(ROUND(BS!P24,0)=ROUND(BS!P25-BS!P26,0),"OK","ERROR")</f>
        <v>ERROR</v>
      </c>
      <c r="Q101" s="208" t="str">
        <f>IF(ROUND(BS!Q24,0)=ROUND(BS!Q25-BS!Q26,0),"OK","ERROR")</f>
        <v>ERROR</v>
      </c>
      <c r="R101" s="208" t="str">
        <f>IF(ROUND(BS!R24,0)=ROUND(BS!R25-BS!R26,0),"OK","ERROR")</f>
        <v>ERROR</v>
      </c>
      <c r="S101" s="208" t="str">
        <f>IF(ROUND(BS!S24,0)=ROUND(BS!S25-BS!S26,0),"OK","ERROR")</f>
        <v>OK</v>
      </c>
      <c r="T101" s="220" t="str">
        <f>IF(ROUND(BS!T24,0)=ROUND(BS!T25-BS!T26,0),"OK","ERROR")</f>
        <v>OK</v>
      </c>
      <c r="U101" s="256"/>
      <c r="V101" s="208" t="str">
        <f>IF(ROUND(BS!V24,0)=ROUND(BS!V25-BS!V26,0),"OK","ERROR")</f>
        <v>ERROR</v>
      </c>
      <c r="W101" s="208" t="str">
        <f>IF(ROUND(BS!W24,0)=ROUND(BS!W25-BS!W26,0),"OK","ERROR")</f>
        <v>ERROR</v>
      </c>
      <c r="X101" s="208" t="str">
        <f>IF(ROUND(BS!X24,0)=ROUND(BS!X25-BS!X26,0),"OK","ERROR")</f>
        <v>ERROR</v>
      </c>
      <c r="Y101" s="208" t="str">
        <f>IF(ROUND(BS!Y24,0)=ROUND(BS!Y25-BS!Y26,0),"OK","ERROR")</f>
        <v>OK</v>
      </c>
      <c r="Z101" s="220" t="str">
        <f>IF(ROUND(BS!Z24,0)=ROUND(BS!Z25-BS!Z26,0),"OK","ERROR")</f>
        <v>OK</v>
      </c>
      <c r="AA101" s="273"/>
      <c r="AB101" s="208" t="str">
        <f>IF(ROUND(BS!AB24,0)=ROUND(BS!AB25-BS!AB26,0),"OK","ERROR")</f>
        <v>ERROR</v>
      </c>
      <c r="AC101" s="208" t="str">
        <f>IF(ROUND(BS!AC24,0)=ROUND(BS!AC25-BS!AC26,0),"OK","ERROR")</f>
        <v>ERROR</v>
      </c>
      <c r="AD101" s="208" t="str">
        <f>IF(ROUND(BS!AD24,0)=ROUND(BS!AD25-BS!AD26,0),"OK","ERROR")</f>
        <v>ERROR</v>
      </c>
      <c r="AE101" s="208" t="str">
        <f>IF(ROUND(BS!AE24,0)=ROUND(BS!AE25-BS!AE26,0),"OK","ERROR")</f>
        <v>OK</v>
      </c>
      <c r="AF101" s="220" t="str">
        <f>IF(ROUND(BS!AF24,0)=ROUND(BS!AF25-BS!AF26,0),"OK","ERROR")</f>
        <v>OK</v>
      </c>
      <c r="AG101" s="274"/>
      <c r="AH101" s="208" t="str">
        <f>IF(ROUND(BS!AH24,0)=ROUND(BS!AH25-BS!AH26,0),"OK","ERROR")</f>
        <v>ERROR</v>
      </c>
      <c r="AI101" s="208" t="str">
        <f>IF(ROUND(BS!AI24,0)=ROUND(BS!AI25-BS!AI26,0),"OK","ERROR")</f>
        <v>ERROR</v>
      </c>
      <c r="AJ101" s="208" t="str">
        <f>IF(ROUND(BS!AJ24,0)=ROUND(BS!AJ25-BS!AJ26,0),"OK","ERROR")</f>
        <v>ERROR</v>
      </c>
      <c r="AK101" s="208" t="str">
        <f>IF(ROUND(BS!AK24,0)=ROUND(BS!AK25-BS!AK26,0),"OK","ERROR")</f>
        <v>ERROR</v>
      </c>
      <c r="AL101" s="220" t="str">
        <f>IF(ROUND(BS!AL24,0)=ROUND(BS!AL25-BS!AL26,0),"OK","ERROR")</f>
        <v>ERROR</v>
      </c>
      <c r="AM101" s="273"/>
      <c r="AN101" s="208" t="str">
        <f>IF(ROUND(BS!AN24,0)=ROUND(BS!AN25-BS!AN26,0),"OK","ERROR")</f>
        <v>ERROR</v>
      </c>
      <c r="AO101" s="208" t="str">
        <f>IF(ROUND(BS!AO24,0)=ROUND(BS!AO25-BS!AO26,0),"OK","ERROR")</f>
        <v>ERROR</v>
      </c>
      <c r="AP101" s="208" t="str">
        <f>IF(ROUND(BS!AP24,0)=ROUND(BS!AP25-BS!AP26,0),"OK","ERROR")</f>
        <v>ERROR</v>
      </c>
      <c r="AQ101" s="208" t="str">
        <f>IF(ROUND(BS!AQ24,0)=ROUND(BS!AQ25-BS!AQ26,0),"OK","ERROR")</f>
        <v>ERROR</v>
      </c>
      <c r="AR101" s="220" t="str">
        <f>IF(ROUND(BS!AR24,0)=ROUND(BS!AR25-BS!AR26,0),"OK","ERROR")</f>
        <v>ERROR</v>
      </c>
      <c r="AS101" s="273"/>
      <c r="AT101" s="220" t="str">
        <f>IF(ROUND(BS!AT24,0)=ROUND(BS!AT25-BS!AT26,0),"OK","ERROR")</f>
        <v>ERROR</v>
      </c>
      <c r="AU101" s="273"/>
      <c r="AV101" s="220" t="str">
        <f>IF(ROUND(BS!AV24,0)=ROUND(BS!AV25-BS!AV26,0),"OK","ERROR")</f>
        <v>ERROR</v>
      </c>
      <c r="AW101" s="261"/>
      <c r="AX101" s="220" t="str">
        <f>IF(ROUND(BS!AX24,0)=ROUND(BS!AX25-BS!AX26,0),"OK","ERROR")</f>
        <v>OK</v>
      </c>
    </row>
    <row r="102" spans="1:50" s="113" customFormat="1" ht="15" customHeight="1">
      <c r="A102" s="44"/>
      <c r="B102" s="127" t="s">
        <v>413</v>
      </c>
      <c r="C102" s="115"/>
      <c r="D102" s="208" t="str">
        <f>IF(ROUND(BS!D27,0)=ROUND(SUM(BS!D27:D29),0),"OK","ERROR")</f>
        <v>ERROR</v>
      </c>
      <c r="E102" s="208" t="str">
        <f>IF(ROUND(BS!E27,0)=ROUND(SUM(BS!E27:E29),0),"OK","ERROR")</f>
        <v>ERROR</v>
      </c>
      <c r="F102" s="208" t="str">
        <f>IF(ROUND(BS!F27,0)=ROUND(SUM(BS!F27:F29),0),"OK","ERROR")</f>
        <v>ERROR</v>
      </c>
      <c r="G102" s="208" t="str">
        <f>IF(ROUND(BS!G27,0)=ROUND(SUM(BS!G27:G29),0),"OK","ERROR")</f>
        <v>ERROR</v>
      </c>
      <c r="H102" s="220" t="str">
        <f>IF(ROUND(BS!H27,0)=ROUND(SUM(BS!H27:H29),0),"OK","ERROR")</f>
        <v>ERROR</v>
      </c>
      <c r="I102" s="256"/>
      <c r="J102" s="208" t="str">
        <f>IF(ROUND(BS!J27,0)=ROUND(SUM(BS!J27:J29),0),"OK","ERROR")</f>
        <v>ERROR</v>
      </c>
      <c r="K102" s="208" t="str">
        <f>IF(ROUND(BS!K27,0)=ROUND(SUM(BS!K27:K29),0),"OK","ERROR")</f>
        <v>ERROR</v>
      </c>
      <c r="L102" s="208" t="str">
        <f>IF(ROUND(BS!L27,0)=ROUND(SUM(BS!L27:L29),0),"OK","ERROR")</f>
        <v>ERROR</v>
      </c>
      <c r="M102" s="208" t="str">
        <f>IF(ROUND(BS!M27,0)=ROUND(SUM(BS!M27:M29),0),"OK","ERROR")</f>
        <v>ERROR</v>
      </c>
      <c r="N102" s="220" t="str">
        <f>IF(ROUND(BS!N27,0)=ROUND(SUM(BS!N27:N29),0),"OK","ERROR")</f>
        <v>ERROR</v>
      </c>
      <c r="O102" s="256"/>
      <c r="P102" s="208" t="str">
        <f>IF(ROUND(BS!P27,0)=ROUND(SUM(BS!P27:P29),0),"OK","ERROR")</f>
        <v>ERROR</v>
      </c>
      <c r="Q102" s="208" t="str">
        <f>IF(ROUND(BS!Q27,0)=ROUND(SUM(BS!Q27:Q29),0),"OK","ERROR")</f>
        <v>ERROR</v>
      </c>
      <c r="R102" s="208" t="str">
        <f>IF(ROUND(BS!R27,0)=ROUND(SUM(BS!R27:R29),0),"OK","ERROR")</f>
        <v>ERROR</v>
      </c>
      <c r="S102" s="208" t="str">
        <f>IF(ROUND(BS!S27,0)=ROUND(SUM(BS!S27:S29),0),"OK","ERROR")</f>
        <v>ERROR</v>
      </c>
      <c r="T102" s="220" t="str">
        <f>IF(ROUND(BS!T27,0)=ROUND(SUM(BS!T27:T29),0),"OK","ERROR")</f>
        <v>ERROR</v>
      </c>
      <c r="U102" s="256"/>
      <c r="V102" s="208" t="str">
        <f>IF(ROUND(BS!V27,0)=ROUND(SUM(BS!V27:V29),0),"OK","ERROR")</f>
        <v>ERROR</v>
      </c>
      <c r="W102" s="208" t="str">
        <f>IF(ROUND(BS!W27,0)=ROUND(SUM(BS!W27:W29),0),"OK","ERROR")</f>
        <v>ERROR</v>
      </c>
      <c r="X102" s="208" t="str">
        <f>IF(ROUND(BS!X27,0)=ROUND(SUM(BS!X27:X29),0),"OK","ERROR")</f>
        <v>ERROR</v>
      </c>
      <c r="Y102" s="208" t="str">
        <f>IF(ROUND(BS!Y27,0)=ROUND(SUM(BS!Y27:Y29),0),"OK","ERROR")</f>
        <v>ERROR</v>
      </c>
      <c r="Z102" s="220" t="str">
        <f>IF(ROUND(BS!Z27,0)=ROUND(SUM(BS!Z27:Z29),0),"OK","ERROR")</f>
        <v>ERROR</v>
      </c>
      <c r="AA102" s="273"/>
      <c r="AB102" s="208" t="str">
        <f>IF(ROUND(BS!AB27,0)=ROUND(SUM(BS!AB27:AB29),0),"OK","ERROR")</f>
        <v>ERROR</v>
      </c>
      <c r="AC102" s="208" t="str">
        <f>IF(ROUND(BS!AC27,0)=ROUND(SUM(BS!AC27:AC29),0),"OK","ERROR")</f>
        <v>ERROR</v>
      </c>
      <c r="AD102" s="208" t="str">
        <f>IF(ROUND(BS!AD27,0)=ROUND(SUM(BS!AD27:AD29),0),"OK","ERROR")</f>
        <v>ERROR</v>
      </c>
      <c r="AE102" s="208" t="str">
        <f>IF(ROUND(BS!AE27,0)=ROUND(SUM(BS!AE27:AE29),0),"OK","ERROR")</f>
        <v>ERROR</v>
      </c>
      <c r="AF102" s="220" t="str">
        <f>IF(ROUND(BS!AF27,0)=ROUND(SUM(BS!AF27:AF29),0),"OK","ERROR")</f>
        <v>ERROR</v>
      </c>
      <c r="AG102" s="274"/>
      <c r="AH102" s="208" t="str">
        <f>IF(ROUND(BS!AH27,0)=ROUND(SUM(BS!AH27:AH29),0),"OK","ERROR")</f>
        <v>ERROR</v>
      </c>
      <c r="AI102" s="208" t="str">
        <f>IF(ROUND(BS!AI27,0)=ROUND(SUM(BS!AI27:AI29),0),"OK","ERROR")</f>
        <v>ERROR</v>
      </c>
      <c r="AJ102" s="208" t="str">
        <f>IF(ROUND(BS!AJ27,0)=ROUND(SUM(BS!AJ27:AJ29),0),"OK","ERROR")</f>
        <v>ERROR</v>
      </c>
      <c r="AK102" s="208" t="str">
        <f>IF(ROUND(BS!AK27,0)=ROUND(SUM(BS!AK27:AK29),0),"OK","ERROR")</f>
        <v>ERROR</v>
      </c>
      <c r="AL102" s="220" t="str">
        <f>IF(ROUND(BS!AL27,0)=ROUND(SUM(BS!AL27:AL29),0),"OK","ERROR")</f>
        <v>ERROR</v>
      </c>
      <c r="AM102" s="273"/>
      <c r="AN102" s="208" t="str">
        <f>IF(ROUND(BS!AN27,0)=ROUND(SUM(BS!AN27:AN29),0),"OK","ERROR")</f>
        <v>ERROR</v>
      </c>
      <c r="AO102" s="208" t="str">
        <f>IF(ROUND(BS!AO27,0)=ROUND(SUM(BS!AO27:AO29),0),"OK","ERROR")</f>
        <v>ERROR</v>
      </c>
      <c r="AP102" s="208" t="str">
        <f>IF(ROUND(BS!AP27,0)=ROUND(SUM(BS!AP27:AP29),0),"OK","ERROR")</f>
        <v>ERROR</v>
      </c>
      <c r="AQ102" s="208" t="str">
        <f>IF(ROUND(BS!AQ27,0)=ROUND(SUM(BS!AQ27:AQ29),0),"OK","ERROR")</f>
        <v>ERROR</v>
      </c>
      <c r="AR102" s="220" t="str">
        <f>IF(ROUND(BS!AR27,0)=ROUND(SUM(BS!AR27:AR29),0),"OK","ERROR")</f>
        <v>ERROR</v>
      </c>
      <c r="AS102" s="273"/>
      <c r="AT102" s="220" t="str">
        <f>IF(ROUND(BS!AT27,0)=ROUND(SUM(BS!AT27:AT29),0),"OK","ERROR")</f>
        <v>ERROR</v>
      </c>
      <c r="AU102" s="273"/>
      <c r="AV102" s="220" t="str">
        <f>IF(ROUND(BS!AV27,0)=ROUND(SUM(BS!AV27:AV29),0),"OK","ERROR")</f>
        <v>ERROR</v>
      </c>
      <c r="AW102" s="261"/>
      <c r="AX102" s="220" t="str">
        <f>IF(ROUND(BS!AX27,0)=ROUND(SUM(BS!AX27:AX29),0),"OK","ERROR")</f>
        <v>OK</v>
      </c>
    </row>
    <row r="103" spans="1:50" s="41" customFormat="1" ht="15" customHeight="1">
      <c r="A103" s="43"/>
      <c r="B103" s="138" t="s">
        <v>596</v>
      </c>
      <c r="C103" s="17"/>
      <c r="D103" s="217" t="str">
        <f>IF(ROUND(BS!D31,0)=ROUND(SUM(BS!D24,BS!D27,BS!D30),0),"OK","ERROR")</f>
        <v>OK</v>
      </c>
      <c r="E103" s="217" t="str">
        <f>IF(ROUND(BS!E31,0)=ROUND(SUM(BS!E24,BS!E27,BS!E30),0),"OK","ERROR")</f>
        <v>OK</v>
      </c>
      <c r="F103" s="217" t="str">
        <f>IF(ROUND(BS!F31,0)=ROUND(SUM(BS!F24,BS!F27,BS!F30),0),"OK","ERROR")</f>
        <v>OK</v>
      </c>
      <c r="G103" s="217" t="str">
        <f>IF(ROUND(BS!G31,0)=ROUND(SUM(BS!G24,BS!G27,BS!G30),0),"OK","ERROR")</f>
        <v>OK</v>
      </c>
      <c r="H103" s="226" t="str">
        <f>IF(ROUND(BS!H31,0)=ROUND(SUM(BS!H24,BS!H27,BS!H30),0),"OK","ERROR")</f>
        <v>OK</v>
      </c>
      <c r="I103" s="248"/>
      <c r="J103" s="217" t="str">
        <f>IF(ROUND(BS!J31,0)=ROUND(SUM(BS!J24,BS!J27,BS!J30),0),"OK","ERROR")</f>
        <v>OK</v>
      </c>
      <c r="K103" s="217" t="str">
        <f>IF(ROUND(BS!K31,0)=ROUND(SUM(BS!K24,BS!K27,BS!K30),0),"OK","ERROR")</f>
        <v>OK</v>
      </c>
      <c r="L103" s="217" t="str">
        <f>IF(ROUND(BS!L31,0)=ROUND(SUM(BS!L24,BS!L27,BS!L30),0),"OK","ERROR")</f>
        <v>OK</v>
      </c>
      <c r="M103" s="217" t="str">
        <f>IF(ROUND(BS!M31,0)=ROUND(SUM(BS!M24,BS!M27,BS!M30),0),"OK","ERROR")</f>
        <v>OK</v>
      </c>
      <c r="N103" s="226" t="str">
        <f>IF(ROUND(BS!N31,0)=ROUND(SUM(BS!N24,BS!N27,BS!N30),0),"OK","ERROR")</f>
        <v>OK</v>
      </c>
      <c r="O103" s="248"/>
      <c r="P103" s="217" t="str">
        <f>IF(ROUND(BS!P31,0)=ROUND(SUM(BS!P24,BS!P27,BS!P30),0),"OK","ERROR")</f>
        <v>OK</v>
      </c>
      <c r="Q103" s="217" t="str">
        <f>IF(ROUND(BS!Q31,0)=ROUND(SUM(BS!Q24,BS!Q27,BS!Q30),0),"OK","ERROR")</f>
        <v>OK</v>
      </c>
      <c r="R103" s="217" t="str">
        <f>IF(ROUND(BS!R31,0)=ROUND(SUM(BS!R24,BS!R27,BS!R30),0),"OK","ERROR")</f>
        <v>OK</v>
      </c>
      <c r="S103" s="217" t="str">
        <f>IF(ROUND(BS!S31,0)=ROUND(SUM(BS!S24,BS!S27,BS!S30),0),"OK","ERROR")</f>
        <v>OK</v>
      </c>
      <c r="T103" s="226" t="str">
        <f>IF(ROUND(BS!T31,0)=ROUND(SUM(BS!T24,BS!T27,BS!T30),0),"OK","ERROR")</f>
        <v>OK</v>
      </c>
      <c r="U103" s="248"/>
      <c r="V103" s="217" t="str">
        <f>IF(ROUND(BS!V31,0)=ROUND(SUM(BS!V24,BS!V27,BS!V30),0),"OK","ERROR")</f>
        <v>OK</v>
      </c>
      <c r="W103" s="217" t="str">
        <f>IF(ROUND(BS!W31,0)=ROUND(SUM(BS!W24,BS!W27,BS!W30),0),"OK","ERROR")</f>
        <v>OK</v>
      </c>
      <c r="X103" s="217" t="str">
        <f>IF(ROUND(BS!X31,0)=ROUND(SUM(BS!X24,BS!X27,BS!X30),0),"OK","ERROR")</f>
        <v>OK</v>
      </c>
      <c r="Y103" s="217" t="str">
        <f>IF(ROUND(BS!Y31,0)=ROUND(SUM(BS!Y24,BS!Y27,BS!Y30),0),"OK","ERROR")</f>
        <v>OK</v>
      </c>
      <c r="Z103" s="226" t="str">
        <f>IF(ROUND(BS!Z31,0)=ROUND(SUM(BS!Z24,BS!Z27,BS!Z30),0),"OK","ERROR")</f>
        <v>OK</v>
      </c>
      <c r="AA103" s="263"/>
      <c r="AB103" s="217" t="str">
        <f>IF(ROUND(BS!AB31,0)=ROUND(SUM(BS!AB24,BS!AB27,BS!AB30),0),"OK","ERROR")</f>
        <v>OK</v>
      </c>
      <c r="AC103" s="217" t="str">
        <f>IF(ROUND(BS!AC31,0)=ROUND(SUM(BS!AC24,BS!AC27,BS!AC30),0),"OK","ERROR")</f>
        <v>OK</v>
      </c>
      <c r="AD103" s="217" t="str">
        <f>IF(ROUND(BS!AD31,0)=ROUND(SUM(BS!AD24,BS!AD27,BS!AD30),0),"OK","ERROR")</f>
        <v>OK</v>
      </c>
      <c r="AE103" s="217" t="str">
        <f>IF(ROUND(BS!AE31,0)=ROUND(SUM(BS!AE24,BS!AE27,BS!AE30),0),"OK","ERROR")</f>
        <v>OK</v>
      </c>
      <c r="AF103" s="226" t="str">
        <f>IF(ROUND(BS!AF31,0)=ROUND(SUM(BS!AF24,BS!AF27,BS!AF30),0),"OK","ERROR")</f>
        <v>OK</v>
      </c>
      <c r="AG103" s="265"/>
      <c r="AH103" s="217" t="str">
        <f>IF(ROUND(BS!AH31,0)=ROUND(SUM(BS!AH24,BS!AH27,BS!AH30),0),"OK","ERROR")</f>
        <v>OK</v>
      </c>
      <c r="AI103" s="217" t="str">
        <f>IF(ROUND(BS!AI31,0)=ROUND(SUM(BS!AI24,BS!AI27,BS!AI30),0),"OK","ERROR")</f>
        <v>OK</v>
      </c>
      <c r="AJ103" s="217" t="str">
        <f>IF(ROUND(BS!AJ31,0)=ROUND(SUM(BS!AJ24,BS!AJ27,BS!AJ30),0),"OK","ERROR")</f>
        <v>ERROR</v>
      </c>
      <c r="AK103" s="217" t="str">
        <f>IF(ROUND(BS!AK31,0)=ROUND(SUM(BS!AK24,BS!AK27,BS!AK30),0),"OK","ERROR")</f>
        <v>ERROR</v>
      </c>
      <c r="AL103" s="226" t="str">
        <f>IF(ROUND(BS!AL31,0)=ROUND(SUM(BS!AL24,BS!AL27,BS!AL30),0),"OK","ERROR")</f>
        <v>ERROR</v>
      </c>
      <c r="AM103" s="275"/>
      <c r="AN103" s="217" t="str">
        <f>IF(ROUND(BS!AN31,0)=ROUND(SUM(BS!AN24,BS!AN27,BS!AN30),0),"OK","ERROR")</f>
        <v>ERROR</v>
      </c>
      <c r="AO103" s="217" t="str">
        <f>IF(ROUND(BS!AO31,0)=ROUND(SUM(BS!AO24,BS!AO27,BS!AO30),0),"OK","ERROR")</f>
        <v>ERROR</v>
      </c>
      <c r="AP103" s="217" t="str">
        <f>IF(ROUND(BS!AP31,0)=ROUND(SUM(BS!AP24,BS!AP27,BS!AP30),0),"OK","ERROR")</f>
        <v>ERROR</v>
      </c>
      <c r="AQ103" s="217" t="str">
        <f>IF(ROUND(BS!AQ31,0)=ROUND(SUM(BS!AQ24,BS!AQ27,BS!AQ30),0),"OK","ERROR")</f>
        <v>ERROR</v>
      </c>
      <c r="AR103" s="226" t="str">
        <f>IF(ROUND(BS!AR31,0)=ROUND(SUM(BS!AR24,BS!AR27,BS!AR30),0),"OK","ERROR")</f>
        <v>ERROR</v>
      </c>
      <c r="AS103" s="275"/>
      <c r="AT103" s="226" t="str">
        <f>IF(ROUND(BS!AT31,0)=ROUND(SUM(BS!AT24,BS!AT27,BS!AT30),0),"OK","ERROR")</f>
        <v>ERROR</v>
      </c>
      <c r="AU103" s="275"/>
      <c r="AV103" s="226" t="str">
        <f>IF(ROUND(BS!AV31,0)=ROUND(SUM(BS!AV24,BS!AV27,BS!AV30),0),"OK","ERROR")</f>
        <v>ERROR</v>
      </c>
      <c r="AW103" s="255"/>
      <c r="AX103" s="226" t="str">
        <f>IF(ROUND(BS!AX31,0)=ROUND(SUM(BS!AX24,BS!AX27,BS!AX30),0),"OK","ERROR")</f>
        <v>OK</v>
      </c>
    </row>
    <row r="104" spans="1:50" s="113" customFormat="1" ht="15" customHeight="1" thickBot="1">
      <c r="B104" s="140" t="s">
        <v>597</v>
      </c>
      <c r="C104" s="115"/>
      <c r="D104" s="217" t="str">
        <f>IF(ROUND(SUM(BS!D21,BS!D31),0)=ROUND(BS!D32,0),"OK","ERROR")</f>
        <v>OK</v>
      </c>
      <c r="E104" s="217" t="str">
        <f>IF(ROUND(SUM(BS!E21,BS!E31),0)=ROUND(BS!E32,0),"OK","ERROR")</f>
        <v>OK</v>
      </c>
      <c r="F104" s="217" t="str">
        <f>IF(ROUND(SUM(BS!F21,BS!F31),0)=ROUND(BS!F32,0),"OK","ERROR")</f>
        <v>OK</v>
      </c>
      <c r="G104" s="217" t="str">
        <f>IF(ROUND(SUM(BS!G21,BS!G31),0)=ROUND(BS!G32,0),"OK","ERROR")</f>
        <v>OK</v>
      </c>
      <c r="H104" s="237" t="str">
        <f>IF(ROUND(SUM(BS!H21,BS!H31),0)=ROUND(BS!H32,0),"OK","ERROR")</f>
        <v>OK</v>
      </c>
      <c r="I104" s="256"/>
      <c r="J104" s="217" t="str">
        <f>IF(ROUND(SUM(BS!J21,BS!J31),0)=ROUND(BS!J32,0),"OK","ERROR")</f>
        <v>OK</v>
      </c>
      <c r="K104" s="217" t="str">
        <f>IF(ROUND(SUM(BS!K21,BS!K31),0)=ROUND(BS!K32,0),"OK","ERROR")</f>
        <v>OK</v>
      </c>
      <c r="L104" s="217" t="str">
        <f>IF(ROUND(SUM(BS!L21,BS!L31),0)=ROUND(BS!L32,0),"OK","ERROR")</f>
        <v>OK</v>
      </c>
      <c r="M104" s="217" t="str">
        <f>IF(ROUND(SUM(BS!M21,BS!M31),0)=ROUND(BS!M32,0),"OK","ERROR")</f>
        <v>OK</v>
      </c>
      <c r="N104" s="237" t="str">
        <f>IF(ROUND(SUM(BS!N21,BS!N31),0)=ROUND(BS!N32,0),"OK","ERROR")</f>
        <v>OK</v>
      </c>
      <c r="O104" s="256"/>
      <c r="P104" s="217" t="str">
        <f>IF(ROUND(SUM(BS!P21,BS!P31),0)=ROUND(BS!P32,0),"OK","ERROR")</f>
        <v>OK</v>
      </c>
      <c r="Q104" s="217" t="str">
        <f>IF(ROUND(SUM(BS!Q21,BS!Q31),0)=ROUND(BS!Q32,0),"OK","ERROR")</f>
        <v>OK</v>
      </c>
      <c r="R104" s="217" t="str">
        <f>IF(ROUND(SUM(BS!R21,BS!R31),0)=ROUND(BS!R32,0),"OK","ERROR")</f>
        <v>OK</v>
      </c>
      <c r="S104" s="217" t="str">
        <f>IF(ROUND(SUM(BS!S21,BS!S31),0)=ROUND(BS!S32,0),"OK","ERROR")</f>
        <v>OK</v>
      </c>
      <c r="T104" s="237" t="str">
        <f>IF(ROUND(SUM(BS!T21,BS!T31),0)=ROUND(BS!T32,0),"OK","ERROR")</f>
        <v>OK</v>
      </c>
      <c r="U104" s="256"/>
      <c r="V104" s="217" t="str">
        <f>IF(ROUND(SUM(BS!V21,BS!V31),0)=ROUND(BS!V32,0),"OK","ERROR")</f>
        <v>OK</v>
      </c>
      <c r="W104" s="217" t="str">
        <f>IF(ROUND(SUM(BS!W21,BS!W31),0)=ROUND(BS!W32,0),"OK","ERROR")</f>
        <v>OK</v>
      </c>
      <c r="X104" s="217" t="str">
        <f>IF(ROUND(SUM(BS!X21,BS!X31),0)=ROUND(BS!X32,0),"OK","ERROR")</f>
        <v>OK</v>
      </c>
      <c r="Y104" s="217" t="str">
        <f>IF(ROUND(SUM(BS!Y21,BS!Y31),0)=ROUND(BS!Y32,0),"OK","ERROR")</f>
        <v>OK</v>
      </c>
      <c r="Z104" s="237" t="str">
        <f>IF(ROUND(SUM(BS!Z21,BS!Z31),0)=ROUND(BS!Z32,0),"OK","ERROR")</f>
        <v>OK</v>
      </c>
      <c r="AA104" s="276"/>
      <c r="AB104" s="217" t="str">
        <f>IF(ROUND(SUM(BS!AB21,BS!AB31),0)=ROUND(BS!AB32,0),"OK","ERROR")</f>
        <v>OK</v>
      </c>
      <c r="AC104" s="217" t="str">
        <f>IF(ROUND(SUM(BS!AC21,BS!AC31),0)=ROUND(BS!AC32,0),"OK","ERROR")</f>
        <v>OK</v>
      </c>
      <c r="AD104" s="217" t="str">
        <f>IF(ROUND(SUM(BS!AD21,BS!AD31),0)=ROUND(BS!AD32,0),"OK","ERROR")</f>
        <v>OK</v>
      </c>
      <c r="AE104" s="217" t="str">
        <f>IF(ROUND(SUM(BS!AE21,BS!AE31),0)=ROUND(BS!AE32,0),"OK","ERROR")</f>
        <v>OK</v>
      </c>
      <c r="AF104" s="237" t="str">
        <f>IF(ROUND(SUM(BS!AF21,BS!AF31),0)=ROUND(BS!AF32,0),"OK","ERROR")</f>
        <v>OK</v>
      </c>
      <c r="AG104" s="274"/>
      <c r="AH104" s="217" t="str">
        <f>IF(ROUND(SUM(BS!AH21,BS!AH31),0)=ROUND(BS!AH32,0),"OK","ERROR")</f>
        <v>OK</v>
      </c>
      <c r="AI104" s="217" t="str">
        <f>IF(ROUND(SUM(BS!AI21,BS!AI31),0)=ROUND(BS!AI32,0),"OK","ERROR")</f>
        <v>OK</v>
      </c>
      <c r="AJ104" s="217" t="str">
        <f>IF(ROUND(SUM(BS!AJ21,BS!AJ31),0)=ROUND(BS!AJ32,0),"OK","ERROR")</f>
        <v>OK</v>
      </c>
      <c r="AK104" s="217" t="str">
        <f>IF(ROUND(SUM(BS!AK21,BS!AK31),0)=ROUND(BS!AK32,0),"OK","ERROR")</f>
        <v>OK</v>
      </c>
      <c r="AL104" s="237" t="str">
        <f>IF(ROUND(SUM(BS!AL21,BS!AL31),0)=ROUND(BS!AL32,0),"OK","ERROR")</f>
        <v>OK</v>
      </c>
      <c r="AM104" s="273"/>
      <c r="AN104" s="217" t="str">
        <f>IF(ROUND(SUM(BS!AN21,BS!AN31),0)=ROUND(BS!AN32,0),"OK","ERROR")</f>
        <v>OK</v>
      </c>
      <c r="AO104" s="217" t="str">
        <f>IF(ROUND(SUM(BS!AO21,BS!AO31),0)=ROUND(BS!AO32,0),"OK","ERROR")</f>
        <v>OK</v>
      </c>
      <c r="AP104" s="217" t="str">
        <f>IF(ROUND(SUM(BS!AP21,BS!AP31),0)=ROUND(BS!AP32,0),"OK","ERROR")</f>
        <v>OK</v>
      </c>
      <c r="AQ104" s="217" t="str">
        <f>IF(ROUND(SUM(BS!AQ21,BS!AQ31),0)=ROUND(BS!AQ32,0),"OK","ERROR")</f>
        <v>OK</v>
      </c>
      <c r="AR104" s="237" t="str">
        <f>IF(ROUND(SUM(BS!AR21,BS!AR31),0)=ROUND(BS!AR32,0),"OK","ERROR")</f>
        <v>OK</v>
      </c>
      <c r="AS104" s="273"/>
      <c r="AT104" s="237" t="str">
        <f>IF(ROUND(SUM(BS!AT21,BS!AT31),0)=ROUND(BS!AT32,0),"OK","ERROR")</f>
        <v>OK</v>
      </c>
      <c r="AU104" s="273"/>
      <c r="AV104" s="237" t="str">
        <f>IF(ROUND(SUM(BS!AV21,BS!AV31),0)=ROUND(BS!AV32,0),"OK","ERROR")</f>
        <v>OK</v>
      </c>
      <c r="AW104" s="261"/>
      <c r="AX104" s="237" t="str">
        <f>IF(ROUND(SUM(BS!AX21,BS!AX31),0)=ROUND(BS!AX32,0),"OK","ERROR")</f>
        <v>OK</v>
      </c>
    </row>
    <row r="105" spans="1:50" s="147" customFormat="1" ht="15" customHeight="1" thickTop="1">
      <c r="A105" s="142"/>
      <c r="B105" s="143"/>
      <c r="C105" s="27"/>
      <c r="D105" s="208"/>
      <c r="E105" s="208"/>
      <c r="F105" s="208"/>
      <c r="G105" s="208"/>
      <c r="H105" s="220"/>
      <c r="I105" s="277"/>
      <c r="J105" s="208"/>
      <c r="K105" s="208"/>
      <c r="L105" s="208"/>
      <c r="M105" s="208"/>
      <c r="N105" s="220"/>
      <c r="O105" s="277"/>
      <c r="P105" s="208"/>
      <c r="Q105" s="208"/>
      <c r="R105" s="208"/>
      <c r="S105" s="208"/>
      <c r="T105" s="220"/>
      <c r="U105" s="277"/>
      <c r="V105" s="208"/>
      <c r="W105" s="208"/>
      <c r="X105" s="208"/>
      <c r="Y105" s="208"/>
      <c r="Z105" s="220"/>
      <c r="AA105" s="278"/>
      <c r="AB105" s="208"/>
      <c r="AC105" s="208"/>
      <c r="AD105" s="208"/>
      <c r="AE105" s="208"/>
      <c r="AF105" s="220"/>
      <c r="AG105" s="279"/>
      <c r="AH105" s="208"/>
      <c r="AI105" s="208"/>
      <c r="AJ105" s="208"/>
      <c r="AK105" s="208"/>
      <c r="AL105" s="220"/>
      <c r="AM105" s="280"/>
      <c r="AN105" s="208"/>
      <c r="AO105" s="208"/>
      <c r="AP105" s="208"/>
      <c r="AQ105" s="208"/>
      <c r="AR105" s="220"/>
      <c r="AS105" s="280"/>
      <c r="AT105" s="220"/>
      <c r="AU105" s="280"/>
      <c r="AV105" s="220"/>
      <c r="AW105" s="281"/>
      <c r="AX105" s="220"/>
    </row>
    <row r="106" spans="1:50" s="113" customFormat="1" ht="15" customHeight="1">
      <c r="A106" s="44"/>
      <c r="B106" s="64" t="s">
        <v>598</v>
      </c>
      <c r="C106" s="115"/>
      <c r="D106" s="208"/>
      <c r="E106" s="208"/>
      <c r="F106" s="208"/>
      <c r="G106" s="208"/>
      <c r="H106" s="220"/>
      <c r="I106" s="256"/>
      <c r="J106" s="208"/>
      <c r="K106" s="208"/>
      <c r="L106" s="208"/>
      <c r="M106" s="208"/>
      <c r="N106" s="220"/>
      <c r="O106" s="256"/>
      <c r="P106" s="208"/>
      <c r="Q106" s="208"/>
      <c r="R106" s="208"/>
      <c r="S106" s="208"/>
      <c r="T106" s="220"/>
      <c r="U106" s="256"/>
      <c r="V106" s="208"/>
      <c r="W106" s="208"/>
      <c r="X106" s="208"/>
      <c r="Y106" s="208"/>
      <c r="Z106" s="220"/>
      <c r="AA106" s="257"/>
      <c r="AB106" s="208"/>
      <c r="AC106" s="208"/>
      <c r="AD106" s="208"/>
      <c r="AE106" s="208"/>
      <c r="AF106" s="220"/>
      <c r="AG106" s="258"/>
      <c r="AH106" s="208"/>
      <c r="AI106" s="208"/>
      <c r="AJ106" s="208"/>
      <c r="AK106" s="208"/>
      <c r="AL106" s="220"/>
      <c r="AM106" s="257"/>
      <c r="AN106" s="208"/>
      <c r="AO106" s="208"/>
      <c r="AP106" s="208"/>
      <c r="AQ106" s="208"/>
      <c r="AR106" s="220"/>
      <c r="AS106" s="257"/>
      <c r="AT106" s="220"/>
      <c r="AU106" s="257"/>
      <c r="AV106" s="220"/>
      <c r="AW106" s="261"/>
      <c r="AX106" s="220"/>
    </row>
    <row r="107" spans="1:50" s="147" customFormat="1" ht="15" customHeight="1">
      <c r="A107" s="142"/>
      <c r="B107" s="143"/>
      <c r="C107" s="27"/>
      <c r="D107" s="208"/>
      <c r="E107" s="208"/>
      <c r="F107" s="208"/>
      <c r="G107" s="208"/>
      <c r="H107" s="220"/>
      <c r="I107" s="277"/>
      <c r="J107" s="208"/>
      <c r="K107" s="208"/>
      <c r="L107" s="208"/>
      <c r="M107" s="208"/>
      <c r="N107" s="220"/>
      <c r="O107" s="277"/>
      <c r="P107" s="208"/>
      <c r="Q107" s="208"/>
      <c r="R107" s="208"/>
      <c r="S107" s="208"/>
      <c r="T107" s="220"/>
      <c r="U107" s="277"/>
      <c r="V107" s="208"/>
      <c r="W107" s="208"/>
      <c r="X107" s="208"/>
      <c r="Y107" s="208"/>
      <c r="Z107" s="220"/>
      <c r="AA107" s="278"/>
      <c r="AB107" s="208"/>
      <c r="AC107" s="208"/>
      <c r="AD107" s="208"/>
      <c r="AE107" s="208"/>
      <c r="AF107" s="220"/>
      <c r="AG107" s="279"/>
      <c r="AH107" s="208"/>
      <c r="AI107" s="208"/>
      <c r="AJ107" s="208"/>
      <c r="AK107" s="208"/>
      <c r="AL107" s="220"/>
      <c r="AM107" s="282"/>
      <c r="AN107" s="208"/>
      <c r="AO107" s="208"/>
      <c r="AP107" s="208"/>
      <c r="AQ107" s="208"/>
      <c r="AR107" s="220"/>
      <c r="AS107" s="275"/>
      <c r="AT107" s="220"/>
      <c r="AU107" s="275"/>
      <c r="AV107" s="220"/>
      <c r="AW107" s="281"/>
      <c r="AX107" s="220"/>
    </row>
    <row r="108" spans="1:50" s="113" customFormat="1" ht="15" customHeight="1">
      <c r="A108" s="44" t="s">
        <v>33</v>
      </c>
      <c r="B108" s="114" t="s">
        <v>599</v>
      </c>
      <c r="C108" s="115"/>
      <c r="D108" s="208"/>
      <c r="E108" s="208"/>
      <c r="F108" s="208"/>
      <c r="G108" s="208"/>
      <c r="H108" s="220"/>
      <c r="I108" s="256"/>
      <c r="J108" s="208"/>
      <c r="K108" s="208"/>
      <c r="L108" s="208"/>
      <c r="M108" s="208"/>
      <c r="N108" s="220"/>
      <c r="O108" s="256"/>
      <c r="P108" s="208"/>
      <c r="Q108" s="208"/>
      <c r="R108" s="208"/>
      <c r="S108" s="208"/>
      <c r="T108" s="220"/>
      <c r="U108" s="256"/>
      <c r="V108" s="208"/>
      <c r="W108" s="208"/>
      <c r="X108" s="208"/>
      <c r="Y108" s="208"/>
      <c r="Z108" s="220"/>
      <c r="AA108" s="257"/>
      <c r="AB108" s="208"/>
      <c r="AC108" s="208"/>
      <c r="AD108" s="208"/>
      <c r="AE108" s="208"/>
      <c r="AF108" s="220"/>
      <c r="AG108" s="258"/>
      <c r="AH108" s="208"/>
      <c r="AI108" s="208"/>
      <c r="AJ108" s="208"/>
      <c r="AK108" s="208"/>
      <c r="AL108" s="220"/>
      <c r="AM108" s="283"/>
      <c r="AN108" s="208"/>
      <c r="AO108" s="208"/>
      <c r="AP108" s="208"/>
      <c r="AQ108" s="208"/>
      <c r="AR108" s="220"/>
      <c r="AS108" s="257"/>
      <c r="AT108" s="220"/>
      <c r="AU108" s="257"/>
      <c r="AV108" s="220"/>
      <c r="AW108" s="261"/>
      <c r="AX108" s="220"/>
    </row>
    <row r="109" spans="1:50" s="113" customFormat="1" ht="15" customHeight="1">
      <c r="B109" s="138" t="s">
        <v>604</v>
      </c>
      <c r="C109" s="115"/>
      <c r="D109" s="217" t="str">
        <f>IF(ROUND(BS!D41,0)=ROUND(SUM(BS!D37:D40),0),"OK","ERROR")</f>
        <v>OK</v>
      </c>
      <c r="E109" s="217" t="str">
        <f>IF(ROUND(BS!E41,0)=ROUND(SUM(BS!E37:E40),0),"OK","ERROR")</f>
        <v>OK</v>
      </c>
      <c r="F109" s="217" t="str">
        <f>IF(ROUND(BS!F41,0)=ROUND(SUM(BS!F37:F40),0),"OK","ERROR")</f>
        <v>OK</v>
      </c>
      <c r="G109" s="217" t="str">
        <f>IF(ROUND(BS!G41,0)=ROUND(SUM(BS!G37:G40),0),"OK","ERROR")</f>
        <v>OK</v>
      </c>
      <c r="H109" s="227" t="str">
        <f>IF(ROUND(BS!H41,0)=ROUND(SUM(BS!H37:H40),0),"OK","ERROR")</f>
        <v>OK</v>
      </c>
      <c r="I109" s="256"/>
      <c r="J109" s="217" t="str">
        <f>IF(ROUND(BS!J41,0)=ROUND(SUM(BS!J37:J40),0),"OK","ERROR")</f>
        <v>OK</v>
      </c>
      <c r="K109" s="217" t="str">
        <f>IF(ROUND(BS!K41,0)=ROUND(SUM(BS!K37:K40),0),"OK","ERROR")</f>
        <v>OK</v>
      </c>
      <c r="L109" s="217" t="str">
        <f>IF(ROUND(BS!L41,0)=ROUND(SUM(BS!L37:L40),0),"OK","ERROR")</f>
        <v>OK</v>
      </c>
      <c r="M109" s="217" t="str">
        <f>IF(ROUND(BS!M41,0)=ROUND(SUM(BS!M37:M40),0),"OK","ERROR")</f>
        <v>OK</v>
      </c>
      <c r="N109" s="227" t="str">
        <f>IF(ROUND(BS!N41,0)=ROUND(SUM(BS!N37:N40),0),"OK","ERROR")</f>
        <v>OK</v>
      </c>
      <c r="O109" s="256"/>
      <c r="P109" s="217" t="str">
        <f>IF(ROUND(BS!P41,0)=ROUND(SUM(BS!P37:P40),0),"OK","ERROR")</f>
        <v>OK</v>
      </c>
      <c r="Q109" s="217" t="str">
        <f>IF(ROUND(BS!Q41,0)=ROUND(SUM(BS!Q37:Q40),0),"OK","ERROR")</f>
        <v>OK</v>
      </c>
      <c r="R109" s="217" t="str">
        <f>IF(ROUND(BS!R41,0)=ROUND(SUM(BS!R37:R40),0),"OK","ERROR")</f>
        <v>OK</v>
      </c>
      <c r="S109" s="217" t="str">
        <f>IF(ROUND(BS!S41,0)=ROUND(SUM(BS!S37:S40),0),"OK","ERROR")</f>
        <v>OK</v>
      </c>
      <c r="T109" s="227" t="str">
        <f>IF(ROUND(BS!T41,0)=ROUND(SUM(BS!T37:T40),0),"OK","ERROR")</f>
        <v>OK</v>
      </c>
      <c r="U109" s="256"/>
      <c r="V109" s="217" t="str">
        <f>IF(ROUND(BS!V41,0)=ROUND(SUM(BS!V37:V40),0),"OK","ERROR")</f>
        <v>OK</v>
      </c>
      <c r="W109" s="217" t="str">
        <f>IF(ROUND(BS!W41,0)=ROUND(SUM(BS!W37:W40),0),"OK","ERROR")</f>
        <v>OK</v>
      </c>
      <c r="X109" s="217" t="str">
        <f>IF(ROUND(BS!X41,0)=ROUND(SUM(BS!X37:X40),0),"OK","ERROR")</f>
        <v>OK</v>
      </c>
      <c r="Y109" s="217" t="str">
        <f>IF(ROUND(BS!Y41,0)=ROUND(SUM(BS!Y37:Y40),0),"OK","ERROR")</f>
        <v>OK</v>
      </c>
      <c r="Z109" s="227" t="str">
        <f>IF(ROUND(BS!Z41,0)=ROUND(SUM(BS!Z37:Z40),0),"OK","ERROR")</f>
        <v>OK</v>
      </c>
      <c r="AA109" s="273"/>
      <c r="AB109" s="217" t="str">
        <f>IF(ROUND(BS!AB41,0)=ROUND(SUM(BS!AB37:AB40),0),"OK","ERROR")</f>
        <v>OK</v>
      </c>
      <c r="AC109" s="217" t="str">
        <f>IF(ROUND(BS!AC41,0)=ROUND(SUM(BS!AC37:AC40),0),"OK","ERROR")</f>
        <v>OK</v>
      </c>
      <c r="AD109" s="217" t="str">
        <f>IF(ROUND(BS!AD41,0)=ROUND(SUM(BS!AD37:AD40),0),"OK","ERROR")</f>
        <v>OK</v>
      </c>
      <c r="AE109" s="217" t="str">
        <f>IF(ROUND(BS!AE41,0)=ROUND(SUM(BS!AE37:AE40),0),"OK","ERROR")</f>
        <v>OK</v>
      </c>
      <c r="AF109" s="227" t="str">
        <f>IF(ROUND(BS!AF41,0)=ROUND(SUM(BS!AF37:AF40),0),"OK","ERROR")</f>
        <v>OK</v>
      </c>
      <c r="AG109" s="274"/>
      <c r="AH109" s="217" t="str">
        <f>IF(ROUND(BS!AH41,0)=ROUND(SUM(BS!AH37:AH40),0),"OK","ERROR")</f>
        <v>OK</v>
      </c>
      <c r="AI109" s="217" t="str">
        <f>IF(ROUND(BS!AI41,0)=ROUND(SUM(BS!AI37:AI40),0),"OK","ERROR")</f>
        <v>OK</v>
      </c>
      <c r="AJ109" s="217" t="str">
        <f>IF(ROUND(BS!AJ41,0)=ROUND(SUM(BS!AJ37:AJ40),0),"OK","ERROR")</f>
        <v>OK</v>
      </c>
      <c r="AK109" s="217" t="str">
        <f>IF(ROUND(BS!AK41,0)=ROUND(SUM(BS!AK37:AK40),0),"OK","ERROR")</f>
        <v>OK</v>
      </c>
      <c r="AL109" s="227" t="str">
        <f>IF(ROUND(BS!AL41,0)=ROUND(SUM(BS!AL37:AL40),0),"OK","ERROR")</f>
        <v>OK</v>
      </c>
      <c r="AM109" s="273"/>
      <c r="AN109" s="217" t="str">
        <f>IF(ROUND(BS!AN41,0)=ROUND(SUM(BS!AN37:AN40),0),"OK","ERROR")</f>
        <v>OK</v>
      </c>
      <c r="AO109" s="217" t="str">
        <f>IF(ROUND(BS!AO41,0)=ROUND(SUM(BS!AO37:AO40),0),"OK","ERROR")</f>
        <v>OK</v>
      </c>
      <c r="AP109" s="217" t="str">
        <f>IF(ROUND(BS!AP41,0)=ROUND(SUM(BS!AP37:AP40),0),"OK","ERROR")</f>
        <v>OK</v>
      </c>
      <c r="AQ109" s="217" t="str">
        <f>IF(ROUND(BS!AQ41,0)=ROUND(SUM(BS!AQ37:AQ40),0),"OK","ERROR")</f>
        <v>OK</v>
      </c>
      <c r="AR109" s="227" t="str">
        <f>IF(ROUND(BS!AR41,0)=ROUND(SUM(BS!AR37:AR40),0),"OK","ERROR")</f>
        <v>OK</v>
      </c>
      <c r="AS109" s="273"/>
      <c r="AT109" s="227" t="str">
        <f>IF(ROUND(BS!AT41,0)=ROUND(SUM(BS!AT37:AT40),0),"OK","ERROR")</f>
        <v>OK</v>
      </c>
      <c r="AU109" s="273"/>
      <c r="AV109" s="227" t="str">
        <f>IF(ROUND(BS!AV41,0)=ROUND(SUM(BS!AV37:AV40),0),"OK","ERROR")</f>
        <v>OK</v>
      </c>
      <c r="AW109" s="261"/>
      <c r="AX109" s="227" t="str">
        <f>IF(ROUND(BS!AX41,0)=ROUND(SUM(BS!AX37:AX40),0),"OK","ERROR")</f>
        <v>OK</v>
      </c>
    </row>
    <row r="110" spans="1:50" s="41" customFormat="1" ht="15" customHeight="1">
      <c r="A110" s="43"/>
      <c r="B110" s="152"/>
      <c r="C110" s="17"/>
      <c r="D110" s="208"/>
      <c r="E110" s="208"/>
      <c r="F110" s="208"/>
      <c r="G110" s="208"/>
      <c r="H110" s="220"/>
      <c r="I110" s="248"/>
      <c r="J110" s="208"/>
      <c r="K110" s="208"/>
      <c r="L110" s="208"/>
      <c r="M110" s="208"/>
      <c r="N110" s="220"/>
      <c r="O110" s="248"/>
      <c r="P110" s="208"/>
      <c r="Q110" s="208"/>
      <c r="R110" s="208"/>
      <c r="S110" s="208"/>
      <c r="T110" s="220"/>
      <c r="U110" s="248"/>
      <c r="V110" s="208"/>
      <c r="W110" s="208"/>
      <c r="X110" s="208"/>
      <c r="Y110" s="208"/>
      <c r="Z110" s="220"/>
      <c r="AA110" s="248"/>
      <c r="AB110" s="208"/>
      <c r="AC110" s="208"/>
      <c r="AD110" s="208"/>
      <c r="AE110" s="208"/>
      <c r="AF110" s="220"/>
      <c r="AG110" s="284"/>
      <c r="AH110" s="208"/>
      <c r="AI110" s="208"/>
      <c r="AJ110" s="208"/>
      <c r="AK110" s="208"/>
      <c r="AL110" s="220"/>
      <c r="AM110" s="248"/>
      <c r="AN110" s="208"/>
      <c r="AO110" s="208"/>
      <c r="AP110" s="208"/>
      <c r="AQ110" s="208"/>
      <c r="AR110" s="220"/>
      <c r="AS110" s="248"/>
      <c r="AT110" s="220"/>
      <c r="AU110" s="248"/>
      <c r="AV110" s="220"/>
      <c r="AW110" s="255"/>
      <c r="AX110" s="220"/>
    </row>
    <row r="111" spans="1:50" s="113" customFormat="1" ht="15" customHeight="1">
      <c r="A111" s="44" t="s">
        <v>33</v>
      </c>
      <c r="B111" s="114" t="s">
        <v>605</v>
      </c>
      <c r="C111" s="115"/>
      <c r="D111" s="208"/>
      <c r="E111" s="208"/>
      <c r="F111" s="208"/>
      <c r="G111" s="208"/>
      <c r="H111" s="220"/>
      <c r="I111" s="256"/>
      <c r="J111" s="208"/>
      <c r="K111" s="208"/>
      <c r="L111" s="208"/>
      <c r="M111" s="208"/>
      <c r="N111" s="220"/>
      <c r="O111" s="256"/>
      <c r="P111" s="208"/>
      <c r="Q111" s="208"/>
      <c r="R111" s="208"/>
      <c r="S111" s="208"/>
      <c r="T111" s="220"/>
      <c r="U111" s="256"/>
      <c r="V111" s="208"/>
      <c r="W111" s="208"/>
      <c r="X111" s="208"/>
      <c r="Y111" s="208"/>
      <c r="Z111" s="220"/>
      <c r="AA111" s="256"/>
      <c r="AB111" s="208"/>
      <c r="AC111" s="208"/>
      <c r="AD111" s="208"/>
      <c r="AE111" s="208"/>
      <c r="AF111" s="220"/>
      <c r="AG111" s="285"/>
      <c r="AH111" s="208"/>
      <c r="AI111" s="208"/>
      <c r="AJ111" s="208"/>
      <c r="AK111" s="208"/>
      <c r="AL111" s="220"/>
      <c r="AM111" s="256"/>
      <c r="AN111" s="208"/>
      <c r="AO111" s="208"/>
      <c r="AP111" s="208"/>
      <c r="AQ111" s="208"/>
      <c r="AR111" s="220"/>
      <c r="AS111" s="256"/>
      <c r="AT111" s="220"/>
      <c r="AU111" s="256"/>
      <c r="AV111" s="220"/>
      <c r="AW111" s="261"/>
      <c r="AX111" s="220"/>
    </row>
    <row r="112" spans="1:50" s="113" customFormat="1" ht="15" customHeight="1">
      <c r="B112" s="138" t="s">
        <v>609</v>
      </c>
      <c r="C112" s="115"/>
      <c r="D112" s="217" t="str">
        <f>IF(ROUND(BS!D47,0)=ROUND(SUM(BS!D44:D46),0),"OK","ERROR")</f>
        <v>OK</v>
      </c>
      <c r="E112" s="217" t="str">
        <f>IF(ROUND(BS!E47,0)=ROUND(SUM(BS!E44:E46),0),"OK","ERROR")</f>
        <v>OK</v>
      </c>
      <c r="F112" s="217" t="str">
        <f>IF(ROUND(BS!F47,0)=ROUND(SUM(BS!F44:F46),0),"OK","ERROR")</f>
        <v>OK</v>
      </c>
      <c r="G112" s="217" t="str">
        <f>IF(ROUND(BS!G47,0)=ROUND(SUM(BS!G44:G46),0),"OK","ERROR")</f>
        <v>OK</v>
      </c>
      <c r="H112" s="220" t="str">
        <f>IF(ROUND(BS!H47,0)=ROUND(SUM(BS!H44:H46),0),"OK","ERROR")</f>
        <v>OK</v>
      </c>
      <c r="I112" s="256"/>
      <c r="J112" s="217" t="str">
        <f>IF(ROUND(BS!J47,0)=ROUND(SUM(BS!J44:J46),0),"OK","ERROR")</f>
        <v>OK</v>
      </c>
      <c r="K112" s="217" t="str">
        <f>IF(ROUND(BS!K47,0)=ROUND(SUM(BS!K44:K46),0),"OK","ERROR")</f>
        <v>OK</v>
      </c>
      <c r="L112" s="217" t="str">
        <f>IF(ROUND(BS!L47,0)=ROUND(SUM(BS!L44:L46),0),"OK","ERROR")</f>
        <v>OK</v>
      </c>
      <c r="M112" s="217" t="str">
        <f>IF(ROUND(BS!M47,0)=ROUND(SUM(BS!M44:M46),0),"OK","ERROR")</f>
        <v>OK</v>
      </c>
      <c r="N112" s="220" t="str">
        <f>IF(ROUND(BS!N47,0)=ROUND(SUM(BS!N44:N46),0),"OK","ERROR")</f>
        <v>OK</v>
      </c>
      <c r="O112" s="256"/>
      <c r="P112" s="217" t="str">
        <f>IF(ROUND(BS!P47,0)=ROUND(SUM(BS!P44:P46),0),"OK","ERROR")</f>
        <v>OK</v>
      </c>
      <c r="Q112" s="217" t="str">
        <f>IF(ROUND(BS!Q47,0)=ROUND(SUM(BS!Q44:Q46),0),"OK","ERROR")</f>
        <v>OK</v>
      </c>
      <c r="R112" s="217" t="str">
        <f>IF(ROUND(BS!R47,0)=ROUND(SUM(BS!R44:R46),0),"OK","ERROR")</f>
        <v>OK</v>
      </c>
      <c r="S112" s="217" t="str">
        <f>IF(ROUND(BS!S47,0)=ROUND(SUM(BS!S44:S46),0),"OK","ERROR")</f>
        <v>OK</v>
      </c>
      <c r="T112" s="220" t="str">
        <f>IF(ROUND(BS!T47,0)=ROUND(SUM(BS!T44:T46),0),"OK","ERROR")</f>
        <v>OK</v>
      </c>
      <c r="U112" s="256"/>
      <c r="V112" s="217" t="str">
        <f>IF(ROUND(BS!V47,0)=ROUND(SUM(BS!V44:V46),0),"OK","ERROR")</f>
        <v>OK</v>
      </c>
      <c r="W112" s="217" t="str">
        <f>IF(ROUND(BS!W47,0)=ROUND(SUM(BS!W44:W46),0),"OK","ERROR")</f>
        <v>OK</v>
      </c>
      <c r="X112" s="217" t="str">
        <f>IF(ROUND(BS!X47,0)=ROUND(SUM(BS!X44:X46),0),"OK","ERROR")</f>
        <v>OK</v>
      </c>
      <c r="Y112" s="217" t="str">
        <f>IF(ROUND(BS!Y47,0)=ROUND(SUM(BS!Y44:Y46),0),"OK","ERROR")</f>
        <v>OK</v>
      </c>
      <c r="Z112" s="220" t="str">
        <f>IF(ROUND(BS!Z47,0)=ROUND(SUM(BS!Z44:Z46),0),"OK","ERROR")</f>
        <v>OK</v>
      </c>
      <c r="AA112" s="256"/>
      <c r="AB112" s="217" t="str">
        <f>IF(ROUND(BS!AB47,0)=ROUND(SUM(BS!AB44:AB46),0),"OK","ERROR")</f>
        <v>OK</v>
      </c>
      <c r="AC112" s="217" t="str">
        <f>IF(ROUND(BS!AC47,0)=ROUND(SUM(BS!AC44:AC46),0),"OK","ERROR")</f>
        <v>OK</v>
      </c>
      <c r="AD112" s="217" t="str">
        <f>IF(ROUND(BS!AD47,0)=ROUND(SUM(BS!AD44:AD46),0),"OK","ERROR")</f>
        <v>OK</v>
      </c>
      <c r="AE112" s="217" t="str">
        <f>IF(ROUND(BS!AE47,0)=ROUND(SUM(BS!AE44:AE46),0),"OK","ERROR")</f>
        <v>OK</v>
      </c>
      <c r="AF112" s="220" t="str">
        <f>IF(ROUND(BS!AF47,0)=ROUND(SUM(BS!AF44:AF46),0),"OK","ERROR")</f>
        <v>OK</v>
      </c>
      <c r="AG112" s="285"/>
      <c r="AH112" s="217" t="str">
        <f>IF(ROUND(BS!AH47,0)=ROUND(SUM(BS!AH44:AH46),0),"OK","ERROR")</f>
        <v>OK</v>
      </c>
      <c r="AI112" s="217" t="str">
        <f>IF(ROUND(BS!AI47,0)=ROUND(SUM(BS!AI44:AI46),0),"OK","ERROR")</f>
        <v>OK</v>
      </c>
      <c r="AJ112" s="217" t="str">
        <f>IF(ROUND(BS!AJ47,0)=ROUND(SUM(BS!AJ44:AJ46),0),"OK","ERROR")</f>
        <v>OK</v>
      </c>
      <c r="AK112" s="217" t="str">
        <f>IF(ROUND(BS!AK47,0)=ROUND(SUM(BS!AK44:AK46),0),"OK","ERROR")</f>
        <v>OK</v>
      </c>
      <c r="AL112" s="220" t="str">
        <f>IF(ROUND(BS!AL47,0)=ROUND(SUM(BS!AL44:AL46),0),"OK","ERROR")</f>
        <v>OK</v>
      </c>
      <c r="AM112" s="256"/>
      <c r="AN112" s="217" t="str">
        <f>IF(ROUND(BS!AN47,0)=ROUND(SUM(BS!AN44:AN46),0),"OK","ERROR")</f>
        <v>OK</v>
      </c>
      <c r="AO112" s="217" t="str">
        <f>IF(ROUND(BS!AO47,0)=ROUND(SUM(BS!AO44:AO46),0),"OK","ERROR")</f>
        <v>OK</v>
      </c>
      <c r="AP112" s="217" t="str">
        <f>IF(ROUND(BS!AP47,0)=ROUND(SUM(BS!AP44:AP46),0),"OK","ERROR")</f>
        <v>OK</v>
      </c>
      <c r="AQ112" s="217" t="str">
        <f>IF(ROUND(BS!AQ47,0)=ROUND(SUM(BS!AQ44:AQ46),0),"OK","ERROR")</f>
        <v>OK</v>
      </c>
      <c r="AR112" s="220" t="str">
        <f>IF(ROUND(BS!AR47,0)=ROUND(SUM(BS!AR44:AR46),0),"OK","ERROR")</f>
        <v>OK</v>
      </c>
      <c r="AS112" s="256"/>
      <c r="AT112" s="220" t="str">
        <f>IF(ROUND(BS!AT47,0)=ROUND(SUM(BS!AT44:AT46),0),"OK","ERROR")</f>
        <v>OK</v>
      </c>
      <c r="AU112" s="256"/>
      <c r="AV112" s="220" t="str">
        <f>IF(ROUND(BS!AV47,0)=ROUND(SUM(BS!AV44:AV46),0),"OK","ERROR")</f>
        <v>OK</v>
      </c>
      <c r="AW112" s="261"/>
      <c r="AX112" s="220" t="str">
        <f>IF(ROUND(BS!AX47,0)=ROUND(SUM(BS!AX44:AX46),0),"OK","ERROR")</f>
        <v>OK</v>
      </c>
    </row>
    <row r="113" spans="1:50" s="41" customFormat="1" ht="15" customHeight="1">
      <c r="A113" s="43"/>
      <c r="B113" s="140" t="s">
        <v>610</v>
      </c>
      <c r="C113" s="17"/>
      <c r="D113" s="217" t="str">
        <f>IF(ROUND(BS!D48,0)=ROUND(SUM(BS!D41,BS!D47),0),"OK","ERROR")</f>
        <v>OK</v>
      </c>
      <c r="E113" s="217" t="str">
        <f>IF(ROUND(BS!E48,0)=ROUND(SUM(BS!E41,BS!E47),0),"OK","ERROR")</f>
        <v>OK</v>
      </c>
      <c r="F113" s="217" t="str">
        <f>IF(ROUND(BS!F48,0)=ROUND(SUM(BS!F41,BS!F47),0),"OK","ERROR")</f>
        <v>OK</v>
      </c>
      <c r="G113" s="217" t="str">
        <f>IF(ROUND(BS!G48,0)=ROUND(SUM(BS!G41,BS!G47),0),"OK","ERROR")</f>
        <v>OK</v>
      </c>
      <c r="H113" s="227" t="str">
        <f>IF(ROUND(BS!H48,0)=ROUND(SUM(BS!H41,BS!H47),0),"OK","ERROR")</f>
        <v>OK</v>
      </c>
      <c r="I113" s="248"/>
      <c r="J113" s="217" t="str">
        <f>IF(ROUND(BS!J48,0)=ROUND(SUM(BS!J41,BS!J47),0),"OK","ERROR")</f>
        <v>OK</v>
      </c>
      <c r="K113" s="217" t="str">
        <f>IF(ROUND(BS!K48,0)=ROUND(SUM(BS!K41,BS!K47),0),"OK","ERROR")</f>
        <v>OK</v>
      </c>
      <c r="L113" s="217" t="str">
        <f>IF(ROUND(BS!L48,0)=ROUND(SUM(BS!L41,BS!L47),0),"OK","ERROR")</f>
        <v>OK</v>
      </c>
      <c r="M113" s="217" t="str">
        <f>IF(ROUND(BS!M48,0)=ROUND(SUM(BS!M41,BS!M47),0),"OK","ERROR")</f>
        <v>OK</v>
      </c>
      <c r="N113" s="227" t="str">
        <f>IF(ROUND(BS!N48,0)=ROUND(SUM(BS!N41,BS!N47),0),"OK","ERROR")</f>
        <v>OK</v>
      </c>
      <c r="O113" s="248"/>
      <c r="P113" s="217" t="str">
        <f>IF(ROUND(BS!P48,0)=ROUND(SUM(BS!P41,BS!P47),0),"OK","ERROR")</f>
        <v>OK</v>
      </c>
      <c r="Q113" s="217" t="str">
        <f>IF(ROUND(BS!Q48,0)=ROUND(SUM(BS!Q41,BS!Q47),0),"OK","ERROR")</f>
        <v>OK</v>
      </c>
      <c r="R113" s="217" t="str">
        <f>IF(ROUND(BS!R48,0)=ROUND(SUM(BS!R41,BS!R47),0),"OK","ERROR")</f>
        <v>OK</v>
      </c>
      <c r="S113" s="217" t="str">
        <f>IF(ROUND(BS!S48,0)=ROUND(SUM(BS!S41,BS!S47),0),"OK","ERROR")</f>
        <v>OK</v>
      </c>
      <c r="T113" s="227" t="str">
        <f>IF(ROUND(BS!T48,0)=ROUND(SUM(BS!T41,BS!T47),0),"OK","ERROR")</f>
        <v>OK</v>
      </c>
      <c r="U113" s="248"/>
      <c r="V113" s="217" t="str">
        <f>IF(ROUND(BS!V48,0)=ROUND(SUM(BS!V41,BS!V47),0),"OK","ERROR")</f>
        <v>OK</v>
      </c>
      <c r="W113" s="217" t="str">
        <f>IF(ROUND(BS!W48,0)=ROUND(SUM(BS!W41,BS!W47),0),"OK","ERROR")</f>
        <v>OK</v>
      </c>
      <c r="X113" s="217" t="str">
        <f>IF(ROUND(BS!X48,0)=ROUND(SUM(BS!X41,BS!X47),0),"OK","ERROR")</f>
        <v>OK</v>
      </c>
      <c r="Y113" s="217" t="str">
        <f>IF(ROUND(BS!Y48,0)=ROUND(SUM(BS!Y41,BS!Y47),0),"OK","ERROR")</f>
        <v>OK</v>
      </c>
      <c r="Z113" s="227" t="str">
        <f>IF(ROUND(BS!Z48,0)=ROUND(SUM(BS!Z41,BS!Z47),0),"OK","ERROR")</f>
        <v>OK</v>
      </c>
      <c r="AA113" s="248"/>
      <c r="AB113" s="217" t="str">
        <f>IF(ROUND(BS!AB48,0)=ROUND(SUM(BS!AB41,BS!AB47),0),"OK","ERROR")</f>
        <v>OK</v>
      </c>
      <c r="AC113" s="217" t="str">
        <f>IF(ROUND(BS!AC48,0)=ROUND(SUM(BS!AC41,BS!AC47),0),"OK","ERROR")</f>
        <v>OK</v>
      </c>
      <c r="AD113" s="217" t="str">
        <f>IF(ROUND(BS!AD48,0)=ROUND(SUM(BS!AD41,BS!AD47),0),"OK","ERROR")</f>
        <v>OK</v>
      </c>
      <c r="AE113" s="217" t="str">
        <f>IF(ROUND(BS!AE48,0)=ROUND(SUM(BS!AE41,BS!AE47),0),"OK","ERROR")</f>
        <v>OK</v>
      </c>
      <c r="AF113" s="227" t="str">
        <f>IF(ROUND(BS!AF48,0)=ROUND(SUM(BS!AF41,BS!AF47),0),"OK","ERROR")</f>
        <v>OK</v>
      </c>
      <c r="AG113" s="284"/>
      <c r="AH113" s="217" t="str">
        <f>IF(ROUND(BS!AH48,0)=ROUND(SUM(BS!AH41,BS!AH47),0),"OK","ERROR")</f>
        <v>OK</v>
      </c>
      <c r="AI113" s="217" t="str">
        <f>IF(ROUND(BS!AI48,0)=ROUND(SUM(BS!AI41,BS!AI47),0),"OK","ERROR")</f>
        <v>OK</v>
      </c>
      <c r="AJ113" s="217" t="str">
        <f>IF(ROUND(BS!AJ48,0)=ROUND(SUM(BS!AJ41,BS!AJ47),0),"OK","ERROR")</f>
        <v>OK</v>
      </c>
      <c r="AK113" s="217" t="str">
        <f>IF(ROUND(BS!AK48,0)=ROUND(SUM(BS!AK41,BS!AK47),0),"OK","ERROR")</f>
        <v>OK</v>
      </c>
      <c r="AL113" s="227" t="str">
        <f>IF(ROUND(BS!AL48,0)=ROUND(SUM(BS!AL41,BS!AL47),0),"OK","ERROR")</f>
        <v>OK</v>
      </c>
      <c r="AM113" s="248"/>
      <c r="AN113" s="217" t="str">
        <f>IF(ROUND(BS!AN48,0)=ROUND(SUM(BS!AN41,BS!AN47),0),"OK","ERROR")</f>
        <v>OK</v>
      </c>
      <c r="AO113" s="217" t="str">
        <f>IF(ROUND(BS!AO48,0)=ROUND(SUM(BS!AO41,BS!AO47),0),"OK","ERROR")</f>
        <v>OK</v>
      </c>
      <c r="AP113" s="217" t="str">
        <f>IF(ROUND(BS!AP48,0)=ROUND(SUM(BS!AP41,BS!AP47),0),"OK","ERROR")</f>
        <v>OK</v>
      </c>
      <c r="AQ113" s="217" t="str">
        <f>IF(ROUND(BS!AQ48,0)=ROUND(SUM(BS!AQ41,BS!AQ47),0),"OK","ERROR")</f>
        <v>OK</v>
      </c>
      <c r="AR113" s="227" t="str">
        <f>IF(ROUND(BS!AR48,0)=ROUND(SUM(BS!AR41,BS!AR47),0),"OK","ERROR")</f>
        <v>OK</v>
      </c>
      <c r="AS113" s="248"/>
      <c r="AT113" s="227" t="str">
        <f>IF(ROUND(BS!AT48,0)=ROUND(SUM(BS!AT41,BS!AT47),0),"OK","ERROR")</f>
        <v>OK</v>
      </c>
      <c r="AU113" s="248"/>
      <c r="AV113" s="227" t="str">
        <f>IF(ROUND(BS!AV48,0)=ROUND(SUM(BS!AV41,BS!AV47),0),"OK","ERROR")</f>
        <v>OK</v>
      </c>
      <c r="AW113" s="255"/>
      <c r="AX113" s="227" t="str">
        <f>IF(ROUND(BS!AX48,0)=ROUND(SUM(BS!AX41,BS!AX47),0),"OK","ERROR")</f>
        <v>OK</v>
      </c>
    </row>
    <row r="114" spans="1:50" s="113" customFormat="1" ht="15" customHeight="1">
      <c r="B114" s="143"/>
      <c r="C114" s="115"/>
      <c r="D114" s="208"/>
      <c r="E114" s="208"/>
      <c r="F114" s="208"/>
      <c r="G114" s="208"/>
      <c r="H114" s="220"/>
      <c r="I114" s="256"/>
      <c r="J114" s="208"/>
      <c r="K114" s="208"/>
      <c r="L114" s="208"/>
      <c r="M114" s="208"/>
      <c r="N114" s="220"/>
      <c r="O114" s="256"/>
      <c r="P114" s="208"/>
      <c r="Q114" s="208"/>
      <c r="R114" s="208"/>
      <c r="S114" s="208"/>
      <c r="T114" s="220"/>
      <c r="U114" s="256"/>
      <c r="V114" s="208"/>
      <c r="W114" s="208"/>
      <c r="X114" s="208"/>
      <c r="Y114" s="208"/>
      <c r="Z114" s="220"/>
      <c r="AA114" s="256"/>
      <c r="AB114" s="208"/>
      <c r="AC114" s="208"/>
      <c r="AD114" s="208"/>
      <c r="AE114" s="208"/>
      <c r="AF114" s="220"/>
      <c r="AG114" s="285"/>
      <c r="AH114" s="208"/>
      <c r="AI114" s="208"/>
      <c r="AJ114" s="208"/>
      <c r="AK114" s="208"/>
      <c r="AL114" s="220"/>
      <c r="AM114" s="256"/>
      <c r="AN114" s="208"/>
      <c r="AO114" s="208"/>
      <c r="AP114" s="208"/>
      <c r="AQ114" s="208"/>
      <c r="AR114" s="220"/>
      <c r="AS114" s="256"/>
      <c r="AT114" s="220"/>
      <c r="AU114" s="256"/>
      <c r="AV114" s="220"/>
      <c r="AW114" s="261"/>
      <c r="AX114" s="220"/>
    </row>
    <row r="115" spans="1:50" s="41" customFormat="1" ht="15" customHeight="1">
      <c r="A115" s="44" t="s">
        <v>33</v>
      </c>
      <c r="B115" s="114" t="s">
        <v>611</v>
      </c>
      <c r="C115" s="17"/>
      <c r="D115" s="208"/>
      <c r="E115" s="208"/>
      <c r="F115" s="208"/>
      <c r="G115" s="208"/>
      <c r="H115" s="220"/>
      <c r="I115" s="248"/>
      <c r="J115" s="208"/>
      <c r="K115" s="208"/>
      <c r="L115" s="208"/>
      <c r="M115" s="208"/>
      <c r="N115" s="220"/>
      <c r="O115" s="248"/>
      <c r="P115" s="208"/>
      <c r="Q115" s="208"/>
      <c r="R115" s="208"/>
      <c r="S115" s="208"/>
      <c r="T115" s="220"/>
      <c r="U115" s="248"/>
      <c r="V115" s="208"/>
      <c r="W115" s="208"/>
      <c r="X115" s="208"/>
      <c r="Y115" s="208"/>
      <c r="Z115" s="220"/>
      <c r="AA115" s="248"/>
      <c r="AB115" s="208"/>
      <c r="AC115" s="208"/>
      <c r="AD115" s="208"/>
      <c r="AE115" s="208"/>
      <c r="AF115" s="220"/>
      <c r="AG115" s="284"/>
      <c r="AH115" s="208"/>
      <c r="AI115" s="208"/>
      <c r="AJ115" s="208"/>
      <c r="AK115" s="208"/>
      <c r="AL115" s="220"/>
      <c r="AM115" s="248"/>
      <c r="AN115" s="208"/>
      <c r="AO115" s="208"/>
      <c r="AP115" s="208"/>
      <c r="AQ115" s="208"/>
      <c r="AR115" s="220"/>
      <c r="AS115" s="248"/>
      <c r="AT115" s="220"/>
      <c r="AU115" s="248"/>
      <c r="AV115" s="220"/>
      <c r="AW115" s="255"/>
      <c r="AX115" s="220"/>
    </row>
    <row r="116" spans="1:50" s="113" customFormat="1" ht="15" customHeight="1">
      <c r="B116" s="138" t="s">
        <v>615</v>
      </c>
      <c r="C116" s="115"/>
      <c r="D116" s="217" t="str">
        <f>IF(ROUND(BS!D54,0)=ROUND(SUM(BS!D51:D53),0),"OK","ERROR")</f>
        <v>OK</v>
      </c>
      <c r="E116" s="217" t="str">
        <f>IF(ROUND(BS!E54,0)=ROUND(SUM(BS!E51:E53),0),"OK","ERROR")</f>
        <v>OK</v>
      </c>
      <c r="F116" s="217" t="str">
        <f>IF(ROUND(BS!F54,0)=ROUND(SUM(BS!F51:F53),0),"OK","ERROR")</f>
        <v>OK</v>
      </c>
      <c r="G116" s="217" t="str">
        <f>IF(ROUND(BS!G54,0)=ROUND(SUM(BS!G51:G53),0),"OK","ERROR")</f>
        <v>OK</v>
      </c>
      <c r="H116" s="227" t="str">
        <f>IF(ROUND(BS!H54,0)=ROUND(SUM(BS!H51:H53),0),"OK","ERROR")</f>
        <v>OK</v>
      </c>
      <c r="I116" s="256"/>
      <c r="J116" s="217" t="str">
        <f>IF(ROUND(BS!J54,0)=ROUND(SUM(BS!J51:J53),0),"OK","ERROR")</f>
        <v>OK</v>
      </c>
      <c r="K116" s="217" t="str">
        <f>IF(ROUND(BS!K54,0)=ROUND(SUM(BS!K51:K53),0),"OK","ERROR")</f>
        <v>OK</v>
      </c>
      <c r="L116" s="217" t="str">
        <f>IF(ROUND(BS!L54,0)=ROUND(SUM(BS!L51:L53),0),"OK","ERROR")</f>
        <v>OK</v>
      </c>
      <c r="M116" s="217" t="str">
        <f>IF(ROUND(BS!M54,0)=ROUND(SUM(BS!M51:M53),0),"OK","ERROR")</f>
        <v>OK</v>
      </c>
      <c r="N116" s="227" t="str">
        <f>IF(ROUND(BS!N54,0)=ROUND(SUM(BS!N51:N53),0),"OK","ERROR")</f>
        <v>OK</v>
      </c>
      <c r="O116" s="256"/>
      <c r="P116" s="217" t="str">
        <f>IF(ROUND(BS!P54,0)=ROUND(SUM(BS!P51:P53),0),"OK","ERROR")</f>
        <v>OK</v>
      </c>
      <c r="Q116" s="217" t="str">
        <f>IF(ROUND(BS!Q54,0)=ROUND(SUM(BS!Q51:Q53),0),"OK","ERROR")</f>
        <v>OK</v>
      </c>
      <c r="R116" s="217" t="str">
        <f>IF(ROUND(BS!R54,0)=ROUND(SUM(BS!R51:R53),0),"OK","ERROR")</f>
        <v>OK</v>
      </c>
      <c r="S116" s="217" t="str">
        <f>IF(ROUND(BS!S54,0)=ROUND(SUM(BS!S51:S53),0),"OK","ERROR")</f>
        <v>OK</v>
      </c>
      <c r="T116" s="227" t="str">
        <f>IF(ROUND(BS!T54,0)=ROUND(SUM(BS!T51:T53),0),"OK","ERROR")</f>
        <v>OK</v>
      </c>
      <c r="U116" s="256"/>
      <c r="V116" s="217" t="str">
        <f>IF(ROUND(BS!V54,0)=ROUND(SUM(BS!V51:V53),0),"OK","ERROR")</f>
        <v>OK</v>
      </c>
      <c r="W116" s="217" t="str">
        <f>IF(ROUND(BS!W54,0)=ROUND(SUM(BS!W51:W53),0),"OK","ERROR")</f>
        <v>OK</v>
      </c>
      <c r="X116" s="217" t="str">
        <f>IF(ROUND(BS!X54,0)=ROUND(SUM(BS!X51:X53),0),"OK","ERROR")</f>
        <v>OK</v>
      </c>
      <c r="Y116" s="217" t="str">
        <f>IF(ROUND(BS!Y54,0)=ROUND(SUM(BS!Y51:Y53),0),"OK","ERROR")</f>
        <v>OK</v>
      </c>
      <c r="Z116" s="227" t="str">
        <f>IF(ROUND(BS!Z54,0)=ROUND(SUM(BS!Z51:Z53),0),"OK","ERROR")</f>
        <v>OK</v>
      </c>
      <c r="AA116" s="256"/>
      <c r="AB116" s="217" t="str">
        <f>IF(ROUND(BS!AB54,0)=ROUND(SUM(BS!AB51:AB53),0),"OK","ERROR")</f>
        <v>OK</v>
      </c>
      <c r="AC116" s="217" t="str">
        <f>IF(ROUND(BS!AC54,0)=ROUND(SUM(BS!AC51:AC53),0),"OK","ERROR")</f>
        <v>OK</v>
      </c>
      <c r="AD116" s="217" t="str">
        <f>IF(ROUND(BS!AD54,0)=ROUND(SUM(BS!AD51:AD53),0),"OK","ERROR")</f>
        <v>OK</v>
      </c>
      <c r="AE116" s="217" t="str">
        <f>IF(ROUND(BS!AE54,0)=ROUND(SUM(BS!AE51:AE53),0),"OK","ERROR")</f>
        <v>OK</v>
      </c>
      <c r="AF116" s="227" t="str">
        <f>IF(ROUND(BS!AF54,0)=ROUND(SUM(BS!AF51:AF53),0),"OK","ERROR")</f>
        <v>OK</v>
      </c>
      <c r="AG116" s="285"/>
      <c r="AH116" s="217" t="str">
        <f>IF(ROUND(BS!AH54,0)=ROUND(SUM(BS!AH51:AH53),0),"OK","ERROR")</f>
        <v>OK</v>
      </c>
      <c r="AI116" s="217" t="str">
        <f>IF(ROUND(BS!AI54,0)=ROUND(SUM(BS!AI51:AI53),0),"OK","ERROR")</f>
        <v>OK</v>
      </c>
      <c r="AJ116" s="217" t="str">
        <f>IF(ROUND(BS!AJ54,0)=ROUND(SUM(BS!AJ51:AJ53),0),"OK","ERROR")</f>
        <v>OK</v>
      </c>
      <c r="AK116" s="217" t="str">
        <f>IF(ROUND(BS!AK54,0)=ROUND(SUM(BS!AK51:AK53),0),"OK","ERROR")</f>
        <v>OK</v>
      </c>
      <c r="AL116" s="227" t="str">
        <f>IF(ROUND(BS!AL54,0)=ROUND(SUM(BS!AL51:AL53),0),"OK","ERROR")</f>
        <v>OK</v>
      </c>
      <c r="AM116" s="256"/>
      <c r="AN116" s="217" t="str">
        <f>IF(ROUND(BS!AN54,0)=ROUND(SUM(BS!AN51:AN53),0),"OK","ERROR")</f>
        <v>OK</v>
      </c>
      <c r="AO116" s="217" t="str">
        <f>IF(ROUND(BS!AO54,0)=ROUND(SUM(BS!AO51:AO53),0),"OK","ERROR")</f>
        <v>OK</v>
      </c>
      <c r="AP116" s="217" t="str">
        <f>IF(ROUND(BS!AP54,0)=ROUND(SUM(BS!AP51:AP53),0),"OK","ERROR")</f>
        <v>OK</v>
      </c>
      <c r="AQ116" s="217" t="str">
        <f>IF(ROUND(BS!AQ54,0)=ROUND(SUM(BS!AQ51:AQ53),0),"OK","ERROR")</f>
        <v>OK</v>
      </c>
      <c r="AR116" s="227" t="str">
        <f>IF(ROUND(BS!AR54,0)=ROUND(SUM(BS!AR51:AR53),0),"OK","ERROR")</f>
        <v>OK</v>
      </c>
      <c r="AS116" s="256"/>
      <c r="AT116" s="227" t="str">
        <f>IF(ROUND(BS!AT54,0)=ROUND(SUM(BS!AT51:AT53),0),"OK","ERROR")</f>
        <v>OK</v>
      </c>
      <c r="AU116" s="256"/>
      <c r="AV116" s="227" t="str">
        <f>IF(ROUND(BS!AV54,0)=ROUND(SUM(BS!AV51:AV53),0),"OK","ERROR")</f>
        <v>OK</v>
      </c>
      <c r="AW116" s="261"/>
      <c r="AX116" s="227" t="str">
        <f>IF(ROUND(BS!AX54,0)=ROUND(SUM(BS!AX51:AX53),0),"OK","ERROR")</f>
        <v>OK</v>
      </c>
    </row>
    <row r="117" spans="1:50" s="41" customFormat="1" ht="15" customHeight="1" thickBot="1">
      <c r="A117" s="43"/>
      <c r="B117" s="140" t="s">
        <v>616</v>
      </c>
      <c r="C117" s="17"/>
      <c r="D117" s="217" t="str">
        <f>IF(ROUND(BS!D55,0)=ROUND(SUM(BS!D54,BS!D48),0),"OK","ERROR")</f>
        <v>OK</v>
      </c>
      <c r="E117" s="217" t="str">
        <f>IF(ROUND(BS!E55,0)=ROUND(SUM(BS!E54,BS!E48),0),"OK","ERROR")</f>
        <v>OK</v>
      </c>
      <c r="F117" s="217" t="str">
        <f>IF(ROUND(BS!F55,0)=ROUND(SUM(BS!F54,BS!F48),0),"OK","ERROR")</f>
        <v>OK</v>
      </c>
      <c r="G117" s="217" t="str">
        <f>IF(ROUND(BS!G55,0)=ROUND(SUM(BS!G54,BS!G48),0),"OK","ERROR")</f>
        <v>OK</v>
      </c>
      <c r="H117" s="237" t="str">
        <f>IF(ROUND(BS!H55,0)=ROUND(SUM(BS!H54,BS!H48),0),"OK","ERROR")</f>
        <v>OK</v>
      </c>
      <c r="I117" s="248"/>
      <c r="J117" s="217" t="str">
        <f>IF(ROUND(BS!J55,0)=ROUND(SUM(BS!J54,BS!J48),0),"OK","ERROR")</f>
        <v>OK</v>
      </c>
      <c r="K117" s="217" t="str">
        <f>IF(ROUND(BS!K55,0)=ROUND(SUM(BS!K54,BS!K48),0),"OK","ERROR")</f>
        <v>OK</v>
      </c>
      <c r="L117" s="217" t="str">
        <f>IF(ROUND(BS!L55,0)=ROUND(SUM(BS!L54,BS!L48),0),"OK","ERROR")</f>
        <v>OK</v>
      </c>
      <c r="M117" s="217" t="str">
        <f>IF(ROUND(BS!M55,0)=ROUND(SUM(BS!M54,BS!M48),0),"OK","ERROR")</f>
        <v>OK</v>
      </c>
      <c r="N117" s="237" t="str">
        <f>IF(ROUND(BS!N55,0)=ROUND(SUM(BS!N54,BS!N48),0),"OK","ERROR")</f>
        <v>OK</v>
      </c>
      <c r="O117" s="248"/>
      <c r="P117" s="217" t="str">
        <f>IF(ROUND(BS!P55,0)=ROUND(SUM(BS!P54,BS!P48),0),"OK","ERROR")</f>
        <v>OK</v>
      </c>
      <c r="Q117" s="217" t="str">
        <f>IF(ROUND(BS!Q55,0)=ROUND(SUM(BS!Q54,BS!Q48),0),"OK","ERROR")</f>
        <v>OK</v>
      </c>
      <c r="R117" s="217" t="str">
        <f>IF(ROUND(BS!R55,0)=ROUND(SUM(BS!R54,BS!R48),0),"OK","ERROR")</f>
        <v>OK</v>
      </c>
      <c r="S117" s="217" t="str">
        <f>IF(ROUND(BS!S55,0)=ROUND(SUM(BS!S54,BS!S48),0),"OK","ERROR")</f>
        <v>OK</v>
      </c>
      <c r="T117" s="237" t="str">
        <f>IF(ROUND(BS!T55,0)=ROUND(SUM(BS!T54,BS!T48),0),"OK","ERROR")</f>
        <v>OK</v>
      </c>
      <c r="U117" s="248"/>
      <c r="V117" s="217" t="str">
        <f>IF(ROUND(BS!V55,0)=ROUND(SUM(BS!V54,BS!V48),0),"OK","ERROR")</f>
        <v>OK</v>
      </c>
      <c r="W117" s="217" t="str">
        <f>IF(ROUND(BS!W55,0)=ROUND(SUM(BS!W54,BS!W48),0),"OK","ERROR")</f>
        <v>OK</v>
      </c>
      <c r="X117" s="217" t="str">
        <f>IF(ROUND(BS!X55,0)=ROUND(SUM(BS!X54,BS!X48),0),"OK","ERROR")</f>
        <v>OK</v>
      </c>
      <c r="Y117" s="217" t="str">
        <f>IF(ROUND(BS!Y55,0)=ROUND(SUM(BS!Y54,BS!Y48),0),"OK","ERROR")</f>
        <v>OK</v>
      </c>
      <c r="Z117" s="237" t="str">
        <f>IF(ROUND(BS!Z55,0)=ROUND(SUM(BS!Z54,BS!Z48),0),"OK","ERROR")</f>
        <v>OK</v>
      </c>
      <c r="AA117" s="248"/>
      <c r="AB117" s="217" t="str">
        <f>IF(ROUND(BS!AB55,0)=ROUND(SUM(BS!AB54,BS!AB48),0),"OK","ERROR")</f>
        <v>OK</v>
      </c>
      <c r="AC117" s="217" t="str">
        <f>IF(ROUND(BS!AC55,0)=ROUND(SUM(BS!AC54,BS!AC48),0),"OK","ERROR")</f>
        <v>OK</v>
      </c>
      <c r="AD117" s="217" t="str">
        <f>IF(ROUND(BS!AD55,0)=ROUND(SUM(BS!AD54,BS!AD48),0),"OK","ERROR")</f>
        <v>OK</v>
      </c>
      <c r="AE117" s="217" t="str">
        <f>IF(ROUND(BS!AE55,0)=ROUND(SUM(BS!AE54,BS!AE48),0),"OK","ERROR")</f>
        <v>OK</v>
      </c>
      <c r="AF117" s="237" t="str">
        <f>IF(ROUND(BS!AF55,0)=ROUND(SUM(BS!AF54,BS!AF48),0),"OK","ERROR")</f>
        <v>OK</v>
      </c>
      <c r="AG117" s="284"/>
      <c r="AH117" s="217" t="str">
        <f>IF(ROUND(BS!AH55,0)=ROUND(SUM(BS!AH54,BS!AH48),0),"OK","ERROR")</f>
        <v>OK</v>
      </c>
      <c r="AI117" s="217" t="str">
        <f>IF(ROUND(BS!AI55,0)=ROUND(SUM(BS!AI54,BS!AI48),0),"OK","ERROR")</f>
        <v>OK</v>
      </c>
      <c r="AJ117" s="217" t="str">
        <f>IF(ROUND(BS!AJ55,0)=ROUND(SUM(BS!AJ54,BS!AJ48),0),"OK","ERROR")</f>
        <v>OK</v>
      </c>
      <c r="AK117" s="217" t="str">
        <f>IF(ROUND(BS!AK55,0)=ROUND(SUM(BS!AK54,BS!AK48),0),"OK","ERROR")</f>
        <v>OK</v>
      </c>
      <c r="AL117" s="237" t="str">
        <f>IF(ROUND(BS!AL55,0)=ROUND(SUM(BS!AL54,BS!AL48),0),"OK","ERROR")</f>
        <v>OK</v>
      </c>
      <c r="AM117" s="248"/>
      <c r="AN117" s="217" t="str">
        <f>IF(ROUND(BS!AN55,0)=ROUND(SUM(BS!AN54,BS!AN48),0),"OK","ERROR")</f>
        <v>OK</v>
      </c>
      <c r="AO117" s="217" t="str">
        <f>IF(ROUND(BS!AO55,0)=ROUND(SUM(BS!AO54,BS!AO48),0),"OK","ERROR")</f>
        <v>OK</v>
      </c>
      <c r="AP117" s="217" t="str">
        <f>IF(ROUND(BS!AP55,0)=ROUND(SUM(BS!AP54,BS!AP48),0),"OK","ERROR")</f>
        <v>OK</v>
      </c>
      <c r="AQ117" s="217" t="str">
        <f>IF(ROUND(BS!AQ55,0)=ROUND(SUM(BS!AQ54,BS!AQ48),0),"OK","ERROR")</f>
        <v>OK</v>
      </c>
      <c r="AR117" s="237" t="str">
        <f>IF(ROUND(BS!AR55,0)=ROUND(SUM(BS!AR54,BS!AR48),0),"OK","ERROR")</f>
        <v>OK</v>
      </c>
      <c r="AS117" s="248"/>
      <c r="AT117" s="237" t="str">
        <f>IF(ROUND(BS!AT55,0)=ROUND(SUM(BS!AT54,BS!AT48),0),"OK","ERROR")</f>
        <v>OK</v>
      </c>
      <c r="AU117" s="248"/>
      <c r="AV117" s="237" t="str">
        <f>IF(ROUND(BS!AV55,0)=ROUND(SUM(BS!AV54,BS!AV48),0),"OK","ERROR")</f>
        <v>OK</v>
      </c>
      <c r="AW117" s="255"/>
      <c r="AX117" s="237" t="str">
        <f>IF(ROUND(BS!AX55,0)=ROUND(SUM(BS!AX54,BS!AX48),0),"OK","ERROR")</f>
        <v>OK</v>
      </c>
    </row>
    <row r="118" spans="1:50" ht="14.25" customHeight="1" thickTop="1"/>
    <row r="119" spans="1:50" s="41" customFormat="1" ht="15" customHeight="1">
      <c r="A119" s="44" t="s">
        <v>33</v>
      </c>
      <c r="B119" s="161" t="s">
        <v>649</v>
      </c>
      <c r="C119" s="18"/>
      <c r="D119" s="202">
        <f>F119</f>
        <v>2020</v>
      </c>
      <c r="E119" s="202">
        <f>F119</f>
        <v>2020</v>
      </c>
      <c r="F119" s="202">
        <v>2020</v>
      </c>
      <c r="G119" s="202">
        <f>F119</f>
        <v>2020</v>
      </c>
      <c r="H119" s="202">
        <f>F119</f>
        <v>2020</v>
      </c>
      <c r="I119" s="18"/>
      <c r="J119" s="202">
        <f>L119</f>
        <v>2021</v>
      </c>
      <c r="K119" s="202">
        <f>L119</f>
        <v>2021</v>
      </c>
      <c r="L119" s="202">
        <v>2021</v>
      </c>
      <c r="M119" s="202">
        <f>L119</f>
        <v>2021</v>
      </c>
      <c r="N119" s="202">
        <f>L119</f>
        <v>2021</v>
      </c>
      <c r="O119" s="169"/>
      <c r="P119" s="202">
        <f>R119</f>
        <v>2022</v>
      </c>
      <c r="Q119" s="202">
        <f>R119</f>
        <v>2022</v>
      </c>
      <c r="R119" s="202">
        <v>2022</v>
      </c>
      <c r="S119" s="202">
        <f>R119</f>
        <v>2022</v>
      </c>
      <c r="T119" s="202">
        <f>R119</f>
        <v>2022</v>
      </c>
      <c r="U119" s="169"/>
      <c r="V119" s="202">
        <f>X119</f>
        <v>2023</v>
      </c>
      <c r="W119" s="202">
        <f>X119</f>
        <v>2023</v>
      </c>
      <c r="X119" s="202">
        <v>2023</v>
      </c>
      <c r="Y119" s="202">
        <f>X119</f>
        <v>2023</v>
      </c>
      <c r="Z119" s="202">
        <f>X119</f>
        <v>2023</v>
      </c>
      <c r="AA119" s="170"/>
      <c r="AB119" s="202">
        <f>AD119</f>
        <v>2024</v>
      </c>
      <c r="AC119" s="202">
        <f>AD119</f>
        <v>2024</v>
      </c>
      <c r="AD119" s="202">
        <v>2024</v>
      </c>
      <c r="AE119" s="202">
        <f>AD119</f>
        <v>2024</v>
      </c>
      <c r="AF119" s="202">
        <f>AD119</f>
        <v>2024</v>
      </c>
      <c r="AG119" s="170"/>
      <c r="AH119" s="202">
        <f>AJ119</f>
        <v>2025</v>
      </c>
      <c r="AI119" s="202">
        <f>AJ119</f>
        <v>2025</v>
      </c>
      <c r="AJ119" s="203">
        <v>2025</v>
      </c>
      <c r="AK119" s="202">
        <f>AJ119</f>
        <v>2025</v>
      </c>
      <c r="AL119" s="202">
        <f>AJ119</f>
        <v>2025</v>
      </c>
      <c r="AM119" s="171"/>
      <c r="AN119" s="202">
        <f>AP119</f>
        <v>2025</v>
      </c>
      <c r="AO119" s="202">
        <f>AP119</f>
        <v>2025</v>
      </c>
      <c r="AP119" s="203">
        <v>2025</v>
      </c>
      <c r="AQ119" s="202">
        <f>AP119</f>
        <v>2025</v>
      </c>
      <c r="AR119" s="202">
        <f>AP119</f>
        <v>2025</v>
      </c>
      <c r="AS119" s="18"/>
      <c r="AT119" s="162"/>
      <c r="AU119" s="18"/>
      <c r="AV119" s="163"/>
      <c r="AW119" s="18"/>
      <c r="AX119" s="163"/>
    </row>
    <row r="120" spans="1:50" s="41" customFormat="1" ht="15" customHeight="1">
      <c r="B120" s="164"/>
      <c r="C120" s="18"/>
      <c r="D120" s="743">
        <v>2020</v>
      </c>
      <c r="E120" s="743"/>
      <c r="F120" s="743"/>
      <c r="G120" s="743"/>
      <c r="H120" s="743"/>
      <c r="I120" s="169"/>
      <c r="J120" s="743">
        <f>D120+1</f>
        <v>2021</v>
      </c>
      <c r="K120" s="743"/>
      <c r="L120" s="743"/>
      <c r="M120" s="743"/>
      <c r="N120" s="743"/>
      <c r="O120" s="169"/>
      <c r="P120" s="743">
        <f>J120+1</f>
        <v>2022</v>
      </c>
      <c r="Q120" s="743"/>
      <c r="R120" s="743"/>
      <c r="S120" s="743"/>
      <c r="T120" s="743"/>
      <c r="U120" s="169"/>
      <c r="V120" s="743">
        <f>P120+1</f>
        <v>2023</v>
      </c>
      <c r="W120" s="743"/>
      <c r="X120" s="743"/>
      <c r="Y120" s="743"/>
      <c r="Z120" s="743"/>
      <c r="AA120" s="169"/>
      <c r="AB120" s="743">
        <f>V120+1</f>
        <v>2024</v>
      </c>
      <c r="AC120" s="743"/>
      <c r="AD120" s="743"/>
      <c r="AE120" s="743"/>
      <c r="AF120" s="743"/>
      <c r="AG120" s="169"/>
      <c r="AH120" s="742">
        <f>AB120+1</f>
        <v>2025</v>
      </c>
      <c r="AI120" s="742"/>
      <c r="AJ120" s="742"/>
      <c r="AK120" s="742"/>
      <c r="AL120" s="742"/>
      <c r="AM120" s="169"/>
      <c r="AN120" s="742">
        <f>AH120+1</f>
        <v>2026</v>
      </c>
      <c r="AO120" s="742"/>
      <c r="AP120" s="742"/>
      <c r="AQ120" s="742"/>
      <c r="AR120" s="742"/>
      <c r="AS120" s="171"/>
      <c r="AT120" s="166">
        <f>AN120+1</f>
        <v>2027</v>
      </c>
      <c r="AU120" s="167"/>
      <c r="AV120" s="166">
        <f>+AT120+1</f>
        <v>2028</v>
      </c>
      <c r="AW120" s="167"/>
      <c r="AX120" s="166">
        <f>+AV120+1</f>
        <v>2029</v>
      </c>
    </row>
    <row r="121" spans="1:50" s="41" customFormat="1" ht="15" customHeight="1">
      <c r="B121" s="164"/>
      <c r="C121" s="18"/>
      <c r="D121" s="168" t="s">
        <v>202</v>
      </c>
      <c r="E121" s="168" t="s">
        <v>203</v>
      </c>
      <c r="F121" s="168" t="s">
        <v>204</v>
      </c>
      <c r="G121" s="168" t="s">
        <v>205</v>
      </c>
      <c r="H121" s="168" t="s">
        <v>206</v>
      </c>
      <c r="I121" s="18"/>
      <c r="J121" s="168" t="s">
        <v>202</v>
      </c>
      <c r="K121" s="168" t="s">
        <v>203</v>
      </c>
      <c r="L121" s="168" t="s">
        <v>204</v>
      </c>
      <c r="M121" s="168" t="s">
        <v>205</v>
      </c>
      <c r="N121" s="168" t="s">
        <v>206</v>
      </c>
      <c r="O121" s="165"/>
      <c r="P121" s="168" t="s">
        <v>202</v>
      </c>
      <c r="Q121" s="168" t="s">
        <v>203</v>
      </c>
      <c r="R121" s="168" t="s">
        <v>204</v>
      </c>
      <c r="S121" s="168" t="s">
        <v>205</v>
      </c>
      <c r="T121" s="168" t="s">
        <v>206</v>
      </c>
      <c r="U121" s="165"/>
      <c r="V121" s="168" t="s">
        <v>202</v>
      </c>
      <c r="W121" s="168" t="s">
        <v>203</v>
      </c>
      <c r="X121" s="168" t="s">
        <v>204</v>
      </c>
      <c r="Y121" s="168" t="s">
        <v>205</v>
      </c>
      <c r="Z121" s="168" t="s">
        <v>206</v>
      </c>
      <c r="AA121" s="165"/>
      <c r="AB121" s="168" t="s">
        <v>202</v>
      </c>
      <c r="AC121" s="168" t="s">
        <v>203</v>
      </c>
      <c r="AD121" s="168" t="s">
        <v>204</v>
      </c>
      <c r="AE121" s="168" t="s">
        <v>205</v>
      </c>
      <c r="AF121" s="168" t="s">
        <v>206</v>
      </c>
      <c r="AG121" s="165"/>
      <c r="AH121" s="168" t="s">
        <v>202</v>
      </c>
      <c r="AI121" s="168" t="s">
        <v>203</v>
      </c>
      <c r="AJ121" s="168" t="s">
        <v>204</v>
      </c>
      <c r="AK121" s="168" t="s">
        <v>205</v>
      </c>
      <c r="AL121" s="168" t="s">
        <v>206</v>
      </c>
      <c r="AM121" s="165"/>
      <c r="AN121" s="168" t="s">
        <v>202</v>
      </c>
      <c r="AO121" s="168" t="s">
        <v>203</v>
      </c>
      <c r="AP121" s="168" t="s">
        <v>204</v>
      </c>
      <c r="AQ121" s="168" t="s">
        <v>205</v>
      </c>
      <c r="AR121" s="168" t="s">
        <v>206</v>
      </c>
      <c r="AS121" s="165"/>
      <c r="AT121" s="168" t="s">
        <v>206</v>
      </c>
      <c r="AU121" s="165"/>
      <c r="AV121" s="168" t="s">
        <v>206</v>
      </c>
      <c r="AW121" s="165"/>
      <c r="AX121" s="168" t="s">
        <v>206</v>
      </c>
    </row>
    <row r="122" spans="1:50" s="41" customFormat="1" ht="3.95" customHeight="1">
      <c r="A122" s="43"/>
      <c r="B122" s="176"/>
      <c r="C122" s="35"/>
      <c r="D122" s="177"/>
      <c r="E122" s="177"/>
      <c r="F122" s="177"/>
      <c r="G122" s="177"/>
      <c r="H122" s="177"/>
      <c r="I122" s="35"/>
      <c r="J122" s="177"/>
      <c r="K122" s="177"/>
      <c r="L122" s="177"/>
      <c r="M122" s="177"/>
      <c r="N122" s="177"/>
      <c r="O122" s="178"/>
      <c r="P122" s="177"/>
      <c r="Q122" s="177"/>
      <c r="R122" s="177"/>
      <c r="S122" s="177"/>
      <c r="T122" s="177"/>
      <c r="U122" s="178"/>
      <c r="V122" s="177"/>
      <c r="W122" s="177"/>
      <c r="X122" s="177"/>
      <c r="Y122" s="177"/>
      <c r="Z122" s="177"/>
      <c r="AA122" s="178"/>
      <c r="AB122" s="177"/>
      <c r="AC122" s="177"/>
      <c r="AD122" s="177"/>
      <c r="AE122" s="177"/>
      <c r="AF122" s="177"/>
      <c r="AG122" s="178"/>
      <c r="AH122" s="177"/>
      <c r="AI122" s="177"/>
      <c r="AJ122" s="177"/>
      <c r="AK122" s="177"/>
      <c r="AL122" s="179"/>
      <c r="AM122" s="180"/>
      <c r="AN122" s="179"/>
      <c r="AO122" s="179"/>
      <c r="AP122" s="179"/>
      <c r="AQ122" s="179"/>
      <c r="AR122" s="179"/>
      <c r="AS122" s="180"/>
      <c r="AT122" s="179"/>
      <c r="AU122" s="180"/>
      <c r="AV122" s="179"/>
      <c r="AW122" s="180"/>
      <c r="AX122" s="179"/>
    </row>
    <row r="123" spans="1:50" s="41" customFormat="1" ht="3.95" customHeight="1">
      <c r="A123" s="43"/>
      <c r="B123" s="172"/>
      <c r="C123" s="19"/>
      <c r="D123" s="173"/>
      <c r="E123" s="173"/>
      <c r="F123" s="173"/>
      <c r="G123" s="173"/>
      <c r="H123" s="173"/>
      <c r="I123" s="19"/>
      <c r="J123" s="173"/>
      <c r="K123" s="173"/>
      <c r="L123" s="173"/>
      <c r="M123" s="173"/>
      <c r="N123" s="173"/>
      <c r="O123" s="174"/>
      <c r="P123" s="173"/>
      <c r="Q123" s="173"/>
      <c r="R123" s="173"/>
      <c r="S123" s="173"/>
      <c r="T123" s="173"/>
      <c r="U123" s="174"/>
      <c r="V123" s="173"/>
      <c r="W123" s="173"/>
      <c r="X123" s="173"/>
      <c r="Y123" s="173"/>
      <c r="Z123" s="173"/>
      <c r="AA123" s="174"/>
      <c r="AB123" s="173"/>
      <c r="AC123" s="173"/>
      <c r="AD123" s="173"/>
      <c r="AE123" s="173"/>
      <c r="AF123" s="173"/>
      <c r="AG123" s="204"/>
      <c r="AH123" s="173"/>
      <c r="AI123" s="173"/>
      <c r="AJ123" s="173"/>
      <c r="AK123" s="173"/>
      <c r="AL123" s="175"/>
      <c r="AM123" s="34"/>
      <c r="AN123" s="175"/>
      <c r="AO123" s="175"/>
      <c r="AP123" s="175"/>
      <c r="AQ123" s="175"/>
      <c r="AR123" s="175"/>
      <c r="AS123" s="34"/>
      <c r="AT123" s="175"/>
      <c r="AU123" s="34"/>
      <c r="AV123" s="175"/>
      <c r="AW123" s="34"/>
      <c r="AX123" s="175"/>
    </row>
    <row r="124" spans="1:50" s="54" customFormat="1" ht="15" customHeight="1">
      <c r="A124" s="44" t="s">
        <v>33</v>
      </c>
      <c r="B124" s="154" t="s">
        <v>619</v>
      </c>
      <c r="C124" s="17"/>
      <c r="D124" s="208"/>
      <c r="E124" s="208"/>
      <c r="F124" s="208"/>
      <c r="G124" s="208"/>
      <c r="H124" s="220"/>
      <c r="I124" s="210"/>
      <c r="J124" s="208"/>
      <c r="K124" s="208"/>
      <c r="L124" s="208"/>
      <c r="M124" s="208"/>
      <c r="N124" s="220"/>
      <c r="O124" s="209"/>
      <c r="P124" s="208"/>
      <c r="Q124" s="208"/>
      <c r="R124" s="208"/>
      <c r="S124" s="208"/>
      <c r="T124" s="220"/>
      <c r="U124" s="209"/>
      <c r="V124" s="208"/>
      <c r="W124" s="208"/>
      <c r="X124" s="208"/>
      <c r="Y124" s="208"/>
      <c r="Z124" s="220"/>
      <c r="AA124" s="209"/>
      <c r="AB124" s="208"/>
      <c r="AC124" s="208"/>
      <c r="AD124" s="208"/>
      <c r="AE124" s="208"/>
      <c r="AF124" s="220"/>
      <c r="AG124" s="211"/>
      <c r="AH124" s="208"/>
      <c r="AI124" s="208"/>
      <c r="AJ124" s="212"/>
      <c r="AK124" s="212"/>
      <c r="AL124" s="222"/>
      <c r="AM124" s="215"/>
      <c r="AN124" s="212"/>
      <c r="AO124" s="212"/>
      <c r="AP124" s="212"/>
      <c r="AQ124" s="212"/>
      <c r="AR124" s="222"/>
      <c r="AS124" s="215"/>
      <c r="AT124" s="222"/>
      <c r="AU124" s="215"/>
      <c r="AV124" s="222"/>
      <c r="AW124" s="246"/>
      <c r="AX124" s="246"/>
    </row>
    <row r="125" spans="1:50" s="54" customFormat="1" ht="15" customHeight="1">
      <c r="A125" s="43"/>
      <c r="B125" s="155" t="s">
        <v>501</v>
      </c>
      <c r="C125" s="17"/>
      <c r="D125" s="217"/>
      <c r="E125" s="217"/>
      <c r="F125" s="217"/>
      <c r="G125" s="217"/>
      <c r="H125" s="216" t="str">
        <f>IF(ROUND(CF!H15,0)=ROUND(SUM(CF!D15:G15),0),"OK","ERROR")</f>
        <v>OK</v>
      </c>
      <c r="I125" s="210"/>
      <c r="J125" s="217"/>
      <c r="K125" s="217"/>
      <c r="L125" s="217"/>
      <c r="M125" s="217"/>
      <c r="N125" s="216" t="str">
        <f>IF(ROUND(CF!N15,0)=ROUND(SUM(CF!J15:M15),0),"OK","ERROR")</f>
        <v>OK</v>
      </c>
      <c r="O125" s="209"/>
      <c r="P125" s="217"/>
      <c r="Q125" s="217"/>
      <c r="R125" s="217"/>
      <c r="S125" s="217"/>
      <c r="T125" s="216" t="str">
        <f>IF(ROUND(CF!T15,0)=ROUND(SUM(CF!P15:S15),0),"OK","ERROR")</f>
        <v>OK</v>
      </c>
      <c r="U125" s="209"/>
      <c r="V125" s="217"/>
      <c r="W125" s="217"/>
      <c r="X125" s="217"/>
      <c r="Y125" s="217"/>
      <c r="Z125" s="216" t="str">
        <f>IF(ROUND(CF!Z15,0)=ROUND(SUM(CF!V15:Y15),0),"OK","ERROR")</f>
        <v>OK</v>
      </c>
      <c r="AA125" s="209"/>
      <c r="AB125" s="217"/>
      <c r="AC125" s="217"/>
      <c r="AD125" s="217"/>
      <c r="AE125" s="217"/>
      <c r="AF125" s="216" t="str">
        <f>IF(ROUND(CF!AF15,0)=ROUND(SUM(CF!AB15:AE15),0),"OK","ERROR")</f>
        <v>OK</v>
      </c>
      <c r="AG125" s="211"/>
      <c r="AH125" s="217"/>
      <c r="AI125" s="217"/>
      <c r="AJ125" s="212"/>
      <c r="AK125" s="212"/>
      <c r="AL125" s="216" t="str">
        <f>IF(ROUND(CF!AL15,0)=ROUND(SUM(CF!AH15:AK15),0),"OK","ERROR")</f>
        <v>ERROR</v>
      </c>
      <c r="AM125" s="215"/>
      <c r="AN125" s="212"/>
      <c r="AO125" s="212"/>
      <c r="AP125" s="212"/>
      <c r="AQ125" s="212"/>
      <c r="AR125" s="216" t="str">
        <f>IF(ROUND(CF!AR15,0)=ROUND(SUM(CF!AN15:AQ15),0),"OK","ERROR")</f>
        <v>OK</v>
      </c>
      <c r="AS125" s="215"/>
      <c r="AT125" s="216" t="str">
        <f>IF(ROUND(CF!AT15,0)=ROUND(SUM(CF!AP15:AS15),0),"OK","ERROR")</f>
        <v>OK</v>
      </c>
      <c r="AU125" s="215"/>
      <c r="AV125" s="216" t="str">
        <f>IF(ROUND(CF!AV15,0)=ROUND(SUM(CF!AR15:AU15),0),"OK","ERROR")</f>
        <v>OK</v>
      </c>
      <c r="AW125" s="246"/>
      <c r="AX125" s="216" t="str">
        <f>IF(ROUND(CF!AX15,0)=ROUND(SUM(CF!AT15:AW15),0),"OK","ERROR")</f>
        <v>OK</v>
      </c>
    </row>
    <row r="126" spans="1:50" s="54" customFormat="1" ht="15" customHeight="1">
      <c r="A126" s="43"/>
      <c r="B126" s="155" t="s">
        <v>620</v>
      </c>
      <c r="C126" s="17"/>
      <c r="D126" s="208"/>
      <c r="E126" s="208"/>
      <c r="F126" s="208"/>
      <c r="G126" s="208"/>
      <c r="H126" s="216"/>
      <c r="I126" s="210"/>
      <c r="J126" s="208"/>
      <c r="K126" s="208"/>
      <c r="L126" s="208"/>
      <c r="M126" s="208"/>
      <c r="N126" s="216"/>
      <c r="O126" s="216"/>
      <c r="P126" s="208"/>
      <c r="Q126" s="208"/>
      <c r="R126" s="208"/>
      <c r="S126" s="208"/>
      <c r="T126" s="216"/>
      <c r="U126" s="216"/>
      <c r="V126" s="208"/>
      <c r="W126" s="208"/>
      <c r="X126" s="208"/>
      <c r="Y126" s="208"/>
      <c r="Z126" s="216"/>
      <c r="AA126" s="216"/>
      <c r="AB126" s="208"/>
      <c r="AC126" s="208"/>
      <c r="AD126" s="208"/>
      <c r="AE126" s="208"/>
      <c r="AF126" s="216"/>
      <c r="AG126" s="211"/>
      <c r="AH126" s="208"/>
      <c r="AI126" s="208"/>
      <c r="AJ126" s="212"/>
      <c r="AK126" s="212"/>
      <c r="AL126" s="216"/>
      <c r="AM126" s="215"/>
      <c r="AN126" s="212"/>
      <c r="AO126" s="212"/>
      <c r="AP126" s="212"/>
      <c r="AQ126" s="212"/>
      <c r="AR126" s="216"/>
      <c r="AS126" s="215"/>
      <c r="AT126" s="216"/>
      <c r="AU126" s="215"/>
      <c r="AV126" s="216"/>
      <c r="AW126" s="246"/>
      <c r="AX126" s="216"/>
    </row>
    <row r="127" spans="1:50" s="54" customFormat="1" ht="15" customHeight="1">
      <c r="A127" s="43"/>
      <c r="B127" s="156" t="s">
        <v>554</v>
      </c>
      <c r="C127" s="17"/>
      <c r="D127" s="217"/>
      <c r="E127" s="217"/>
      <c r="F127" s="217"/>
      <c r="G127" s="217"/>
      <c r="H127" s="216" t="str">
        <f>IF(ROUND(CF!H17,0)=ROUND(SUM(CF!D17:G17),0),"OK","ERROR")</f>
        <v>OK</v>
      </c>
      <c r="I127" s="210"/>
      <c r="J127" s="217"/>
      <c r="K127" s="217"/>
      <c r="L127" s="217"/>
      <c r="M127" s="217"/>
      <c r="N127" s="216" t="str">
        <f>IF(ROUND(CF!N17,0)=ROUND(SUM(CF!J17:M17),0),"OK","ERROR")</f>
        <v>OK</v>
      </c>
      <c r="O127" s="209"/>
      <c r="P127" s="217"/>
      <c r="Q127" s="217"/>
      <c r="R127" s="217"/>
      <c r="S127" s="217"/>
      <c r="T127" s="216" t="str">
        <f>IF(ROUND(CF!T17,0)=ROUND(SUM(CF!P17:S17),0),"OK","ERROR")</f>
        <v>OK</v>
      </c>
      <c r="U127" s="209"/>
      <c r="V127" s="217"/>
      <c r="W127" s="217"/>
      <c r="X127" s="217"/>
      <c r="Y127" s="217"/>
      <c r="Z127" s="216" t="str">
        <f>IF(ROUND(CF!Z17,0)=ROUND(SUM(CF!V17:Y17),0),"OK","ERROR")</f>
        <v>OK</v>
      </c>
      <c r="AA127" s="209"/>
      <c r="AB127" s="217"/>
      <c r="AC127" s="217"/>
      <c r="AD127" s="217"/>
      <c r="AE127" s="217"/>
      <c r="AF127" s="216" t="str">
        <f>IF(ROUND(CF!AF17,0)=ROUND(SUM(CF!AB17:AE17),0),"OK","ERROR")</f>
        <v>OK</v>
      </c>
      <c r="AG127" s="211"/>
      <c r="AH127" s="217"/>
      <c r="AI127" s="217"/>
      <c r="AJ127" s="212"/>
      <c r="AK127" s="212"/>
      <c r="AL127" s="216" t="str">
        <f>IF(ROUND(CF!AL17,0)=ROUND(SUM(CF!AH17:AK17),0),"OK","ERROR")</f>
        <v>OK</v>
      </c>
      <c r="AM127" s="215"/>
      <c r="AN127" s="212"/>
      <c r="AO127" s="212"/>
      <c r="AP127" s="212"/>
      <c r="AQ127" s="212"/>
      <c r="AR127" s="216" t="str">
        <f>IF(ROUND(CF!AR17,0)=ROUND(SUM(CF!AN17:AQ17),0),"OK","ERROR")</f>
        <v>OK</v>
      </c>
      <c r="AS127" s="215"/>
      <c r="AT127" s="216" t="str">
        <f>IF(ROUND(CF!AT17,0)=ROUND(SUM(CF!AP17:AS17),0),"OK","ERROR")</f>
        <v>OK</v>
      </c>
      <c r="AU127" s="215"/>
      <c r="AV127" s="216" t="str">
        <f>IF(ROUND(CF!AV17,0)=ROUND(SUM(CF!AR17:AU17),0),"OK","ERROR")</f>
        <v>OK</v>
      </c>
      <c r="AW127" s="246"/>
      <c r="AX127" s="216" t="str">
        <f>IF(ROUND(CF!AX17,0)=ROUND(SUM(CF!AT17:AW17),0),"OK","ERROR")</f>
        <v>OK</v>
      </c>
    </row>
    <row r="128" spans="1:50" s="54" customFormat="1" ht="15" customHeight="1">
      <c r="A128" s="43"/>
      <c r="B128" s="156" t="s">
        <v>650</v>
      </c>
      <c r="C128" s="17"/>
      <c r="D128" s="217"/>
      <c r="E128" s="217"/>
      <c r="F128" s="217"/>
      <c r="G128" s="217"/>
      <c r="H128" s="216" t="str">
        <f>IF(ROUND(CF!H18,0)=ROUND(SUM(CF!D18:G18),0),"OK","ERROR")</f>
        <v>ERROR</v>
      </c>
      <c r="I128" s="210"/>
      <c r="J128" s="217"/>
      <c r="K128" s="217"/>
      <c r="L128" s="217"/>
      <c r="M128" s="217"/>
      <c r="N128" s="216" t="str">
        <f>IF(ROUND(CF!N18,0)=ROUND(SUM(CF!J18:M18),0),"OK","ERROR")</f>
        <v>ERROR</v>
      </c>
      <c r="O128" s="209"/>
      <c r="P128" s="217"/>
      <c r="Q128" s="217"/>
      <c r="R128" s="217"/>
      <c r="S128" s="217"/>
      <c r="T128" s="216" t="str">
        <f>IF(ROUND(CF!T18,0)=ROUND(SUM(CF!P18:S18),0),"OK","ERROR")</f>
        <v>ERROR</v>
      </c>
      <c r="U128" s="209"/>
      <c r="V128" s="217"/>
      <c r="W128" s="217"/>
      <c r="X128" s="217"/>
      <c r="Y128" s="217"/>
      <c r="Z128" s="216" t="str">
        <f>IF(ROUND(CF!Z18,0)=ROUND(SUM(CF!V18:Y18),0),"OK","ERROR")</f>
        <v>ERROR</v>
      </c>
      <c r="AA128" s="209"/>
      <c r="AB128" s="217"/>
      <c r="AC128" s="217"/>
      <c r="AD128" s="217"/>
      <c r="AE128" s="217"/>
      <c r="AF128" s="216" t="str">
        <f>IF(ROUND(CF!AF18,0)=ROUND(SUM(CF!AB18:AE18),0),"OK","ERROR")</f>
        <v>ERROR</v>
      </c>
      <c r="AG128" s="211"/>
      <c r="AH128" s="217"/>
      <c r="AI128" s="217"/>
      <c r="AJ128" s="212"/>
      <c r="AK128" s="212"/>
      <c r="AL128" s="216" t="str">
        <f>IF(ROUND(CF!AL18,0)=ROUND(SUM(CF!AH18:AK18),0),"OK","ERROR")</f>
        <v>OK</v>
      </c>
      <c r="AM128" s="215"/>
      <c r="AN128" s="212"/>
      <c r="AO128" s="212"/>
      <c r="AP128" s="212"/>
      <c r="AQ128" s="212"/>
      <c r="AR128" s="216" t="str">
        <f>IF(ROUND(CF!AR18,0)=ROUND(SUM(CF!AN18:AQ18),0),"OK","ERROR")</f>
        <v>OK</v>
      </c>
      <c r="AS128" s="215"/>
      <c r="AT128" s="216" t="str">
        <f>IF(ROUND(CF!AT18,0)=ROUND(SUM(CF!AP18:AS18),0),"OK","ERROR")</f>
        <v>OK</v>
      </c>
      <c r="AU128" s="215"/>
      <c r="AV128" s="216" t="str">
        <f>IF(ROUND(CF!AV18,0)=ROUND(SUM(CF!AR18:AU18),0),"OK","ERROR")</f>
        <v>OK</v>
      </c>
      <c r="AW128" s="246"/>
      <c r="AX128" s="216" t="str">
        <f>IF(ROUND(CF!AX18,0)=ROUND(SUM(CF!AT18:AW18),0),"OK","ERROR")</f>
        <v>OK</v>
      </c>
    </row>
    <row r="129" spans="1:50" s="54" customFormat="1" ht="15" customHeight="1">
      <c r="A129" s="113"/>
      <c r="B129" s="156" t="s">
        <v>98</v>
      </c>
      <c r="C129" s="115"/>
      <c r="D129" s="217"/>
      <c r="E129" s="217"/>
      <c r="F129" s="217"/>
      <c r="G129" s="217"/>
      <c r="H129" s="216" t="str">
        <f>IF(ROUND(CF!H19,0)=ROUND(SUM(CF!D19:G19),0),"OK","ERROR")</f>
        <v>ERROR</v>
      </c>
      <c r="I129" s="210"/>
      <c r="J129" s="217"/>
      <c r="K129" s="217"/>
      <c r="L129" s="217"/>
      <c r="M129" s="217"/>
      <c r="N129" s="216" t="str">
        <f>IF(ROUND(CF!N19,0)=ROUND(SUM(CF!J19:M19),0),"OK","ERROR")</f>
        <v>ERROR</v>
      </c>
      <c r="O129" s="210"/>
      <c r="P129" s="217"/>
      <c r="Q129" s="217"/>
      <c r="R129" s="217"/>
      <c r="S129" s="217"/>
      <c r="T129" s="216" t="str">
        <f>IF(ROUND(CF!T19,0)=ROUND(SUM(CF!P19:S19),0),"OK","ERROR")</f>
        <v>OK</v>
      </c>
      <c r="U129" s="210"/>
      <c r="V129" s="217"/>
      <c r="W129" s="217"/>
      <c r="X129" s="217"/>
      <c r="Y129" s="217"/>
      <c r="Z129" s="216" t="str">
        <f>IF(ROUND(CF!Z19,0)=ROUND(SUM(CF!V19:Y19),0),"OK","ERROR")</f>
        <v>ERROR</v>
      </c>
      <c r="AA129" s="213"/>
      <c r="AB129" s="217"/>
      <c r="AC129" s="217"/>
      <c r="AD129" s="217"/>
      <c r="AE129" s="217"/>
      <c r="AF129" s="216" t="str">
        <f>IF(ROUND(CF!AF19,0)=ROUND(SUM(CF!AB19:AE19),0),"OK","ERROR")</f>
        <v>ERROR</v>
      </c>
      <c r="AG129" s="211"/>
      <c r="AH129" s="217"/>
      <c r="AI129" s="217"/>
      <c r="AJ129" s="212"/>
      <c r="AK129" s="212"/>
      <c r="AL129" s="216" t="str">
        <f>IF(ROUND(CF!AL19,0)=ROUND(SUM(CF!AH19:AK19),0),"OK","ERROR")</f>
        <v>ERROR</v>
      </c>
      <c r="AM129" s="223"/>
      <c r="AN129" s="212"/>
      <c r="AO129" s="212"/>
      <c r="AP129" s="212"/>
      <c r="AQ129" s="212"/>
      <c r="AR129" s="216" t="str">
        <f>IF(ROUND(CF!AR19,0)=ROUND(SUM(CF!AN19:AQ19),0),"OK","ERROR")</f>
        <v>OK</v>
      </c>
      <c r="AS129" s="223"/>
      <c r="AT129" s="216" t="str">
        <f>IF(ROUND(CF!AT19,0)=ROUND(SUM(CF!AP19:AS19),0),"OK","ERROR")</f>
        <v>OK</v>
      </c>
      <c r="AU129" s="223"/>
      <c r="AV129" s="216" t="str">
        <f>IF(ROUND(CF!AV19,0)=ROUND(SUM(CF!AR19:AU19),0),"OK","ERROR")</f>
        <v>OK</v>
      </c>
      <c r="AW129" s="246"/>
      <c r="AX129" s="216" t="str">
        <f>IF(ROUND(CF!AX19,0)=ROUND(SUM(CF!AT19:AW19),0),"OK","ERROR")</f>
        <v>OK</v>
      </c>
    </row>
    <row r="130" spans="1:50" s="54" customFormat="1" ht="15" customHeight="1">
      <c r="A130" s="43"/>
      <c r="B130" s="155" t="s">
        <v>622</v>
      </c>
      <c r="C130" s="17"/>
      <c r="D130" s="208"/>
      <c r="E130" s="208"/>
      <c r="F130" s="208"/>
      <c r="G130" s="208"/>
      <c r="H130" s="220"/>
      <c r="I130" s="210"/>
      <c r="J130" s="208"/>
      <c r="K130" s="208"/>
      <c r="L130" s="208"/>
      <c r="M130" s="208"/>
      <c r="N130" s="220"/>
      <c r="O130" s="210"/>
      <c r="P130" s="208"/>
      <c r="Q130" s="208"/>
      <c r="R130" s="208"/>
      <c r="S130" s="208"/>
      <c r="T130" s="220"/>
      <c r="U130" s="210"/>
      <c r="V130" s="208"/>
      <c r="W130" s="208"/>
      <c r="X130" s="208"/>
      <c r="Y130" s="208"/>
      <c r="Z130" s="220"/>
      <c r="AA130" s="213"/>
      <c r="AB130" s="208"/>
      <c r="AC130" s="208"/>
      <c r="AD130" s="208"/>
      <c r="AE130" s="208"/>
      <c r="AF130" s="220"/>
      <c r="AG130" s="211"/>
      <c r="AH130" s="208"/>
      <c r="AI130" s="208"/>
      <c r="AJ130" s="212"/>
      <c r="AK130" s="212"/>
      <c r="AL130" s="220"/>
      <c r="AM130" s="225"/>
      <c r="AN130" s="212"/>
      <c r="AO130" s="212"/>
      <c r="AP130" s="212"/>
      <c r="AQ130" s="212"/>
      <c r="AR130" s="220"/>
      <c r="AS130" s="225"/>
      <c r="AT130" s="220"/>
      <c r="AU130" s="225"/>
      <c r="AV130" s="220"/>
      <c r="AW130" s="246"/>
      <c r="AX130" s="220"/>
    </row>
    <row r="131" spans="1:50" s="54" customFormat="1" ht="15" customHeight="1">
      <c r="A131" s="113"/>
      <c r="B131" s="156" t="s">
        <v>588</v>
      </c>
      <c r="C131" s="115"/>
      <c r="D131" s="217"/>
      <c r="E131" s="217"/>
      <c r="F131" s="217"/>
      <c r="G131" s="217"/>
      <c r="H131" s="220" t="str">
        <f>IF(ROUND(CF!H21,0)=ROUND(SUM(CF!D21:G21),0),"OK","ERROR")</f>
        <v>ERROR</v>
      </c>
      <c r="I131" s="210"/>
      <c r="J131" s="217"/>
      <c r="K131" s="217"/>
      <c r="L131" s="217"/>
      <c r="M131" s="217"/>
      <c r="N131" s="220" t="str">
        <f>IF(ROUND(CF!N21,0)=ROUND(SUM(CF!J21:M21),0),"OK","ERROR")</f>
        <v>ERROR</v>
      </c>
      <c r="O131" s="210"/>
      <c r="P131" s="217"/>
      <c r="Q131" s="217"/>
      <c r="R131" s="217"/>
      <c r="S131" s="217"/>
      <c r="T131" s="220" t="str">
        <f>IF(ROUND(CF!T21,0)=ROUND(SUM(CF!P21:S21),0),"OK","ERROR")</f>
        <v>ERROR</v>
      </c>
      <c r="U131" s="210"/>
      <c r="V131" s="217"/>
      <c r="W131" s="217"/>
      <c r="X131" s="217"/>
      <c r="Y131" s="217"/>
      <c r="Z131" s="220" t="str">
        <f>IF(ROUND(CF!Z21,0)=ROUND(SUM(CF!V21:Y21),0),"OK","ERROR")</f>
        <v>ERROR</v>
      </c>
      <c r="AA131" s="213"/>
      <c r="AB131" s="217"/>
      <c r="AC131" s="217"/>
      <c r="AD131" s="217"/>
      <c r="AE131" s="217"/>
      <c r="AF131" s="220" t="str">
        <f>IF(ROUND(CF!AF21,0)=ROUND(SUM(CF!AB21:AE21),0),"OK","ERROR")</f>
        <v>ERROR</v>
      </c>
      <c r="AG131" s="211"/>
      <c r="AH131" s="217"/>
      <c r="AI131" s="217"/>
      <c r="AJ131" s="212"/>
      <c r="AK131" s="212"/>
      <c r="AL131" s="220" t="str">
        <f>IF(ROUND(CF!AL21,0)=ROUND(SUM(CF!AH21:AK21),0),"OK","ERROR")</f>
        <v>OK</v>
      </c>
      <c r="AM131" s="225"/>
      <c r="AN131" s="212"/>
      <c r="AO131" s="212"/>
      <c r="AP131" s="212"/>
      <c r="AQ131" s="212"/>
      <c r="AR131" s="220" t="str">
        <f>IF(ROUND(CF!AR21,0)=ROUND(SUM(CF!AN21:AQ21),0),"OK","ERROR")</f>
        <v>OK</v>
      </c>
      <c r="AS131" s="225"/>
      <c r="AT131" s="220" t="str">
        <f>IF(ROUND(CF!AT21,0)=ROUND(SUM(CF!AP21:AS21),0),"OK","ERROR")</f>
        <v>OK</v>
      </c>
      <c r="AU131" s="225"/>
      <c r="AV131" s="220" t="str">
        <f>IF(ROUND(CF!AV21,0)=ROUND(SUM(CF!AR21:AU21),0),"OK","ERROR")</f>
        <v>OK</v>
      </c>
      <c r="AW131" s="246"/>
      <c r="AX131" s="220" t="str">
        <f>IF(ROUND(CF!AX21,0)=ROUND(SUM(CF!AT21:AW21),0),"OK","ERROR")</f>
        <v>OK</v>
      </c>
    </row>
    <row r="132" spans="1:50" s="54" customFormat="1" ht="15" customHeight="1">
      <c r="A132" s="43"/>
      <c r="B132" s="156" t="s">
        <v>623</v>
      </c>
      <c r="C132" s="17"/>
      <c r="D132" s="217"/>
      <c r="E132" s="217"/>
      <c r="F132" s="217"/>
      <c r="G132" s="217"/>
      <c r="H132" s="220" t="str">
        <f>IF(ROUND(CF!H22,0)=ROUND(SUM(CF!D22:G22),0),"OK","ERROR")</f>
        <v>ERROR</v>
      </c>
      <c r="I132" s="210"/>
      <c r="J132" s="217"/>
      <c r="K132" s="217"/>
      <c r="L132" s="217"/>
      <c r="M132" s="217"/>
      <c r="N132" s="220" t="str">
        <f>IF(ROUND(CF!N22,0)=ROUND(SUM(CF!J22:M22),0),"OK","ERROR")</f>
        <v>ERROR</v>
      </c>
      <c r="O132" s="210"/>
      <c r="P132" s="217"/>
      <c r="Q132" s="217"/>
      <c r="R132" s="217"/>
      <c r="S132" s="217"/>
      <c r="T132" s="220" t="str">
        <f>IF(ROUND(CF!T22,0)=ROUND(SUM(CF!P22:S22),0),"OK","ERROR")</f>
        <v>ERROR</v>
      </c>
      <c r="U132" s="210"/>
      <c r="V132" s="217"/>
      <c r="W132" s="217"/>
      <c r="X132" s="217"/>
      <c r="Y132" s="217"/>
      <c r="Z132" s="220" t="str">
        <f>IF(ROUND(CF!Z22,0)=ROUND(SUM(CF!V22:Y22),0),"OK","ERROR")</f>
        <v>ERROR</v>
      </c>
      <c r="AA132" s="213"/>
      <c r="AB132" s="217"/>
      <c r="AC132" s="217"/>
      <c r="AD132" s="217"/>
      <c r="AE132" s="217"/>
      <c r="AF132" s="220" t="str">
        <f>IF(ROUND(CF!AF22,0)=ROUND(SUM(CF!AB22:AE22),0),"OK","ERROR")</f>
        <v>ERROR</v>
      </c>
      <c r="AG132" s="211"/>
      <c r="AH132" s="217"/>
      <c r="AI132" s="217"/>
      <c r="AJ132" s="212"/>
      <c r="AK132" s="212"/>
      <c r="AL132" s="220" t="str">
        <f>IF(ROUND(CF!AL22,0)=ROUND(SUM(CF!AH22:AK22),0),"OK","ERROR")</f>
        <v>OK</v>
      </c>
      <c r="AM132" s="225"/>
      <c r="AN132" s="212"/>
      <c r="AO132" s="212"/>
      <c r="AP132" s="212"/>
      <c r="AQ132" s="212"/>
      <c r="AR132" s="220" t="str">
        <f>IF(ROUND(CF!AR22,0)=ROUND(SUM(CF!AN22:AQ22),0),"OK","ERROR")</f>
        <v>OK</v>
      </c>
      <c r="AS132" s="225"/>
      <c r="AT132" s="220" t="str">
        <f>IF(ROUND(CF!AT22,0)=ROUND(SUM(CF!AP22:AS22),0),"OK","ERROR")</f>
        <v>OK</v>
      </c>
      <c r="AU132" s="225"/>
      <c r="AV132" s="220" t="str">
        <f>IF(ROUND(CF!AV22,0)=ROUND(SUM(CF!AR22:AU22),0),"OK","ERROR")</f>
        <v>OK</v>
      </c>
      <c r="AW132" s="246"/>
      <c r="AX132" s="220" t="str">
        <f>IF(ROUND(CF!AX22,0)=ROUND(SUM(CF!AT22:AW22),0),"OK","ERROR")</f>
        <v>OK</v>
      </c>
    </row>
    <row r="133" spans="1:50" s="54" customFormat="1" ht="15" customHeight="1">
      <c r="A133" s="113"/>
      <c r="B133" s="156" t="s">
        <v>600</v>
      </c>
      <c r="C133" s="115"/>
      <c r="D133" s="217"/>
      <c r="E133" s="217"/>
      <c r="F133" s="217"/>
      <c r="G133" s="217"/>
      <c r="H133" s="220" t="str">
        <f>IF(ROUND(CF!H23,0)=ROUND(SUM(CF!D23:G23),0),"OK","ERROR")</f>
        <v>OK</v>
      </c>
      <c r="I133" s="210"/>
      <c r="J133" s="217"/>
      <c r="K133" s="217"/>
      <c r="L133" s="217"/>
      <c r="M133" s="217"/>
      <c r="N133" s="220" t="str">
        <f>IF(ROUND(CF!N23,0)=ROUND(SUM(CF!J23:M23),0),"OK","ERROR")</f>
        <v>OK</v>
      </c>
      <c r="O133" s="210"/>
      <c r="P133" s="217"/>
      <c r="Q133" s="217"/>
      <c r="R133" s="217"/>
      <c r="S133" s="217"/>
      <c r="T133" s="220" t="str">
        <f>IF(ROUND(CF!T23,0)=ROUND(SUM(CF!P23:S23),0),"OK","ERROR")</f>
        <v>OK</v>
      </c>
      <c r="U133" s="210"/>
      <c r="V133" s="217"/>
      <c r="W133" s="217"/>
      <c r="X133" s="217"/>
      <c r="Y133" s="217"/>
      <c r="Z133" s="220" t="str">
        <f>IF(ROUND(CF!Z23,0)=ROUND(SUM(CF!V23:Y23),0),"OK","ERROR")</f>
        <v>OK</v>
      </c>
      <c r="AA133" s="213"/>
      <c r="AB133" s="217"/>
      <c r="AC133" s="217"/>
      <c r="AD133" s="217"/>
      <c r="AE133" s="217"/>
      <c r="AF133" s="220" t="str">
        <f>IF(ROUND(CF!AF23,0)=ROUND(SUM(CF!AB23:AE23),0),"OK","ERROR")</f>
        <v>OK</v>
      </c>
      <c r="AG133" s="211"/>
      <c r="AH133" s="217"/>
      <c r="AI133" s="217"/>
      <c r="AJ133" s="212"/>
      <c r="AK133" s="212"/>
      <c r="AL133" s="220" t="str">
        <f>IF(ROUND(CF!AL23,0)=ROUND(SUM(CF!AH23:AK23),0),"OK","ERROR")</f>
        <v>OK</v>
      </c>
      <c r="AM133" s="225"/>
      <c r="AN133" s="212"/>
      <c r="AO133" s="212"/>
      <c r="AP133" s="212"/>
      <c r="AQ133" s="212"/>
      <c r="AR133" s="220" t="str">
        <f>IF(ROUND(CF!AR23,0)=ROUND(SUM(CF!AN23:AQ23),0),"OK","ERROR")</f>
        <v>OK</v>
      </c>
      <c r="AS133" s="225"/>
      <c r="AT133" s="220" t="str">
        <f>IF(ROUND(CF!AT23,0)=ROUND(SUM(CF!AP23:AS23),0),"OK","ERROR")</f>
        <v>OK</v>
      </c>
      <c r="AU133" s="225"/>
      <c r="AV133" s="220" t="str">
        <f>IF(ROUND(CF!AV23,0)=ROUND(SUM(CF!AR23:AU23),0),"OK","ERROR")</f>
        <v>OK</v>
      </c>
      <c r="AW133" s="246"/>
      <c r="AX133" s="220" t="str">
        <f>IF(ROUND(CF!AX23,0)=ROUND(SUM(CF!AT23:AW23),0),"OK","ERROR")</f>
        <v>OK</v>
      </c>
    </row>
    <row r="134" spans="1:50" s="54" customFormat="1" ht="15" customHeight="1">
      <c r="A134" s="113"/>
      <c r="B134" s="156" t="s">
        <v>98</v>
      </c>
      <c r="C134" s="115"/>
      <c r="D134" s="217"/>
      <c r="E134" s="217"/>
      <c r="F134" s="217"/>
      <c r="G134" s="217"/>
      <c r="H134" s="226" t="str">
        <f>IF(ROUND(CF!H24,0)=ROUND(SUM(CF!D24:G24),0),"OK","ERROR")</f>
        <v>ERROR</v>
      </c>
      <c r="I134" s="210"/>
      <c r="J134" s="217"/>
      <c r="K134" s="217"/>
      <c r="L134" s="217"/>
      <c r="M134" s="217"/>
      <c r="N134" s="226" t="str">
        <f>IF(ROUND(CF!N24,0)=ROUND(SUM(CF!J24:M24),0),"OK","ERROR")</f>
        <v>ERROR</v>
      </c>
      <c r="O134" s="210"/>
      <c r="P134" s="217"/>
      <c r="Q134" s="217"/>
      <c r="R134" s="217"/>
      <c r="S134" s="217"/>
      <c r="T134" s="226" t="str">
        <f>IF(ROUND(CF!T24,0)=ROUND(SUM(CF!P24:S24),0),"OK","ERROR")</f>
        <v>ERROR</v>
      </c>
      <c r="U134" s="210"/>
      <c r="V134" s="217"/>
      <c r="W134" s="217"/>
      <c r="X134" s="217"/>
      <c r="Y134" s="217"/>
      <c r="Z134" s="226" t="str">
        <f>IF(ROUND(CF!Z24,0)=ROUND(SUM(CF!V24:Y24),0),"OK","ERROR")</f>
        <v>ERROR</v>
      </c>
      <c r="AA134" s="228"/>
      <c r="AB134" s="217"/>
      <c r="AC134" s="217"/>
      <c r="AD134" s="217"/>
      <c r="AE134" s="217"/>
      <c r="AF134" s="226" t="str">
        <f>IF(ROUND(CF!AF24,0)=ROUND(SUM(CF!AB24:AE24),0),"OK","ERROR")</f>
        <v>ERROR</v>
      </c>
      <c r="AG134" s="229"/>
      <c r="AH134" s="217"/>
      <c r="AI134" s="217"/>
      <c r="AJ134" s="212"/>
      <c r="AK134" s="212"/>
      <c r="AL134" s="226" t="str">
        <f>IF(ROUND(CF!AL24,0)=ROUND(SUM(CF!AH24:AK24),0),"OK","ERROR")</f>
        <v>OK</v>
      </c>
      <c r="AM134" s="230"/>
      <c r="AN134" s="212"/>
      <c r="AO134" s="212"/>
      <c r="AP134" s="212"/>
      <c r="AQ134" s="212"/>
      <c r="AR134" s="226" t="str">
        <f>IF(ROUND(CF!AR24,0)=ROUND(SUM(CF!AN24:AQ24),0),"OK","ERROR")</f>
        <v>OK</v>
      </c>
      <c r="AS134" s="230"/>
      <c r="AT134" s="226" t="str">
        <f>IF(ROUND(CF!AT24,0)=ROUND(SUM(CF!AP24:AS24),0),"OK","ERROR")</f>
        <v>OK</v>
      </c>
      <c r="AU134" s="230"/>
      <c r="AV134" s="226" t="str">
        <f>IF(ROUND(CF!AV24,0)=ROUND(SUM(CF!AR24:AU24),0),"OK","ERROR")</f>
        <v>OK</v>
      </c>
      <c r="AW134" s="246"/>
      <c r="AX134" s="226" t="str">
        <f>IF(ROUND(CF!AX24,0)=ROUND(SUM(CF!AT24:AW24),0),"OK","ERROR")</f>
        <v>OK</v>
      </c>
    </row>
    <row r="135" spans="1:50" s="54" customFormat="1" ht="15" customHeight="1" thickBot="1">
      <c r="A135" s="84"/>
      <c r="B135" s="157" t="s">
        <v>624</v>
      </c>
      <c r="C135" s="26"/>
      <c r="D135" s="217"/>
      <c r="E135" s="217"/>
      <c r="F135" s="217"/>
      <c r="G135" s="217"/>
      <c r="H135" s="237" t="str">
        <f>IF(ROUND(CF!H25,0)=ROUND(SUM(CF!D25:G25),0),"OK","ERROR")</f>
        <v>OK</v>
      </c>
      <c r="I135" s="210"/>
      <c r="J135" s="217"/>
      <c r="K135" s="217"/>
      <c r="L135" s="217"/>
      <c r="M135" s="217"/>
      <c r="N135" s="237" t="str">
        <f>IF(ROUND(CF!N25,0)=ROUND(SUM(CF!J25:M25),0),"OK","ERROR")</f>
        <v>OK</v>
      </c>
      <c r="O135" s="210"/>
      <c r="P135" s="217"/>
      <c r="Q135" s="217"/>
      <c r="R135" s="217"/>
      <c r="S135" s="217"/>
      <c r="T135" s="237" t="str">
        <f>IF(ROUND(CF!T25,0)=ROUND(SUM(CF!P25:S25),0),"OK","ERROR")</f>
        <v>ERROR</v>
      </c>
      <c r="U135" s="210"/>
      <c r="V135" s="217"/>
      <c r="W135" s="217"/>
      <c r="X135" s="217"/>
      <c r="Y135" s="217"/>
      <c r="Z135" s="237" t="str">
        <f>IF(ROUND(CF!Z25,0)=ROUND(SUM(CF!V25:Y25),0),"OK","ERROR")</f>
        <v>OK</v>
      </c>
      <c r="AA135" s="228"/>
      <c r="AB135" s="217"/>
      <c r="AC135" s="217"/>
      <c r="AD135" s="217"/>
      <c r="AE135" s="217"/>
      <c r="AF135" s="237" t="str">
        <f>IF(ROUND(CF!AF25,0)=ROUND(SUM(CF!AB25:AE25),0),"OK","ERROR")</f>
        <v>OK</v>
      </c>
      <c r="AG135" s="229"/>
      <c r="AH135" s="217"/>
      <c r="AI135" s="217"/>
      <c r="AJ135" s="212"/>
      <c r="AK135" s="212"/>
      <c r="AL135" s="237" t="str">
        <f>IF(ROUND(CF!AL25,0)=ROUND(SUM(CF!AH25:AK25),0),"OK","ERROR")</f>
        <v>ERROR</v>
      </c>
      <c r="AM135" s="230"/>
      <c r="AN135" s="212"/>
      <c r="AO135" s="212"/>
      <c r="AP135" s="212"/>
      <c r="AQ135" s="212"/>
      <c r="AR135" s="237" t="str">
        <f>IF(ROUND(CF!AR25,0)=ROUND(SUM(CF!AN25:AQ25),0),"OK","ERROR")</f>
        <v>OK</v>
      </c>
      <c r="AS135" s="230"/>
      <c r="AT135" s="237" t="str">
        <f>IF(ROUND(CF!AT25,0)=ROUND(SUM(CF!AP25:AS25),0),"OK","ERROR")</f>
        <v>OK</v>
      </c>
      <c r="AU135" s="230"/>
      <c r="AV135" s="237" t="str">
        <f>IF(ROUND(CF!AV25,0)=ROUND(SUM(CF!AR25:AU25),0),"OK","ERROR")</f>
        <v>OK</v>
      </c>
      <c r="AW135" s="246"/>
      <c r="AX135" s="237" t="str">
        <f>IF(ROUND(CF!AX25,0)=ROUND(SUM(CF!AT25:AW25),0),"OK","ERROR")</f>
        <v>OK</v>
      </c>
    </row>
    <row r="136" spans="1:50" s="54" customFormat="1" ht="15" customHeight="1" thickTop="1">
      <c r="A136" s="43"/>
      <c r="B136" s="154"/>
      <c r="C136" s="17"/>
      <c r="D136" s="208"/>
      <c r="E136" s="208"/>
      <c r="F136" s="208"/>
      <c r="G136" s="208"/>
      <c r="H136" s="220"/>
      <c r="I136" s="210"/>
      <c r="J136" s="208"/>
      <c r="K136" s="208"/>
      <c r="L136" s="208"/>
      <c r="M136" s="208"/>
      <c r="N136" s="220"/>
      <c r="O136" s="210"/>
      <c r="P136" s="208"/>
      <c r="Q136" s="208"/>
      <c r="R136" s="208"/>
      <c r="S136" s="208"/>
      <c r="T136" s="220"/>
      <c r="U136" s="210"/>
      <c r="V136" s="208"/>
      <c r="W136" s="208"/>
      <c r="X136" s="208"/>
      <c r="Y136" s="208"/>
      <c r="Z136" s="220"/>
      <c r="AA136" s="213"/>
      <c r="AB136" s="208"/>
      <c r="AC136" s="208"/>
      <c r="AD136" s="208"/>
      <c r="AE136" s="208"/>
      <c r="AF136" s="220"/>
      <c r="AG136" s="211"/>
      <c r="AH136" s="208"/>
      <c r="AI136" s="208"/>
      <c r="AJ136" s="212"/>
      <c r="AK136" s="212"/>
      <c r="AL136" s="220"/>
      <c r="AM136" s="225"/>
      <c r="AN136" s="212"/>
      <c r="AO136" s="212"/>
      <c r="AP136" s="212"/>
      <c r="AQ136" s="212"/>
      <c r="AR136" s="220"/>
      <c r="AS136" s="225"/>
      <c r="AT136" s="220"/>
      <c r="AU136" s="225"/>
      <c r="AV136" s="220"/>
      <c r="AW136" s="246"/>
      <c r="AX136" s="220"/>
    </row>
    <row r="137" spans="1:50" s="54" customFormat="1" ht="15" customHeight="1">
      <c r="A137" s="44" t="s">
        <v>33</v>
      </c>
      <c r="B137" s="158" t="s">
        <v>625</v>
      </c>
      <c r="C137" s="115"/>
      <c r="D137" s="208"/>
      <c r="E137" s="208"/>
      <c r="F137" s="208"/>
      <c r="G137" s="208"/>
      <c r="H137" s="220"/>
      <c r="I137" s="210"/>
      <c r="J137" s="208"/>
      <c r="K137" s="208"/>
      <c r="L137" s="208"/>
      <c r="M137" s="208"/>
      <c r="N137" s="220"/>
      <c r="O137" s="210"/>
      <c r="P137" s="208"/>
      <c r="Q137" s="208"/>
      <c r="R137" s="208"/>
      <c r="S137" s="208"/>
      <c r="T137" s="220"/>
      <c r="U137" s="210"/>
      <c r="V137" s="208"/>
      <c r="W137" s="208"/>
      <c r="X137" s="208"/>
      <c r="Y137" s="208"/>
      <c r="Z137" s="220"/>
      <c r="AA137" s="228"/>
      <c r="AB137" s="208"/>
      <c r="AC137" s="208"/>
      <c r="AD137" s="208"/>
      <c r="AE137" s="208"/>
      <c r="AF137" s="220"/>
      <c r="AG137" s="229"/>
      <c r="AH137" s="208"/>
      <c r="AI137" s="208"/>
      <c r="AJ137" s="212"/>
      <c r="AK137" s="212"/>
      <c r="AL137" s="220"/>
      <c r="AM137" s="230"/>
      <c r="AN137" s="212"/>
      <c r="AO137" s="212"/>
      <c r="AP137" s="212"/>
      <c r="AQ137" s="212"/>
      <c r="AR137" s="220"/>
      <c r="AS137" s="230"/>
      <c r="AT137" s="220"/>
      <c r="AU137" s="230"/>
      <c r="AV137" s="220"/>
      <c r="AW137" s="246"/>
      <c r="AX137" s="220"/>
    </row>
    <row r="138" spans="1:50" s="54" customFormat="1" ht="15" customHeight="1">
      <c r="A138" s="43"/>
      <c r="B138" s="159" t="s">
        <v>626</v>
      </c>
      <c r="C138" s="17"/>
      <c r="D138" s="217"/>
      <c r="E138" s="217"/>
      <c r="F138" s="217"/>
      <c r="G138" s="217"/>
      <c r="H138" s="220" t="str">
        <f>IF(ROUND(CF!H28,0)=ROUND(SUM(CF!D28:G28),0),"OK","ERROR")</f>
        <v>OK</v>
      </c>
      <c r="I138" s="210"/>
      <c r="J138" s="217"/>
      <c r="K138" s="217"/>
      <c r="L138" s="217"/>
      <c r="M138" s="217"/>
      <c r="N138" s="220" t="str">
        <f>IF(ROUND(CF!N28,0)=ROUND(SUM(CF!J28:M28),0),"OK","ERROR")</f>
        <v>OK</v>
      </c>
      <c r="O138" s="210"/>
      <c r="P138" s="217"/>
      <c r="Q138" s="217"/>
      <c r="R138" s="217"/>
      <c r="S138" s="217"/>
      <c r="T138" s="220" t="str">
        <f>IF(ROUND(CF!T28,0)=ROUND(SUM(CF!P28:S28),0),"OK","ERROR")</f>
        <v>OK</v>
      </c>
      <c r="U138" s="210"/>
      <c r="V138" s="217"/>
      <c r="W138" s="217"/>
      <c r="X138" s="217"/>
      <c r="Y138" s="217"/>
      <c r="Z138" s="220" t="str">
        <f>IF(ROUND(CF!Z28,0)=ROUND(SUM(CF!V28:Y28),0),"OK","ERROR")</f>
        <v>OK</v>
      </c>
      <c r="AA138" s="213"/>
      <c r="AB138" s="217"/>
      <c r="AC138" s="217"/>
      <c r="AD138" s="217"/>
      <c r="AE138" s="217"/>
      <c r="AF138" s="220" t="str">
        <f>IF(ROUND(CF!AF28,0)=ROUND(SUM(CF!AB28:AE28),0),"OK","ERROR")</f>
        <v>OK</v>
      </c>
      <c r="AG138" s="211"/>
      <c r="AH138" s="217"/>
      <c r="AI138" s="217"/>
      <c r="AJ138" s="212"/>
      <c r="AK138" s="212"/>
      <c r="AL138" s="220" t="str">
        <f>IF(ROUND(CF!AL28,0)=ROUND(SUM(CF!AH28:AK28),0),"OK","ERROR")</f>
        <v>OK</v>
      </c>
      <c r="AM138" s="225"/>
      <c r="AN138" s="212"/>
      <c r="AO138" s="212"/>
      <c r="AP138" s="212"/>
      <c r="AQ138" s="212"/>
      <c r="AR138" s="220" t="str">
        <f>IF(ROUND(CF!AR28,0)=ROUND(SUM(CF!AN28:AQ28),0),"OK","ERROR")</f>
        <v>OK</v>
      </c>
      <c r="AS138" s="225"/>
      <c r="AT138" s="220" t="str">
        <f>IF(ROUND(CF!AT28,0)=ROUND(SUM(CF!AP28:AS28),0),"OK","ERROR")</f>
        <v>OK</v>
      </c>
      <c r="AU138" s="225"/>
      <c r="AV138" s="220" t="str">
        <f>IF(ROUND(CF!AV28,0)=ROUND(SUM(CF!AR28:AU28),0),"OK","ERROR")</f>
        <v>OK</v>
      </c>
      <c r="AW138" s="246"/>
      <c r="AX138" s="220" t="str">
        <f>IF(ROUND(CF!AX28,0)=ROUND(SUM(CF!AT28:AW28),0),"OK","ERROR")</f>
        <v>OK</v>
      </c>
    </row>
    <row r="139" spans="1:50" s="54" customFormat="1" ht="15" customHeight="1">
      <c r="A139" s="113"/>
      <c r="B139" s="159" t="s">
        <v>627</v>
      </c>
      <c r="C139" s="115"/>
      <c r="D139" s="217"/>
      <c r="E139" s="217"/>
      <c r="F139" s="217"/>
      <c r="G139" s="217"/>
      <c r="H139" s="220" t="str">
        <f>IF(ROUND(CF!H29,0)=ROUND(SUM(CF!D29:G29),0),"OK","ERROR")</f>
        <v>OK</v>
      </c>
      <c r="I139" s="210"/>
      <c r="J139" s="217"/>
      <c r="K139" s="217"/>
      <c r="L139" s="217"/>
      <c r="M139" s="217"/>
      <c r="N139" s="220" t="str">
        <f>IF(ROUND(CF!N29,0)=ROUND(SUM(CF!J29:M29),0),"OK","ERROR")</f>
        <v>OK</v>
      </c>
      <c r="O139" s="210"/>
      <c r="P139" s="217"/>
      <c r="Q139" s="217"/>
      <c r="R139" s="217"/>
      <c r="S139" s="217"/>
      <c r="T139" s="220" t="str">
        <f>IF(ROUND(CF!T29,0)=ROUND(SUM(CF!P29:S29),0),"OK","ERROR")</f>
        <v>OK</v>
      </c>
      <c r="U139" s="210"/>
      <c r="V139" s="217"/>
      <c r="W139" s="217"/>
      <c r="X139" s="217"/>
      <c r="Y139" s="217"/>
      <c r="Z139" s="220" t="str">
        <f>IF(ROUND(CF!Z29,0)=ROUND(SUM(CF!V29:Y29),0),"OK","ERROR")</f>
        <v>OK</v>
      </c>
      <c r="AA139" s="228"/>
      <c r="AB139" s="217"/>
      <c r="AC139" s="217"/>
      <c r="AD139" s="217"/>
      <c r="AE139" s="217"/>
      <c r="AF139" s="220" t="str">
        <f>IF(ROUND(CF!AF29,0)=ROUND(SUM(CF!AB29:AE29),0),"OK","ERROR")</f>
        <v>OK</v>
      </c>
      <c r="AG139" s="229"/>
      <c r="AH139" s="217"/>
      <c r="AI139" s="217"/>
      <c r="AJ139" s="212"/>
      <c r="AK139" s="212"/>
      <c r="AL139" s="220" t="str">
        <f>IF(ROUND(CF!AL29,0)=ROUND(SUM(CF!AH29:AK29),0),"OK","ERROR")</f>
        <v>OK</v>
      </c>
      <c r="AM139" s="230"/>
      <c r="AN139" s="212"/>
      <c r="AO139" s="212"/>
      <c r="AP139" s="212"/>
      <c r="AQ139" s="212"/>
      <c r="AR139" s="220" t="str">
        <f>IF(ROUND(CF!AR29,0)=ROUND(SUM(CF!AN29:AQ29),0),"OK","ERROR")</f>
        <v>OK</v>
      </c>
      <c r="AS139" s="230"/>
      <c r="AT139" s="220" t="str">
        <f>IF(ROUND(CF!AT29,0)=ROUND(SUM(CF!AP29:AS29),0),"OK","ERROR")</f>
        <v>OK</v>
      </c>
      <c r="AU139" s="230"/>
      <c r="AV139" s="220" t="str">
        <f>IF(ROUND(CF!AV29,0)=ROUND(SUM(CF!AR29:AU29),0),"OK","ERROR")</f>
        <v>OK</v>
      </c>
      <c r="AW139" s="246"/>
      <c r="AX139" s="220" t="str">
        <f>IF(ROUND(CF!AX29,0)=ROUND(SUM(CF!AT29:AW29),0),"OK","ERROR")</f>
        <v>OK</v>
      </c>
    </row>
    <row r="140" spans="1:50" s="54" customFormat="1" ht="15" customHeight="1">
      <c r="A140" s="43"/>
      <c r="B140" s="159" t="s">
        <v>628</v>
      </c>
      <c r="C140" s="17"/>
      <c r="D140" s="217"/>
      <c r="E140" s="217"/>
      <c r="F140" s="217"/>
      <c r="G140" s="217"/>
      <c r="H140" s="220" t="str">
        <f>IF(ROUND(CF!H30,0)=ROUND(SUM(CF!D30:G30),0),"OK","ERROR")</f>
        <v>OK</v>
      </c>
      <c r="I140" s="210"/>
      <c r="J140" s="217"/>
      <c r="K140" s="217"/>
      <c r="L140" s="217"/>
      <c r="M140" s="217"/>
      <c r="N140" s="220" t="str">
        <f>IF(ROUND(CF!N30,0)=ROUND(SUM(CF!J30:M30),0),"OK","ERROR")</f>
        <v>OK</v>
      </c>
      <c r="O140" s="210"/>
      <c r="P140" s="217"/>
      <c r="Q140" s="217"/>
      <c r="R140" s="217"/>
      <c r="S140" s="217"/>
      <c r="T140" s="220" t="str">
        <f>IF(ROUND(CF!T30,0)=ROUND(SUM(CF!P30:S30),0),"OK","ERROR")</f>
        <v>OK</v>
      </c>
      <c r="U140" s="210"/>
      <c r="V140" s="217"/>
      <c r="W140" s="217"/>
      <c r="X140" s="217"/>
      <c r="Y140" s="217"/>
      <c r="Z140" s="220" t="str">
        <f>IF(ROUND(CF!Z30,0)=ROUND(SUM(CF!V30:Y30),0),"OK","ERROR")</f>
        <v>OK</v>
      </c>
      <c r="AA140" s="213"/>
      <c r="AB140" s="217"/>
      <c r="AC140" s="217"/>
      <c r="AD140" s="217"/>
      <c r="AE140" s="217"/>
      <c r="AF140" s="220" t="str">
        <f>IF(ROUND(CF!AF30,0)=ROUND(SUM(CF!AB30:AE30),0),"OK","ERROR")</f>
        <v>OK</v>
      </c>
      <c r="AG140" s="211"/>
      <c r="AH140" s="217"/>
      <c r="AI140" s="217"/>
      <c r="AJ140" s="212"/>
      <c r="AK140" s="212"/>
      <c r="AL140" s="220" t="str">
        <f>IF(ROUND(CF!AL30,0)=ROUND(SUM(CF!AH30:AK30),0),"OK","ERROR")</f>
        <v>ERROR</v>
      </c>
      <c r="AM140" s="225"/>
      <c r="AN140" s="212"/>
      <c r="AO140" s="212"/>
      <c r="AP140" s="212"/>
      <c r="AQ140" s="212"/>
      <c r="AR140" s="220" t="str">
        <f>IF(ROUND(CF!AR30,0)=ROUND(SUM(CF!AN30:AQ30),0),"OK","ERROR")</f>
        <v>OK</v>
      </c>
      <c r="AS140" s="225"/>
      <c r="AT140" s="220" t="str">
        <f>IF(ROUND(CF!AT30,0)=ROUND(SUM(CF!AP30:AS30),0),"OK","ERROR")</f>
        <v>OK</v>
      </c>
      <c r="AU140" s="225"/>
      <c r="AV140" s="220" t="str">
        <f>IF(ROUND(CF!AV30,0)=ROUND(SUM(CF!AR30:AU30),0),"OK","ERROR")</f>
        <v>OK</v>
      </c>
      <c r="AW140" s="246"/>
      <c r="AX140" s="220" t="str">
        <f>IF(ROUND(CF!AX30,0)=ROUND(SUM(CF!AT30:AW30),0),"OK","ERROR")</f>
        <v>OK</v>
      </c>
    </row>
    <row r="141" spans="1:50" s="54" customFormat="1" ht="15" customHeight="1">
      <c r="A141" s="113"/>
      <c r="B141" s="159" t="s">
        <v>629</v>
      </c>
      <c r="C141" s="115"/>
      <c r="D141" s="217"/>
      <c r="E141" s="217"/>
      <c r="F141" s="217"/>
      <c r="G141" s="217"/>
      <c r="H141" s="220" t="str">
        <f>IF(ROUND(CF!H31,0)=ROUND(SUM(CF!D31:G31),0),"OK","ERROR")</f>
        <v>OK</v>
      </c>
      <c r="I141" s="210"/>
      <c r="J141" s="217"/>
      <c r="K141" s="217"/>
      <c r="L141" s="217"/>
      <c r="M141" s="217"/>
      <c r="N141" s="220" t="str">
        <f>IF(ROUND(CF!N31,0)=ROUND(SUM(CF!J31:M31),0),"OK","ERROR")</f>
        <v>OK</v>
      </c>
      <c r="O141" s="210"/>
      <c r="P141" s="217"/>
      <c r="Q141" s="217"/>
      <c r="R141" s="217"/>
      <c r="S141" s="217"/>
      <c r="T141" s="220" t="str">
        <f>IF(ROUND(CF!T31,0)=ROUND(SUM(CF!P31:S31),0),"OK","ERROR")</f>
        <v>OK</v>
      </c>
      <c r="U141" s="210"/>
      <c r="V141" s="217"/>
      <c r="W141" s="217"/>
      <c r="X141" s="217"/>
      <c r="Y141" s="217"/>
      <c r="Z141" s="220" t="str">
        <f>IF(ROUND(CF!Z31,0)=ROUND(SUM(CF!V31:Y31),0),"OK","ERROR")</f>
        <v>OK</v>
      </c>
      <c r="AA141" s="228"/>
      <c r="AB141" s="217"/>
      <c r="AC141" s="217"/>
      <c r="AD141" s="217"/>
      <c r="AE141" s="217"/>
      <c r="AF141" s="220" t="str">
        <f>IF(ROUND(CF!AF31,0)=ROUND(SUM(CF!AB31:AE31),0),"OK","ERROR")</f>
        <v>OK</v>
      </c>
      <c r="AG141" s="229"/>
      <c r="AH141" s="217"/>
      <c r="AI141" s="217"/>
      <c r="AJ141" s="212"/>
      <c r="AK141" s="212"/>
      <c r="AL141" s="220" t="str">
        <f>IF(ROUND(CF!AL31,0)=ROUND(SUM(CF!AH31:AK31),0),"OK","ERROR")</f>
        <v>OK</v>
      </c>
      <c r="AM141" s="234"/>
      <c r="AN141" s="212"/>
      <c r="AO141" s="212"/>
      <c r="AP141" s="212"/>
      <c r="AQ141" s="212"/>
      <c r="AR141" s="220" t="str">
        <f>IF(ROUND(CF!AR31,0)=ROUND(SUM(CF!AN31:AQ31),0),"OK","ERROR")</f>
        <v>OK</v>
      </c>
      <c r="AS141" s="234"/>
      <c r="AT141" s="220" t="str">
        <f>IF(ROUND(CF!AT31,0)=ROUND(SUM(CF!AP31:AS31),0),"OK","ERROR")</f>
        <v>OK</v>
      </c>
      <c r="AU141" s="234"/>
      <c r="AV141" s="220" t="str">
        <f>IF(ROUND(CF!AV31,0)=ROUND(SUM(CF!AR31:AU31),0),"OK","ERROR")</f>
        <v>OK</v>
      </c>
      <c r="AW141" s="246"/>
      <c r="AX141" s="220" t="str">
        <f>IF(ROUND(CF!AX31,0)=ROUND(SUM(CF!AT31:AW31),0),"OK","ERROR")</f>
        <v>OK</v>
      </c>
    </row>
    <row r="142" spans="1:50" s="54" customFormat="1" ht="15" customHeight="1">
      <c r="A142" s="113"/>
      <c r="B142" s="159" t="s">
        <v>630</v>
      </c>
      <c r="C142" s="115"/>
      <c r="D142" s="217"/>
      <c r="E142" s="217"/>
      <c r="F142" s="217"/>
      <c r="G142" s="217"/>
      <c r="H142" s="220" t="str">
        <f>IF(ROUND(CF!H32,0)=ROUND(SUM(CF!D32:G32),0),"OK","ERROR")</f>
        <v>OK</v>
      </c>
      <c r="I142" s="210"/>
      <c r="J142" s="217"/>
      <c r="K142" s="217"/>
      <c r="L142" s="217"/>
      <c r="M142" s="217"/>
      <c r="N142" s="220" t="str">
        <f>IF(ROUND(CF!N32,0)=ROUND(SUM(CF!J32:M32),0),"OK","ERROR")</f>
        <v>OK</v>
      </c>
      <c r="O142" s="210"/>
      <c r="P142" s="217"/>
      <c r="Q142" s="217"/>
      <c r="R142" s="217"/>
      <c r="S142" s="217"/>
      <c r="T142" s="220" t="str">
        <f>IF(ROUND(CF!T32,0)=ROUND(SUM(CF!P32:S32),0),"OK","ERROR")</f>
        <v>OK</v>
      </c>
      <c r="U142" s="210"/>
      <c r="V142" s="217"/>
      <c r="W142" s="217"/>
      <c r="X142" s="217"/>
      <c r="Y142" s="217"/>
      <c r="Z142" s="220" t="str">
        <f>IF(ROUND(CF!Z32,0)=ROUND(SUM(CF!V32:Y32),0),"OK","ERROR")</f>
        <v>OK</v>
      </c>
      <c r="AA142" s="228"/>
      <c r="AB142" s="217"/>
      <c r="AC142" s="217"/>
      <c r="AD142" s="217"/>
      <c r="AE142" s="217"/>
      <c r="AF142" s="220" t="str">
        <f>IF(ROUND(CF!AF32,0)=ROUND(SUM(CF!AB32:AE32),0),"OK","ERROR")</f>
        <v>OK</v>
      </c>
      <c r="AG142" s="229"/>
      <c r="AH142" s="217"/>
      <c r="AI142" s="217"/>
      <c r="AJ142" s="212"/>
      <c r="AK142" s="212"/>
      <c r="AL142" s="220" t="str">
        <f>IF(ROUND(CF!AL32,0)=ROUND(SUM(CF!AH32:AK32),0),"OK","ERROR")</f>
        <v>OK</v>
      </c>
      <c r="AM142" s="234"/>
      <c r="AN142" s="212"/>
      <c r="AO142" s="212"/>
      <c r="AP142" s="212"/>
      <c r="AQ142" s="212"/>
      <c r="AR142" s="220" t="str">
        <f>IF(ROUND(CF!AR32,0)=ROUND(SUM(CF!AN32:AQ32),0),"OK","ERROR")</f>
        <v>OK</v>
      </c>
      <c r="AS142" s="234"/>
      <c r="AT142" s="220" t="str">
        <f>IF(ROUND(CF!AT32,0)=ROUND(SUM(CF!AP32:AS32),0),"OK","ERROR")</f>
        <v>OK</v>
      </c>
      <c r="AU142" s="234"/>
      <c r="AV142" s="220" t="str">
        <f>IF(ROUND(CF!AV32,0)=ROUND(SUM(CF!AR32:AU32),0),"OK","ERROR")</f>
        <v>OK</v>
      </c>
      <c r="AW142" s="246"/>
      <c r="AX142" s="220" t="str">
        <f>IF(ROUND(CF!AX32,0)=ROUND(SUM(CF!AT32:AW32),0),"OK","ERROR")</f>
        <v>OK</v>
      </c>
    </row>
    <row r="143" spans="1:50" s="54" customFormat="1" ht="15" customHeight="1">
      <c r="A143" s="113"/>
      <c r="B143" s="159" t="s">
        <v>631</v>
      </c>
      <c r="C143" s="17"/>
      <c r="D143" s="217"/>
      <c r="E143" s="217"/>
      <c r="F143" s="217"/>
      <c r="G143" s="217"/>
      <c r="H143" s="220" t="str">
        <f>IF(ROUND(CF!H33,0)=ROUND(SUM(CF!D33:G33),0),"OK","ERROR")</f>
        <v>OK</v>
      </c>
      <c r="I143" s="210"/>
      <c r="J143" s="217"/>
      <c r="K143" s="217"/>
      <c r="L143" s="217"/>
      <c r="M143" s="217"/>
      <c r="N143" s="220" t="str">
        <f>IF(ROUND(CF!N33,0)=ROUND(SUM(CF!J33:M33),0),"OK","ERROR")</f>
        <v>OK</v>
      </c>
      <c r="O143" s="210"/>
      <c r="P143" s="217"/>
      <c r="Q143" s="217"/>
      <c r="R143" s="217"/>
      <c r="S143" s="217"/>
      <c r="T143" s="220" t="str">
        <f>IF(ROUND(CF!T33,0)=ROUND(SUM(CF!P33:S33),0),"OK","ERROR")</f>
        <v>OK</v>
      </c>
      <c r="U143" s="210"/>
      <c r="V143" s="217"/>
      <c r="W143" s="217"/>
      <c r="X143" s="217"/>
      <c r="Y143" s="217"/>
      <c r="Z143" s="220" t="str">
        <f>IF(ROUND(CF!Z33,0)=ROUND(SUM(CF!V33:Y33),0),"OK","ERROR")</f>
        <v>OK</v>
      </c>
      <c r="AA143" s="213"/>
      <c r="AB143" s="217"/>
      <c r="AC143" s="217"/>
      <c r="AD143" s="217"/>
      <c r="AE143" s="217"/>
      <c r="AF143" s="220" t="str">
        <f>IF(ROUND(CF!AF33,0)=ROUND(SUM(CF!AB33:AE33),0),"OK","ERROR")</f>
        <v>OK</v>
      </c>
      <c r="AG143" s="211"/>
      <c r="AH143" s="217"/>
      <c r="AI143" s="217"/>
      <c r="AJ143" s="212"/>
      <c r="AK143" s="212"/>
      <c r="AL143" s="220" t="str">
        <f>IF(ROUND(CF!AL33,0)=ROUND(SUM(CF!AH33:AK33),0),"OK","ERROR")</f>
        <v>ERROR</v>
      </c>
      <c r="AM143" s="225"/>
      <c r="AN143" s="212"/>
      <c r="AO143" s="212"/>
      <c r="AP143" s="212"/>
      <c r="AQ143" s="212"/>
      <c r="AR143" s="220" t="str">
        <f>IF(ROUND(CF!AR33,0)=ROUND(SUM(CF!AN33:AQ33),0),"OK","ERROR")</f>
        <v>OK</v>
      </c>
      <c r="AS143" s="225"/>
      <c r="AT143" s="220" t="str">
        <f>IF(ROUND(CF!AT33,0)=ROUND(SUM(CF!AP33:AS33),0),"OK","ERROR")</f>
        <v>OK</v>
      </c>
      <c r="AU143" s="225"/>
      <c r="AV143" s="220" t="str">
        <f>IF(ROUND(CF!AV33,0)=ROUND(SUM(CF!AR33:AU33),0),"OK","ERROR")</f>
        <v>OK</v>
      </c>
      <c r="AW143" s="246"/>
      <c r="AX143" s="220" t="str">
        <f>IF(ROUND(CF!AX33,0)=ROUND(SUM(CF!AT33:AW33),0),"OK","ERROR")</f>
        <v>OK</v>
      </c>
    </row>
    <row r="144" spans="1:50" s="54" customFormat="1" ht="15" customHeight="1">
      <c r="A144" s="43"/>
      <c r="B144" s="159" t="s">
        <v>632</v>
      </c>
      <c r="C144" s="17"/>
      <c r="D144" s="217"/>
      <c r="E144" s="217"/>
      <c r="F144" s="217"/>
      <c r="G144" s="217"/>
      <c r="H144" s="220" t="str">
        <f>IF(ROUND(CF!H34,0)=ROUND(SUM(CF!D34:G34),0),"OK","ERROR")</f>
        <v>OK</v>
      </c>
      <c r="I144" s="210"/>
      <c r="J144" s="217"/>
      <c r="K144" s="217"/>
      <c r="L144" s="217"/>
      <c r="M144" s="217"/>
      <c r="N144" s="220" t="str">
        <f>IF(ROUND(CF!N34,0)=ROUND(SUM(CF!J34:M34),0),"OK","ERROR")</f>
        <v>OK</v>
      </c>
      <c r="O144" s="210"/>
      <c r="P144" s="217"/>
      <c r="Q144" s="217"/>
      <c r="R144" s="217"/>
      <c r="S144" s="217"/>
      <c r="T144" s="220" t="str">
        <f>IF(ROUND(CF!T34,0)=ROUND(SUM(CF!P34:S34),0),"OK","ERROR")</f>
        <v>OK</v>
      </c>
      <c r="U144" s="210"/>
      <c r="V144" s="217"/>
      <c r="W144" s="217"/>
      <c r="X144" s="217"/>
      <c r="Y144" s="217"/>
      <c r="Z144" s="220" t="str">
        <f>IF(ROUND(CF!Z34,0)=ROUND(SUM(CF!V34:Y34),0),"OK","ERROR")</f>
        <v>OK</v>
      </c>
      <c r="AA144" s="213"/>
      <c r="AB144" s="217"/>
      <c r="AC144" s="217"/>
      <c r="AD144" s="217"/>
      <c r="AE144" s="217"/>
      <c r="AF144" s="220" t="str">
        <f>IF(ROUND(CF!AF34,0)=ROUND(SUM(CF!AB34:AE34),0),"OK","ERROR")</f>
        <v>OK</v>
      </c>
      <c r="AG144" s="211"/>
      <c r="AH144" s="217"/>
      <c r="AI144" s="217"/>
      <c r="AJ144" s="212"/>
      <c r="AK144" s="212"/>
      <c r="AL144" s="220" t="str">
        <f>IF(ROUND(CF!AL34,0)=ROUND(SUM(CF!AH34:AK34),0),"OK","ERROR")</f>
        <v>ERROR</v>
      </c>
      <c r="AM144" s="225"/>
      <c r="AN144" s="212"/>
      <c r="AO144" s="212"/>
      <c r="AP144" s="212"/>
      <c r="AQ144" s="212"/>
      <c r="AR144" s="220" t="str">
        <f>IF(ROUND(CF!AR34,0)=ROUND(SUM(CF!AN34:AQ34),0),"OK","ERROR")</f>
        <v>OK</v>
      </c>
      <c r="AS144" s="225"/>
      <c r="AT144" s="220" t="str">
        <f>IF(ROUND(CF!AT34,0)=ROUND(SUM(CF!AP34:AS34),0),"OK","ERROR")</f>
        <v>OK</v>
      </c>
      <c r="AU144" s="225"/>
      <c r="AV144" s="220" t="str">
        <f>IF(ROUND(CF!AV34,0)=ROUND(SUM(CF!AR34:AU34),0),"OK","ERROR")</f>
        <v>OK</v>
      </c>
      <c r="AW144" s="246"/>
      <c r="AX144" s="220" t="str">
        <f>IF(ROUND(CF!AX34,0)=ROUND(SUM(CF!AT34:AW34),0),"OK","ERROR")</f>
        <v>OK</v>
      </c>
    </row>
    <row r="145" spans="1:50" s="54" customFormat="1" ht="15" customHeight="1">
      <c r="B145" s="159" t="s">
        <v>633</v>
      </c>
      <c r="C145" s="115"/>
      <c r="D145" s="217"/>
      <c r="E145" s="217"/>
      <c r="F145" s="217"/>
      <c r="G145" s="217"/>
      <c r="H145" s="226" t="str">
        <f>IF(ROUND(CF!H35,0)=ROUND(SUM(CF!D35:G35),0),"OK","ERROR")</f>
        <v>OK</v>
      </c>
      <c r="I145" s="210"/>
      <c r="J145" s="217"/>
      <c r="K145" s="217"/>
      <c r="L145" s="217"/>
      <c r="M145" s="217"/>
      <c r="N145" s="226" t="str">
        <f>IF(ROUND(CF!N35,0)=ROUND(SUM(CF!J35:M35),0),"OK","ERROR")</f>
        <v>OK</v>
      </c>
      <c r="O145" s="210"/>
      <c r="P145" s="217"/>
      <c r="Q145" s="217"/>
      <c r="R145" s="217"/>
      <c r="S145" s="217"/>
      <c r="T145" s="226" t="str">
        <f>IF(ROUND(CF!T35,0)=ROUND(SUM(CF!P35:S35),0),"OK","ERROR")</f>
        <v>OK</v>
      </c>
      <c r="U145" s="210"/>
      <c r="V145" s="217"/>
      <c r="W145" s="217"/>
      <c r="X145" s="217"/>
      <c r="Y145" s="217"/>
      <c r="Z145" s="226" t="str">
        <f>IF(ROUND(CF!Z35,0)=ROUND(SUM(CF!V35:Y35),0),"OK","ERROR")</f>
        <v>OK</v>
      </c>
      <c r="AA145" s="228"/>
      <c r="AB145" s="217"/>
      <c r="AC145" s="217"/>
      <c r="AD145" s="217"/>
      <c r="AE145" s="217"/>
      <c r="AF145" s="226" t="str">
        <f>IF(ROUND(CF!AF35,0)=ROUND(SUM(CF!AB35:AE35),0),"OK","ERROR")</f>
        <v>OK</v>
      </c>
      <c r="AG145" s="229"/>
      <c r="AH145" s="217"/>
      <c r="AI145" s="217"/>
      <c r="AJ145" s="212"/>
      <c r="AK145" s="212"/>
      <c r="AL145" s="226" t="str">
        <f>IF(ROUND(CF!AL35,0)=ROUND(SUM(CF!AH35:AK35),0),"OK","ERROR")</f>
        <v>ERROR</v>
      </c>
      <c r="AM145" s="230"/>
      <c r="AN145" s="212"/>
      <c r="AO145" s="212"/>
      <c r="AP145" s="212"/>
      <c r="AQ145" s="212"/>
      <c r="AR145" s="226" t="str">
        <f>IF(ROUND(CF!AR35,0)=ROUND(SUM(CF!AN35:AQ35),0),"OK","ERROR")</f>
        <v>OK</v>
      </c>
      <c r="AS145" s="230"/>
      <c r="AT145" s="226" t="str">
        <f>IF(ROUND(CF!AT35,0)=ROUND(SUM(CF!AP35:AS35),0),"OK","ERROR")</f>
        <v>OK</v>
      </c>
      <c r="AU145" s="230"/>
      <c r="AV145" s="226" t="str">
        <f>IF(ROUND(CF!AV35,0)=ROUND(SUM(CF!AR35:AU35),0),"OK","ERROR")</f>
        <v>OK</v>
      </c>
      <c r="AW145" s="246"/>
      <c r="AX145" s="226" t="str">
        <f>IF(ROUND(CF!AX35,0)=ROUND(SUM(CF!AT35:AW35),0),"OK","ERROR")</f>
        <v>OK</v>
      </c>
    </row>
    <row r="146" spans="1:50" s="54" customFormat="1" ht="15" customHeight="1" thickBot="1">
      <c r="A146" s="113"/>
      <c r="B146" s="160" t="s">
        <v>634</v>
      </c>
      <c r="C146" s="17"/>
      <c r="D146" s="217"/>
      <c r="E146" s="217"/>
      <c r="F146" s="217"/>
      <c r="G146" s="217"/>
      <c r="H146" s="237" t="str">
        <f>IF(ROUND(CF!H36,0)=ROUND(SUM(CF!D36:G36),0),"OK","ERROR")</f>
        <v>OK</v>
      </c>
      <c r="I146" s="210"/>
      <c r="J146" s="217"/>
      <c r="K146" s="217"/>
      <c r="L146" s="217"/>
      <c r="M146" s="217"/>
      <c r="N146" s="237" t="str">
        <f>IF(ROUND(CF!N36,0)=ROUND(SUM(CF!J36:M36),0),"OK","ERROR")</f>
        <v>OK</v>
      </c>
      <c r="O146" s="210"/>
      <c r="P146" s="217"/>
      <c r="Q146" s="217"/>
      <c r="R146" s="217"/>
      <c r="S146" s="217"/>
      <c r="T146" s="237" t="str">
        <f>IF(ROUND(CF!T36,0)=ROUND(SUM(CF!P36:S36),0),"OK","ERROR")</f>
        <v>OK</v>
      </c>
      <c r="U146" s="210"/>
      <c r="V146" s="217"/>
      <c r="W146" s="217"/>
      <c r="X146" s="217"/>
      <c r="Y146" s="217"/>
      <c r="Z146" s="237" t="str">
        <f>IF(ROUND(CF!Z36,0)=ROUND(SUM(CF!V36:Y36),0),"OK","ERROR")</f>
        <v>OK</v>
      </c>
      <c r="AA146" s="213"/>
      <c r="AB146" s="217"/>
      <c r="AC146" s="217"/>
      <c r="AD146" s="217"/>
      <c r="AE146" s="217"/>
      <c r="AF146" s="237" t="str">
        <f>IF(ROUND(CF!AF36,0)=ROUND(SUM(CF!AB36:AE36),0),"OK","ERROR")</f>
        <v>OK</v>
      </c>
      <c r="AG146" s="211"/>
      <c r="AH146" s="217"/>
      <c r="AI146" s="217"/>
      <c r="AJ146" s="212"/>
      <c r="AK146" s="212"/>
      <c r="AL146" s="237" t="str">
        <f>IF(ROUND(CF!AL36,0)=ROUND(SUM(CF!AH36:AK36),0),"OK","ERROR")</f>
        <v>ERROR</v>
      </c>
      <c r="AM146" s="215"/>
      <c r="AN146" s="212"/>
      <c r="AO146" s="212"/>
      <c r="AP146" s="212"/>
      <c r="AQ146" s="212"/>
      <c r="AR146" s="237" t="str">
        <f>IF(ROUND(CF!AR36,0)=ROUND(SUM(CF!AN36:AQ36),0),"OK","ERROR")</f>
        <v>OK</v>
      </c>
      <c r="AS146" s="215"/>
      <c r="AT146" s="237" t="str">
        <f>IF(ROUND(CF!AT36,0)=ROUND(SUM(CF!AP36:AS36),0),"OK","ERROR")</f>
        <v>OK</v>
      </c>
      <c r="AU146" s="215"/>
      <c r="AV146" s="237" t="str">
        <f>IF(ROUND(CF!AV36,0)=ROUND(SUM(CF!AR36:AU36),0),"OK","ERROR")</f>
        <v>OK</v>
      </c>
      <c r="AW146" s="246"/>
      <c r="AX146" s="237" t="str">
        <f>IF(ROUND(CF!AX36,0)=ROUND(SUM(CF!AT36:AW36),0),"OK","ERROR")</f>
        <v>OK</v>
      </c>
    </row>
    <row r="147" spans="1:50" s="54" customFormat="1" ht="15" customHeight="1" thickTop="1">
      <c r="A147" s="43"/>
      <c r="B147" s="154"/>
      <c r="C147" s="115"/>
      <c r="D147" s="208"/>
      <c r="E147" s="208"/>
      <c r="F147" s="208"/>
      <c r="G147" s="208"/>
      <c r="H147" s="220"/>
      <c r="I147" s="210"/>
      <c r="J147" s="208"/>
      <c r="K147" s="208"/>
      <c r="L147" s="208"/>
      <c r="M147" s="208"/>
      <c r="N147" s="220"/>
      <c r="O147" s="210"/>
      <c r="P147" s="208"/>
      <c r="Q147" s="208"/>
      <c r="R147" s="208"/>
      <c r="S147" s="208"/>
      <c r="T147" s="220"/>
      <c r="U147" s="210"/>
      <c r="V147" s="208"/>
      <c r="W147" s="208"/>
      <c r="X147" s="208"/>
      <c r="Y147" s="208"/>
      <c r="Z147" s="220"/>
      <c r="AA147" s="232"/>
      <c r="AB147" s="208"/>
      <c r="AC147" s="208"/>
      <c r="AD147" s="208"/>
      <c r="AE147" s="208"/>
      <c r="AF147" s="220"/>
      <c r="AG147" s="229"/>
      <c r="AH147" s="208"/>
      <c r="AI147" s="208"/>
      <c r="AJ147" s="212"/>
      <c r="AK147" s="212"/>
      <c r="AL147" s="220"/>
      <c r="AM147" s="230"/>
      <c r="AN147" s="212"/>
      <c r="AO147" s="212"/>
      <c r="AP147" s="212"/>
      <c r="AQ147" s="212"/>
      <c r="AR147" s="220"/>
      <c r="AS147" s="230"/>
      <c r="AT147" s="220"/>
      <c r="AU147" s="230"/>
      <c r="AV147" s="220"/>
      <c r="AW147" s="246"/>
      <c r="AX147" s="220"/>
    </row>
    <row r="148" spans="1:50" s="54" customFormat="1" ht="15" customHeight="1">
      <c r="A148" s="44" t="s">
        <v>33</v>
      </c>
      <c r="B148" s="158" t="s">
        <v>635</v>
      </c>
      <c r="C148" s="27"/>
      <c r="D148" s="208"/>
      <c r="E148" s="208"/>
      <c r="F148" s="208"/>
      <c r="G148" s="208"/>
      <c r="H148" s="220"/>
      <c r="I148" s="210"/>
      <c r="J148" s="208"/>
      <c r="K148" s="208"/>
      <c r="L148" s="208"/>
      <c r="M148" s="208"/>
      <c r="N148" s="220"/>
      <c r="O148" s="210"/>
      <c r="P148" s="208"/>
      <c r="Q148" s="208"/>
      <c r="R148" s="208"/>
      <c r="S148" s="208"/>
      <c r="T148" s="220"/>
      <c r="U148" s="210"/>
      <c r="V148" s="208"/>
      <c r="W148" s="208"/>
      <c r="X148" s="208"/>
      <c r="Y148" s="208"/>
      <c r="Z148" s="220"/>
      <c r="AA148" s="213"/>
      <c r="AB148" s="208"/>
      <c r="AC148" s="208"/>
      <c r="AD148" s="208"/>
      <c r="AE148" s="208"/>
      <c r="AF148" s="220"/>
      <c r="AG148" s="211"/>
      <c r="AH148" s="208"/>
      <c r="AI148" s="208"/>
      <c r="AJ148" s="212"/>
      <c r="AK148" s="212"/>
      <c r="AL148" s="220"/>
      <c r="AM148" s="215"/>
      <c r="AN148" s="212"/>
      <c r="AO148" s="212"/>
      <c r="AP148" s="212"/>
      <c r="AQ148" s="212"/>
      <c r="AR148" s="220"/>
      <c r="AS148" s="215"/>
      <c r="AT148" s="220"/>
      <c r="AU148" s="215"/>
      <c r="AV148" s="220"/>
      <c r="AW148" s="246"/>
      <c r="AX148" s="220"/>
    </row>
    <row r="149" spans="1:50" s="54" customFormat="1" ht="15" customHeight="1">
      <c r="A149" s="113"/>
      <c r="B149" s="159" t="s">
        <v>636</v>
      </c>
      <c r="C149" s="115"/>
      <c r="D149" s="217"/>
      <c r="E149" s="217"/>
      <c r="F149" s="217"/>
      <c r="G149" s="217"/>
      <c r="H149" s="220" t="str">
        <f>IF(ROUND(CF!H39,0)=ROUND(SUM(CF!D39:G39),0),"OK","ERROR")</f>
        <v>OK</v>
      </c>
      <c r="I149" s="210"/>
      <c r="J149" s="217"/>
      <c r="K149" s="217"/>
      <c r="L149" s="217"/>
      <c r="M149" s="217"/>
      <c r="N149" s="220" t="str">
        <f>IF(ROUND(CF!N39,0)=ROUND(SUM(CF!J39:M39),0),"OK","ERROR")</f>
        <v>OK</v>
      </c>
      <c r="O149" s="210"/>
      <c r="P149" s="217"/>
      <c r="Q149" s="217"/>
      <c r="R149" s="217"/>
      <c r="S149" s="217"/>
      <c r="T149" s="220" t="str">
        <f>IF(ROUND(CF!T39,0)=ROUND(SUM(CF!P39:S39),0),"OK","ERROR")</f>
        <v>OK</v>
      </c>
      <c r="U149" s="210"/>
      <c r="V149" s="217"/>
      <c r="W149" s="217"/>
      <c r="X149" s="217"/>
      <c r="Y149" s="217"/>
      <c r="Z149" s="220" t="str">
        <f>IF(ROUND(CF!Z39,0)=ROUND(SUM(CF!V39:Y39),0),"OK","ERROR")</f>
        <v>OK</v>
      </c>
      <c r="AA149" s="213"/>
      <c r="AB149" s="217"/>
      <c r="AC149" s="217"/>
      <c r="AD149" s="217"/>
      <c r="AE149" s="217"/>
      <c r="AF149" s="220" t="str">
        <f>IF(ROUND(CF!AF39,0)=ROUND(SUM(CF!AB39:AE39),0),"OK","ERROR")</f>
        <v>OK</v>
      </c>
      <c r="AG149" s="211"/>
      <c r="AH149" s="217"/>
      <c r="AI149" s="217"/>
      <c r="AJ149" s="212"/>
      <c r="AK149" s="212"/>
      <c r="AL149" s="220" t="str">
        <f>IF(ROUND(CF!AL39,0)=ROUND(SUM(CF!AH39:AK39),0),"OK","ERROR")</f>
        <v>ERROR</v>
      </c>
      <c r="AM149" s="215"/>
      <c r="AN149" s="212"/>
      <c r="AO149" s="212"/>
      <c r="AP149" s="212"/>
      <c r="AQ149" s="212"/>
      <c r="AR149" s="220" t="str">
        <f>IF(ROUND(CF!AR39,0)=ROUND(SUM(CF!AN39:AQ39),0),"OK","ERROR")</f>
        <v>OK</v>
      </c>
      <c r="AS149" s="215"/>
      <c r="AT149" s="220" t="str">
        <f>IF(ROUND(CF!AT39,0)=ROUND(SUM(CF!AP39:AS39),0),"OK","ERROR")</f>
        <v>OK</v>
      </c>
      <c r="AU149" s="215"/>
      <c r="AV149" s="220" t="str">
        <f>IF(ROUND(CF!AV39,0)=ROUND(SUM(CF!AR39:AU39),0),"OK","ERROR")</f>
        <v>OK</v>
      </c>
      <c r="AW149" s="246"/>
      <c r="AX149" s="220" t="str">
        <f>IF(ROUND(CF!AX39,0)=ROUND(SUM(CF!AT39:AW39),0),"OK","ERROR")</f>
        <v>OK</v>
      </c>
    </row>
    <row r="150" spans="1:50" s="54" customFormat="1" ht="15" customHeight="1">
      <c r="A150" s="113"/>
      <c r="B150" s="159" t="s">
        <v>637</v>
      </c>
      <c r="C150" s="115"/>
      <c r="D150" s="217"/>
      <c r="E150" s="217"/>
      <c r="F150" s="217"/>
      <c r="G150" s="217"/>
      <c r="H150" s="220" t="str">
        <f>IF(ROUND(CF!H40,0)=ROUND(SUM(CF!D40:G40),0),"OK","ERROR")</f>
        <v>OK</v>
      </c>
      <c r="I150" s="210"/>
      <c r="J150" s="217"/>
      <c r="K150" s="217"/>
      <c r="L150" s="217"/>
      <c r="M150" s="217"/>
      <c r="N150" s="220" t="str">
        <f>IF(ROUND(CF!N40,0)=ROUND(SUM(CF!J40:M40),0),"OK","ERROR")</f>
        <v>OK</v>
      </c>
      <c r="O150" s="210"/>
      <c r="P150" s="217"/>
      <c r="Q150" s="217"/>
      <c r="R150" s="217"/>
      <c r="S150" s="217"/>
      <c r="T150" s="220" t="str">
        <f>IF(ROUND(CF!T40,0)=ROUND(SUM(CF!P40:S40),0),"OK","ERROR")</f>
        <v>OK</v>
      </c>
      <c r="U150" s="210"/>
      <c r="V150" s="217"/>
      <c r="W150" s="217"/>
      <c r="X150" s="217"/>
      <c r="Y150" s="217"/>
      <c r="Z150" s="220" t="str">
        <f>IF(ROUND(CF!Z40,0)=ROUND(SUM(CF!V40:Y40),0),"OK","ERROR")</f>
        <v>OK</v>
      </c>
      <c r="AA150" s="213"/>
      <c r="AB150" s="217"/>
      <c r="AC150" s="217"/>
      <c r="AD150" s="217"/>
      <c r="AE150" s="217"/>
      <c r="AF150" s="220" t="str">
        <f>IF(ROUND(CF!AF40,0)=ROUND(SUM(CF!AB40:AE40),0),"OK","ERROR")</f>
        <v>OK</v>
      </c>
      <c r="AG150" s="211"/>
      <c r="AH150" s="217"/>
      <c r="AI150" s="217"/>
      <c r="AJ150" s="212"/>
      <c r="AK150" s="212"/>
      <c r="AL150" s="220" t="str">
        <f>IF(ROUND(CF!AL40,0)=ROUND(SUM(CF!AH40:AK40),0),"OK","ERROR")</f>
        <v>ERROR</v>
      </c>
      <c r="AM150" s="215"/>
      <c r="AN150" s="212"/>
      <c r="AO150" s="212"/>
      <c r="AP150" s="212"/>
      <c r="AQ150" s="212"/>
      <c r="AR150" s="220" t="str">
        <f>IF(ROUND(CF!AR40,0)=ROUND(SUM(CF!AN40:AQ40),0),"OK","ERROR")</f>
        <v>OK</v>
      </c>
      <c r="AS150" s="215"/>
      <c r="AT150" s="220" t="str">
        <f>IF(ROUND(CF!AT40,0)=ROUND(SUM(CF!AP40:AS40),0),"OK","ERROR")</f>
        <v>OK</v>
      </c>
      <c r="AU150" s="215"/>
      <c r="AV150" s="220" t="str">
        <f>IF(ROUND(CF!AV40,0)=ROUND(SUM(CF!AR40:AU40),0),"OK","ERROR")</f>
        <v>OK</v>
      </c>
      <c r="AW150" s="246"/>
      <c r="AX150" s="220" t="str">
        <f>IF(ROUND(CF!AX40,0)=ROUND(SUM(CF!AT40:AW40),0),"OK","ERROR")</f>
        <v>OK</v>
      </c>
    </row>
    <row r="151" spans="1:50" s="54" customFormat="1" ht="15" customHeight="1">
      <c r="A151" s="113"/>
      <c r="B151" s="159" t="s">
        <v>638</v>
      </c>
      <c r="C151" s="115"/>
      <c r="D151" s="217"/>
      <c r="E151" s="217"/>
      <c r="F151" s="217"/>
      <c r="G151" s="217"/>
      <c r="H151" s="220" t="str">
        <f>IF(ROUND(CF!H41,0)=ROUND(SUM(CF!D41:G41),0),"OK","ERROR")</f>
        <v>OK</v>
      </c>
      <c r="I151" s="210"/>
      <c r="J151" s="217"/>
      <c r="K151" s="217"/>
      <c r="L151" s="217"/>
      <c r="M151" s="217"/>
      <c r="N151" s="220" t="str">
        <f>IF(ROUND(CF!N41,0)=ROUND(SUM(CF!J41:M41),0),"OK","ERROR")</f>
        <v>OK</v>
      </c>
      <c r="O151" s="210"/>
      <c r="P151" s="217"/>
      <c r="Q151" s="217"/>
      <c r="R151" s="217"/>
      <c r="S151" s="217"/>
      <c r="T151" s="220" t="str">
        <f>IF(ROUND(CF!T41,0)=ROUND(SUM(CF!P41:S41),0),"OK","ERROR")</f>
        <v>OK</v>
      </c>
      <c r="U151" s="210"/>
      <c r="V151" s="217"/>
      <c r="W151" s="217"/>
      <c r="X151" s="217"/>
      <c r="Y151" s="217"/>
      <c r="Z151" s="220" t="str">
        <f>IF(ROUND(CF!Z41,0)=ROUND(SUM(CF!V41:Y41),0),"OK","ERROR")</f>
        <v>OK</v>
      </c>
      <c r="AA151" s="213"/>
      <c r="AB151" s="217"/>
      <c r="AC151" s="217"/>
      <c r="AD151" s="217"/>
      <c r="AE151" s="217"/>
      <c r="AF151" s="220" t="str">
        <f>IF(ROUND(CF!AF41,0)=ROUND(SUM(CF!AB41:AE41),0),"OK","ERROR")</f>
        <v>OK</v>
      </c>
      <c r="AG151" s="211"/>
      <c r="AH151" s="217"/>
      <c r="AI151" s="217"/>
      <c r="AJ151" s="212"/>
      <c r="AK151" s="212"/>
      <c r="AL151" s="220" t="str">
        <f>IF(ROUND(CF!AL41,0)=ROUND(SUM(CF!AH41:AK41),0),"OK","ERROR")</f>
        <v>OK</v>
      </c>
      <c r="AM151" s="215"/>
      <c r="AN151" s="212"/>
      <c r="AO151" s="212"/>
      <c r="AP151" s="212"/>
      <c r="AQ151" s="212"/>
      <c r="AR151" s="220" t="str">
        <f>IF(ROUND(CF!AR41,0)=ROUND(SUM(CF!AN41:AQ41),0),"OK","ERROR")</f>
        <v>OK</v>
      </c>
      <c r="AS151" s="215"/>
      <c r="AT151" s="220" t="str">
        <f>IF(ROUND(CF!AT41,0)=ROUND(SUM(CF!AP41:AS41),0),"OK","ERROR")</f>
        <v>OK</v>
      </c>
      <c r="AU151" s="215"/>
      <c r="AV151" s="220" t="str">
        <f>IF(ROUND(CF!AV41,0)=ROUND(SUM(CF!AR41:AU41),0),"OK","ERROR")</f>
        <v>OK</v>
      </c>
      <c r="AW151" s="246"/>
      <c r="AX151" s="220" t="str">
        <f>IF(ROUND(CF!AX41,0)=ROUND(SUM(CF!AT41:AW41),0),"OK","ERROR")</f>
        <v>OK</v>
      </c>
    </row>
    <row r="152" spans="1:50" s="54" customFormat="1" ht="15" customHeight="1">
      <c r="A152" s="142"/>
      <c r="B152" s="159" t="s">
        <v>639</v>
      </c>
      <c r="C152" s="27"/>
      <c r="D152" s="217"/>
      <c r="E152" s="217"/>
      <c r="F152" s="217"/>
      <c r="G152" s="217"/>
      <c r="H152" s="220" t="str">
        <f>IF(ROUND(CF!H42,0)=ROUND(SUM(CF!D42:G42),0),"OK","ERROR")</f>
        <v>OK</v>
      </c>
      <c r="I152" s="210"/>
      <c r="J152" s="217"/>
      <c r="K152" s="217"/>
      <c r="L152" s="217"/>
      <c r="M152" s="217"/>
      <c r="N152" s="220" t="str">
        <f>IF(ROUND(CF!N42,0)=ROUND(SUM(CF!J42:M42),0),"OK","ERROR")</f>
        <v>OK</v>
      </c>
      <c r="O152" s="210"/>
      <c r="P152" s="217"/>
      <c r="Q152" s="217"/>
      <c r="R152" s="217"/>
      <c r="S152" s="217"/>
      <c r="T152" s="220" t="str">
        <f>IF(ROUND(CF!T42,0)=ROUND(SUM(CF!P42:S42),0),"OK","ERROR")</f>
        <v>OK</v>
      </c>
      <c r="U152" s="210"/>
      <c r="V152" s="217"/>
      <c r="W152" s="217"/>
      <c r="X152" s="217"/>
      <c r="Y152" s="217"/>
      <c r="Z152" s="220" t="str">
        <f>IF(ROUND(CF!Z42,0)=ROUND(SUM(CF!V42:Y42),0),"OK","ERROR")</f>
        <v>OK</v>
      </c>
      <c r="AA152" s="213"/>
      <c r="AB152" s="217"/>
      <c r="AC152" s="217"/>
      <c r="AD152" s="217"/>
      <c r="AE152" s="217"/>
      <c r="AF152" s="220" t="str">
        <f>IF(ROUND(CF!AF42,0)=ROUND(SUM(CF!AB42:AE42),0),"OK","ERROR")</f>
        <v>OK</v>
      </c>
      <c r="AG152" s="211"/>
      <c r="AH152" s="217"/>
      <c r="AI152" s="217"/>
      <c r="AJ152" s="212"/>
      <c r="AK152" s="212"/>
      <c r="AL152" s="220" t="str">
        <f>IF(ROUND(CF!AL42,0)=ROUND(SUM(CF!AH42:AK42),0),"OK","ERROR")</f>
        <v>OK</v>
      </c>
      <c r="AM152" s="247"/>
      <c r="AN152" s="212"/>
      <c r="AO152" s="212"/>
      <c r="AP152" s="212"/>
      <c r="AQ152" s="212"/>
      <c r="AR152" s="220" t="str">
        <f>IF(ROUND(CF!AR42,0)=ROUND(SUM(CF!AN42:AQ42),0),"OK","ERROR")</f>
        <v>OK</v>
      </c>
      <c r="AS152" s="215"/>
      <c r="AT152" s="220" t="str">
        <f>IF(ROUND(CF!AT42,0)=ROUND(SUM(CF!AP42:AS42),0),"OK","ERROR")</f>
        <v>OK</v>
      </c>
      <c r="AU152" s="215"/>
      <c r="AV152" s="220" t="str">
        <f>IF(ROUND(CF!AV42,0)=ROUND(SUM(CF!AR42:AU42),0),"OK","ERROR")</f>
        <v>OK</v>
      </c>
      <c r="AW152" s="246"/>
      <c r="AX152" s="220" t="str">
        <f>IF(ROUND(CF!AX42,0)=ROUND(SUM(CF!AT42:AW42),0),"OK","ERROR")</f>
        <v>OK</v>
      </c>
    </row>
    <row r="153" spans="1:50" s="54" customFormat="1" ht="15" customHeight="1">
      <c r="A153" s="113"/>
      <c r="B153" s="159" t="s">
        <v>640</v>
      </c>
      <c r="C153" s="115"/>
      <c r="D153" s="217"/>
      <c r="E153" s="217"/>
      <c r="F153" s="217"/>
      <c r="G153" s="217"/>
      <c r="H153" s="220" t="str">
        <f>IF(ROUND(CF!H43,0)=ROUND(SUM(CF!D43:G43),0),"OK","ERROR")</f>
        <v>OK</v>
      </c>
      <c r="I153" s="210"/>
      <c r="J153" s="217"/>
      <c r="K153" s="217"/>
      <c r="L153" s="217"/>
      <c r="M153" s="217"/>
      <c r="N153" s="220" t="str">
        <f>IF(ROUND(CF!N43,0)=ROUND(SUM(CF!J43:M43),0),"OK","ERROR")</f>
        <v>OK</v>
      </c>
      <c r="O153" s="210"/>
      <c r="P153" s="217"/>
      <c r="Q153" s="217"/>
      <c r="R153" s="217"/>
      <c r="S153" s="217"/>
      <c r="T153" s="220" t="str">
        <f>IF(ROUND(CF!T43,0)=ROUND(SUM(CF!P43:S43),0),"OK","ERROR")</f>
        <v>OK</v>
      </c>
      <c r="U153" s="210"/>
      <c r="V153" s="217"/>
      <c r="W153" s="217"/>
      <c r="X153" s="217"/>
      <c r="Y153" s="217"/>
      <c r="Z153" s="220" t="str">
        <f>IF(ROUND(CF!Z43,0)=ROUND(SUM(CF!V43:Y43),0),"OK","ERROR")</f>
        <v>OK</v>
      </c>
      <c r="AA153" s="213"/>
      <c r="AB153" s="217"/>
      <c r="AC153" s="217"/>
      <c r="AD153" s="217"/>
      <c r="AE153" s="217"/>
      <c r="AF153" s="220" t="str">
        <f>IF(ROUND(CF!AF43,0)=ROUND(SUM(CF!AB43:AE43),0),"OK","ERROR")</f>
        <v>OK</v>
      </c>
      <c r="AG153" s="211"/>
      <c r="AH153" s="217"/>
      <c r="AI153" s="217"/>
      <c r="AJ153" s="212"/>
      <c r="AK153" s="212"/>
      <c r="AL153" s="220" t="str">
        <f>IF(ROUND(CF!AL43,0)=ROUND(SUM(CF!AH43:AK43),0),"OK","ERROR")</f>
        <v>ERROR</v>
      </c>
      <c r="AM153" s="247"/>
      <c r="AN153" s="212"/>
      <c r="AO153" s="212"/>
      <c r="AP153" s="212"/>
      <c r="AQ153" s="212"/>
      <c r="AR153" s="220" t="str">
        <f>IF(ROUND(CF!AR43,0)=ROUND(SUM(CF!AN43:AQ43),0),"OK","ERROR")</f>
        <v>OK</v>
      </c>
      <c r="AS153" s="215"/>
      <c r="AT153" s="220" t="str">
        <f>IF(ROUND(CF!AT43,0)=ROUND(SUM(CF!AP43:AS43),0),"OK","ERROR")</f>
        <v>OK</v>
      </c>
      <c r="AU153" s="215"/>
      <c r="AV153" s="220" t="str">
        <f>IF(ROUND(CF!AV43,0)=ROUND(SUM(CF!AR43:AU43),0),"OK","ERROR")</f>
        <v>OK</v>
      </c>
      <c r="AW153" s="246"/>
      <c r="AX153" s="220" t="str">
        <f>IF(ROUND(CF!AX43,0)=ROUND(SUM(CF!AT43:AW43),0),"OK","ERROR")</f>
        <v>OK</v>
      </c>
    </row>
    <row r="154" spans="1:50" s="54" customFormat="1" ht="15" customHeight="1">
      <c r="A154" s="113"/>
      <c r="B154" s="159" t="s">
        <v>641</v>
      </c>
      <c r="C154" s="115"/>
      <c r="D154" s="217"/>
      <c r="E154" s="217"/>
      <c r="F154" s="217"/>
      <c r="G154" s="217"/>
      <c r="H154" s="226" t="str">
        <f>IF(ROUND(CF!H44,0)=ROUND(SUM(CF!D44:G44),0),"OK","ERROR")</f>
        <v>OK</v>
      </c>
      <c r="I154" s="210"/>
      <c r="J154" s="217"/>
      <c r="K154" s="217"/>
      <c r="L154" s="217"/>
      <c r="M154" s="217"/>
      <c r="N154" s="226" t="str">
        <f>IF(ROUND(CF!N44,0)=ROUND(SUM(CF!J44:M44),0),"OK","ERROR")</f>
        <v>OK</v>
      </c>
      <c r="O154" s="210"/>
      <c r="P154" s="217"/>
      <c r="Q154" s="217"/>
      <c r="R154" s="217"/>
      <c r="S154" s="217"/>
      <c r="T154" s="226" t="str">
        <f>IF(ROUND(CF!T44,0)=ROUND(SUM(CF!P44:S44),0),"OK","ERROR")</f>
        <v>OK</v>
      </c>
      <c r="U154" s="210"/>
      <c r="V154" s="217"/>
      <c r="W154" s="217"/>
      <c r="X154" s="217"/>
      <c r="Y154" s="217"/>
      <c r="Z154" s="226" t="str">
        <f>IF(ROUND(CF!Z44,0)=ROUND(SUM(CF!V44:Y44),0),"OK","ERROR")</f>
        <v>OK</v>
      </c>
      <c r="AA154" s="228"/>
      <c r="AB154" s="217"/>
      <c r="AC154" s="217"/>
      <c r="AD154" s="217"/>
      <c r="AE154" s="217"/>
      <c r="AF154" s="226" t="str">
        <f>IF(ROUND(CF!AF44,0)=ROUND(SUM(CF!AB44:AE44),0),"OK","ERROR")</f>
        <v>OK</v>
      </c>
      <c r="AG154" s="229"/>
      <c r="AH154" s="217"/>
      <c r="AI154" s="217"/>
      <c r="AJ154" s="212"/>
      <c r="AK154" s="212"/>
      <c r="AL154" s="226" t="str">
        <f>IF(ROUND(CF!AL44,0)=ROUND(SUM(CF!AH44:AK44),0),"OK","ERROR")</f>
        <v>OK</v>
      </c>
      <c r="AM154" s="230"/>
      <c r="AN154" s="212"/>
      <c r="AO154" s="212"/>
      <c r="AP154" s="212"/>
      <c r="AQ154" s="212"/>
      <c r="AR154" s="226" t="str">
        <f>IF(ROUND(CF!AR44,0)=ROUND(SUM(CF!AN44:AQ44),0),"OK","ERROR")</f>
        <v>OK</v>
      </c>
      <c r="AS154" s="230"/>
      <c r="AT154" s="226" t="str">
        <f>IF(ROUND(CF!AT44,0)=ROUND(SUM(CF!AP44:AS44),0),"OK","ERROR")</f>
        <v>OK</v>
      </c>
      <c r="AU154" s="230"/>
      <c r="AV154" s="226" t="str">
        <f>IF(ROUND(CF!AV44,0)=ROUND(SUM(CF!AR44:AU44),0),"OK","ERROR")</f>
        <v>OK</v>
      </c>
      <c r="AW154" s="246"/>
      <c r="AX154" s="226" t="str">
        <f>IF(ROUND(CF!AX44,0)=ROUND(SUM(CF!AT44:AW44),0),"OK","ERROR")</f>
        <v>OK</v>
      </c>
    </row>
    <row r="155" spans="1:50" s="54" customFormat="1" ht="15" customHeight="1" thickBot="1">
      <c r="A155" s="113"/>
      <c r="B155" s="160" t="s">
        <v>642</v>
      </c>
      <c r="C155" s="17"/>
      <c r="D155" s="217"/>
      <c r="E155" s="217"/>
      <c r="F155" s="217"/>
      <c r="G155" s="217"/>
      <c r="H155" s="237" t="str">
        <f>IF(ROUND(CF!H45,0)=ROUND(SUM(CF!D45:G45),0),"OK","ERROR")</f>
        <v>OK</v>
      </c>
      <c r="I155" s="210"/>
      <c r="J155" s="217"/>
      <c r="K155" s="217"/>
      <c r="L155" s="217"/>
      <c r="M155" s="217"/>
      <c r="N155" s="237" t="str">
        <f>IF(ROUND(CF!N45,0)=ROUND(SUM(CF!J45:M45),0),"OK","ERROR")</f>
        <v>OK</v>
      </c>
      <c r="O155" s="210"/>
      <c r="P155" s="217"/>
      <c r="Q155" s="217"/>
      <c r="R155" s="217"/>
      <c r="S155" s="217"/>
      <c r="T155" s="237" t="str">
        <f>IF(ROUND(CF!T45,0)=ROUND(SUM(CF!P45:S45),0),"OK","ERROR")</f>
        <v>OK</v>
      </c>
      <c r="U155" s="210"/>
      <c r="V155" s="217"/>
      <c r="W155" s="217"/>
      <c r="X155" s="217"/>
      <c r="Y155" s="217"/>
      <c r="Z155" s="237" t="str">
        <f>IF(ROUND(CF!Z45,0)=ROUND(SUM(CF!V45:Y45),0),"OK","ERROR")</f>
        <v>OK</v>
      </c>
      <c r="AA155" s="210"/>
      <c r="AB155" s="217"/>
      <c r="AC155" s="217"/>
      <c r="AD155" s="217"/>
      <c r="AE155" s="217"/>
      <c r="AF155" s="237" t="str">
        <f>IF(ROUND(CF!AF45,0)=ROUND(SUM(CF!AB45:AE45),0),"OK","ERROR")</f>
        <v>OK</v>
      </c>
      <c r="AG155" s="238"/>
      <c r="AH155" s="217"/>
      <c r="AI155" s="217"/>
      <c r="AJ155" s="212"/>
      <c r="AK155" s="212"/>
      <c r="AL155" s="237" t="str">
        <f>IF(ROUND(CF!AL45,0)=ROUND(SUM(CF!AH45:AK45),0),"OK","ERROR")</f>
        <v>ERROR</v>
      </c>
      <c r="AM155" s="239"/>
      <c r="AN155" s="212"/>
      <c r="AO155" s="212"/>
      <c r="AP155" s="212"/>
      <c r="AQ155" s="212"/>
      <c r="AR155" s="237" t="str">
        <f>IF(ROUND(CF!AR45,0)=ROUND(SUM(CF!AN45:AQ45),0),"OK","ERROR")</f>
        <v>OK</v>
      </c>
      <c r="AS155" s="239"/>
      <c r="AT155" s="237" t="str">
        <f>IF(ROUND(CF!AT45,0)=ROUND(SUM(CF!AP45:AS45),0),"OK","ERROR")</f>
        <v>OK</v>
      </c>
      <c r="AU155" s="239"/>
      <c r="AV155" s="237" t="str">
        <f>IF(ROUND(CF!AV45,0)=ROUND(SUM(CF!AR45:AU45),0),"OK","ERROR")</f>
        <v>OK</v>
      </c>
      <c r="AW155" s="246"/>
      <c r="AX155" s="237" t="str">
        <f>IF(ROUND(CF!AX45,0)=ROUND(SUM(CF!AT45:AW45),0),"OK","ERROR")</f>
        <v>OK</v>
      </c>
    </row>
    <row r="156" spans="1:50" s="54" customFormat="1" ht="15" customHeight="1" thickTop="1">
      <c r="A156" s="113"/>
      <c r="B156" s="9"/>
      <c r="C156" s="115"/>
      <c r="D156" s="208"/>
      <c r="E156" s="208"/>
      <c r="F156" s="208"/>
      <c r="G156" s="208"/>
      <c r="H156" s="220"/>
      <c r="I156" s="210"/>
      <c r="J156" s="208"/>
      <c r="K156" s="208"/>
      <c r="L156" s="208"/>
      <c r="M156" s="208"/>
      <c r="N156" s="220"/>
      <c r="O156" s="210"/>
      <c r="P156" s="208"/>
      <c r="Q156" s="208"/>
      <c r="R156" s="208"/>
      <c r="S156" s="208"/>
      <c r="T156" s="220"/>
      <c r="U156" s="210"/>
      <c r="V156" s="208"/>
      <c r="W156" s="208"/>
      <c r="X156" s="208"/>
      <c r="Y156" s="208"/>
      <c r="Z156" s="220"/>
      <c r="AA156" s="228"/>
      <c r="AB156" s="208"/>
      <c r="AC156" s="208"/>
      <c r="AD156" s="208"/>
      <c r="AE156" s="208"/>
      <c r="AF156" s="220"/>
      <c r="AG156" s="229"/>
      <c r="AH156" s="208"/>
      <c r="AI156" s="208"/>
      <c r="AJ156" s="212"/>
      <c r="AK156" s="212"/>
      <c r="AL156" s="220"/>
      <c r="AM156" s="230"/>
      <c r="AN156" s="212"/>
      <c r="AO156" s="212"/>
      <c r="AP156" s="212"/>
      <c r="AQ156" s="212"/>
      <c r="AR156" s="220"/>
      <c r="AS156" s="230"/>
      <c r="AT156" s="220"/>
      <c r="AU156" s="230"/>
      <c r="AV156" s="220"/>
      <c r="AW156" s="246"/>
      <c r="AX156" s="220"/>
    </row>
    <row r="157" spans="1:50" s="54" customFormat="1" ht="15" customHeight="1">
      <c r="A157" s="44" t="s">
        <v>33</v>
      </c>
      <c r="B157" s="158" t="s">
        <v>643</v>
      </c>
      <c r="C157" s="17"/>
      <c r="D157" s="217"/>
      <c r="E157" s="217"/>
      <c r="F157" s="217"/>
      <c r="G157" s="217"/>
      <c r="H157" s="220" t="str">
        <f>IF(ROUND(CF!H47,0)=ROUND(SUM(CF!D47:G47),0),"OK","ERROR")</f>
        <v>OK</v>
      </c>
      <c r="I157" s="210"/>
      <c r="J157" s="217"/>
      <c r="K157" s="217"/>
      <c r="L157" s="217"/>
      <c r="M157" s="217"/>
      <c r="N157" s="220" t="str">
        <f>IF(ROUND(CF!N47,0)=ROUND(SUM(CF!J47:M47),0),"OK","ERROR")</f>
        <v>OK</v>
      </c>
      <c r="O157" s="210"/>
      <c r="P157" s="217"/>
      <c r="Q157" s="217"/>
      <c r="R157" s="217"/>
      <c r="S157" s="217"/>
      <c r="T157" s="220" t="str">
        <f>IF(ROUND(CF!T47,0)=ROUND(SUM(CF!P47:S47),0),"OK","ERROR")</f>
        <v>OK</v>
      </c>
      <c r="U157" s="210"/>
      <c r="V157" s="217"/>
      <c r="W157" s="217"/>
      <c r="X157" s="217"/>
      <c r="Y157" s="217"/>
      <c r="Z157" s="220" t="str">
        <f>IF(ROUND(CF!Z47,0)=ROUND(SUM(CF!V47:Y47),0),"OK","ERROR")</f>
        <v>OK</v>
      </c>
      <c r="AA157" s="210"/>
      <c r="AB157" s="217"/>
      <c r="AC157" s="217"/>
      <c r="AD157" s="217"/>
      <c r="AE157" s="217"/>
      <c r="AF157" s="220" t="str">
        <f>IF(ROUND(CF!AF47,0)=ROUND(SUM(CF!AB47:AE47),0),"OK","ERROR")</f>
        <v>OK</v>
      </c>
      <c r="AG157" s="238"/>
      <c r="AH157" s="217"/>
      <c r="AI157" s="217"/>
      <c r="AJ157" s="212"/>
      <c r="AK157" s="212"/>
      <c r="AL157" s="220" t="str">
        <f>IF(ROUND(CF!AL47,0)=ROUND(SUM(CF!AH47:AK47),0),"OK","ERROR")</f>
        <v>OK</v>
      </c>
      <c r="AM157" s="225"/>
      <c r="AN157" s="212"/>
      <c r="AO157" s="212"/>
      <c r="AP157" s="212"/>
      <c r="AQ157" s="212"/>
      <c r="AR157" s="220" t="str">
        <f>IF(ROUND(CF!AR47,0)=ROUND(SUM(CF!AN47:AQ47),0),"OK","ERROR")</f>
        <v>OK</v>
      </c>
      <c r="AS157" s="225"/>
      <c r="AT157" s="220" t="str">
        <f>IF(ROUND(CF!AT47,0)=ROUND(SUM(CF!AP47:AS47),0),"OK","ERROR")</f>
        <v>OK</v>
      </c>
      <c r="AU157" s="225"/>
      <c r="AV157" s="220" t="str">
        <f>IF(ROUND(CF!AV47,0)=ROUND(SUM(CF!AR47:AU47),0),"OK","ERROR")</f>
        <v>OK</v>
      </c>
      <c r="AW157" s="246"/>
      <c r="AX157" s="220" t="str">
        <f>IF(ROUND(CF!AX47,0)=ROUND(SUM(CF!AT47:AW47),0),"OK","ERROR")</f>
        <v>OK</v>
      </c>
    </row>
    <row r="158" spans="1:50" s="54" customFormat="1" ht="15" customHeight="1">
      <c r="A158" s="113"/>
      <c r="C158" s="115"/>
      <c r="D158" s="208"/>
      <c r="E158" s="208"/>
      <c r="F158" s="208"/>
      <c r="G158" s="208"/>
      <c r="H158" s="220"/>
      <c r="I158" s="210"/>
      <c r="J158" s="208"/>
      <c r="K158" s="208"/>
      <c r="L158" s="208"/>
      <c r="M158" s="208"/>
      <c r="N158" s="220"/>
      <c r="O158" s="210"/>
      <c r="P158" s="208"/>
      <c r="Q158" s="208"/>
      <c r="R158" s="208"/>
      <c r="S158" s="208"/>
      <c r="T158" s="220"/>
      <c r="U158" s="210"/>
      <c r="V158" s="208"/>
      <c r="W158" s="208"/>
      <c r="X158" s="208"/>
      <c r="Y158" s="208"/>
      <c r="Z158" s="220"/>
      <c r="AA158" s="210"/>
      <c r="AB158" s="208"/>
      <c r="AC158" s="208"/>
      <c r="AD158" s="208"/>
      <c r="AE158" s="208"/>
      <c r="AF158" s="220"/>
      <c r="AG158" s="238"/>
      <c r="AH158" s="208"/>
      <c r="AI158" s="208"/>
      <c r="AJ158" s="212"/>
      <c r="AK158" s="212"/>
      <c r="AL158" s="220"/>
      <c r="AM158" s="239"/>
      <c r="AN158" s="212"/>
      <c r="AO158" s="212"/>
      <c r="AP158" s="212"/>
      <c r="AQ158" s="212"/>
      <c r="AR158" s="220"/>
      <c r="AS158" s="239"/>
      <c r="AT158" s="220"/>
      <c r="AU158" s="239"/>
      <c r="AV158" s="220"/>
      <c r="AW158" s="246"/>
      <c r="AX158" s="220"/>
    </row>
    <row r="159" spans="1:50" s="54" customFormat="1" ht="15" customHeight="1">
      <c r="A159" s="44" t="s">
        <v>33</v>
      </c>
      <c r="B159" s="158" t="s">
        <v>644</v>
      </c>
      <c r="C159" s="17"/>
      <c r="D159" s="217"/>
      <c r="E159" s="217"/>
      <c r="F159" s="217"/>
      <c r="G159" s="217"/>
      <c r="H159" s="226" t="str">
        <f>IF(ROUND(CF!H49,0)=ROUND(SUM(CF!D49:G49),0),"OK","ERROR")</f>
        <v>OK</v>
      </c>
      <c r="I159" s="210"/>
      <c r="J159" s="217"/>
      <c r="K159" s="217"/>
      <c r="L159" s="217"/>
      <c r="M159" s="217"/>
      <c r="N159" s="226" t="str">
        <f>IF(ROUND(CF!N49,0)=ROUND(SUM(CF!J49:M49),0),"OK","ERROR")</f>
        <v>OK</v>
      </c>
      <c r="O159" s="210"/>
      <c r="P159" s="217"/>
      <c r="Q159" s="217"/>
      <c r="R159" s="217"/>
      <c r="S159" s="217"/>
      <c r="T159" s="226" t="str">
        <f>IF(ROUND(CF!T49,0)=ROUND(SUM(CF!P49:S49),0),"OK","ERROR")</f>
        <v>ERROR</v>
      </c>
      <c r="U159" s="210"/>
      <c r="V159" s="217"/>
      <c r="W159" s="217"/>
      <c r="X159" s="217"/>
      <c r="Y159" s="217"/>
      <c r="Z159" s="226" t="str">
        <f>IF(ROUND(CF!Z49,0)=ROUND(SUM(CF!V49:Y49),0),"OK","ERROR")</f>
        <v>OK</v>
      </c>
      <c r="AA159" s="210"/>
      <c r="AB159" s="217"/>
      <c r="AC159" s="217"/>
      <c r="AD159" s="217"/>
      <c r="AE159" s="217"/>
      <c r="AF159" s="226" t="str">
        <f>IF(ROUND(CF!AF49,0)=ROUND(SUM(CF!AB49:AE49),0),"OK","ERROR")</f>
        <v>OK</v>
      </c>
      <c r="AG159" s="238"/>
      <c r="AH159" s="217"/>
      <c r="AI159" s="217"/>
      <c r="AJ159" s="212"/>
      <c r="AK159" s="212"/>
      <c r="AL159" s="226" t="str">
        <f>IF(ROUND(CF!AL49,0)=ROUND(SUM(CF!AH49:AK49),0),"OK","ERROR")</f>
        <v>ERROR</v>
      </c>
      <c r="AM159" s="239"/>
      <c r="AN159" s="212"/>
      <c r="AO159" s="212"/>
      <c r="AP159" s="212"/>
      <c r="AQ159" s="212"/>
      <c r="AR159" s="226" t="str">
        <f>IF(ROUND(CF!AR49,0)=ROUND(SUM(CF!AN49:AQ49),0),"OK","ERROR")</f>
        <v>OK</v>
      </c>
      <c r="AS159" s="239"/>
      <c r="AT159" s="226" t="str">
        <f>IF(ROUND(CF!AT49,0)=ROUND(SUM(CF!AP49:AS49),0),"OK","ERROR")</f>
        <v>OK</v>
      </c>
      <c r="AU159" s="239"/>
      <c r="AV159" s="226" t="str">
        <f>IF(ROUND(CF!AV49,0)=ROUND(SUM(CF!AR49:AU49),0),"OK","ERROR")</f>
        <v>OK</v>
      </c>
      <c r="AW159" s="246"/>
      <c r="AX159" s="226" t="str">
        <f>IF(ROUND(CF!AX49,0)=ROUND(SUM(CF!AT49:AW49),0),"OK","ERROR")</f>
        <v>OK</v>
      </c>
    </row>
    <row r="161" spans="1:50" s="41" customFormat="1" ht="15" customHeight="1">
      <c r="A161" s="44" t="s">
        <v>33</v>
      </c>
      <c r="B161" s="161" t="s">
        <v>651</v>
      </c>
      <c r="C161" s="18"/>
      <c r="D161" s="202"/>
      <c r="E161" s="202">
        <f>F161</f>
        <v>2020</v>
      </c>
      <c r="F161" s="202">
        <v>2020</v>
      </c>
      <c r="G161" s="202">
        <f>F161</f>
        <v>2020</v>
      </c>
      <c r="H161" s="202">
        <f>F161</f>
        <v>2020</v>
      </c>
      <c r="I161" s="18"/>
      <c r="J161" s="202">
        <f>L161</f>
        <v>2021</v>
      </c>
      <c r="K161" s="202">
        <f>L161</f>
        <v>2021</v>
      </c>
      <c r="L161" s="202">
        <v>2021</v>
      </c>
      <c r="M161" s="202">
        <f>L161</f>
        <v>2021</v>
      </c>
      <c r="N161" s="202">
        <f>L161</f>
        <v>2021</v>
      </c>
      <c r="O161" s="169"/>
      <c r="P161" s="202">
        <f>R161</f>
        <v>2022</v>
      </c>
      <c r="Q161" s="202">
        <f>R161</f>
        <v>2022</v>
      </c>
      <c r="R161" s="202">
        <v>2022</v>
      </c>
      <c r="S161" s="202">
        <f>R161</f>
        <v>2022</v>
      </c>
      <c r="T161" s="202">
        <f>R161</f>
        <v>2022</v>
      </c>
      <c r="U161" s="169"/>
      <c r="V161" s="202">
        <f>X161</f>
        <v>2023</v>
      </c>
      <c r="W161" s="202">
        <f>X161</f>
        <v>2023</v>
      </c>
      <c r="X161" s="202">
        <v>2023</v>
      </c>
      <c r="Y161" s="202">
        <f>X161</f>
        <v>2023</v>
      </c>
      <c r="Z161" s="202">
        <f>X161</f>
        <v>2023</v>
      </c>
      <c r="AA161" s="170"/>
      <c r="AB161" s="202">
        <f>AD161</f>
        <v>2024</v>
      </c>
      <c r="AC161" s="202">
        <f>AD161</f>
        <v>2024</v>
      </c>
      <c r="AD161" s="202">
        <v>2024</v>
      </c>
      <c r="AE161" s="202">
        <f>AD161</f>
        <v>2024</v>
      </c>
      <c r="AF161" s="202">
        <f>AD161</f>
        <v>2024</v>
      </c>
      <c r="AG161" s="170"/>
      <c r="AH161" s="202">
        <f>AJ161</f>
        <v>2025</v>
      </c>
      <c r="AI161" s="202">
        <f>AJ161</f>
        <v>2025</v>
      </c>
      <c r="AJ161" s="203">
        <v>2025</v>
      </c>
      <c r="AK161" s="202">
        <f>AJ161</f>
        <v>2025</v>
      </c>
      <c r="AL161" s="202">
        <f>AJ161</f>
        <v>2025</v>
      </c>
      <c r="AM161" s="171"/>
      <c r="AN161" s="202">
        <f>AP161</f>
        <v>2025</v>
      </c>
      <c r="AO161" s="202">
        <f>AP161</f>
        <v>2025</v>
      </c>
      <c r="AP161" s="203">
        <v>2025</v>
      </c>
      <c r="AQ161" s="202">
        <f>AP161</f>
        <v>2025</v>
      </c>
      <c r="AR161" s="202">
        <f>AP161</f>
        <v>2025</v>
      </c>
      <c r="AS161" s="18"/>
      <c r="AT161" s="162"/>
      <c r="AU161" s="18"/>
      <c r="AV161" s="163"/>
      <c r="AW161" s="18"/>
      <c r="AX161" s="163"/>
    </row>
    <row r="162" spans="1:50" s="41" customFormat="1" ht="15" customHeight="1">
      <c r="B162" s="164"/>
      <c r="C162" s="18"/>
      <c r="D162" s="743">
        <v>2020</v>
      </c>
      <c r="E162" s="743"/>
      <c r="F162" s="743"/>
      <c r="G162" s="743"/>
      <c r="H162" s="743"/>
      <c r="I162" s="169"/>
      <c r="J162" s="743">
        <f>D162+1</f>
        <v>2021</v>
      </c>
      <c r="K162" s="743"/>
      <c r="L162" s="743"/>
      <c r="M162" s="743"/>
      <c r="N162" s="743"/>
      <c r="O162" s="169"/>
      <c r="P162" s="743">
        <f>J162+1</f>
        <v>2022</v>
      </c>
      <c r="Q162" s="743"/>
      <c r="R162" s="743"/>
      <c r="S162" s="743"/>
      <c r="T162" s="743"/>
      <c r="U162" s="169"/>
      <c r="V162" s="743">
        <f>P162+1</f>
        <v>2023</v>
      </c>
      <c r="W162" s="743"/>
      <c r="X162" s="743"/>
      <c r="Y162" s="743"/>
      <c r="Z162" s="743"/>
      <c r="AA162" s="169"/>
      <c r="AB162" s="743">
        <f>V162+1</f>
        <v>2024</v>
      </c>
      <c r="AC162" s="743"/>
      <c r="AD162" s="743"/>
      <c r="AE162" s="743"/>
      <c r="AF162" s="743"/>
      <c r="AG162" s="169"/>
      <c r="AH162" s="742">
        <f>AB162+1</f>
        <v>2025</v>
      </c>
      <c r="AI162" s="742"/>
      <c r="AJ162" s="742"/>
      <c r="AK162" s="742"/>
      <c r="AL162" s="742"/>
      <c r="AM162" s="169"/>
      <c r="AN162" s="742">
        <f>AH162+1</f>
        <v>2026</v>
      </c>
      <c r="AO162" s="742"/>
      <c r="AP162" s="742"/>
      <c r="AQ162" s="742"/>
      <c r="AR162" s="742"/>
      <c r="AS162" s="171"/>
      <c r="AT162" s="166">
        <f>AN162+1</f>
        <v>2027</v>
      </c>
      <c r="AU162" s="167"/>
      <c r="AV162" s="166">
        <f>+AT162+1</f>
        <v>2028</v>
      </c>
      <c r="AW162" s="167"/>
      <c r="AX162" s="166">
        <f>+AV162+1</f>
        <v>2029</v>
      </c>
    </row>
    <row r="163" spans="1:50" s="41" customFormat="1" ht="15" customHeight="1">
      <c r="B163" s="164"/>
      <c r="C163" s="18"/>
      <c r="D163" s="168" t="s">
        <v>202</v>
      </c>
      <c r="E163" s="168" t="s">
        <v>203</v>
      </c>
      <c r="F163" s="168" t="s">
        <v>204</v>
      </c>
      <c r="G163" s="168" t="s">
        <v>205</v>
      </c>
      <c r="H163" s="168" t="s">
        <v>206</v>
      </c>
      <c r="I163" s="18"/>
      <c r="J163" s="168" t="s">
        <v>202</v>
      </c>
      <c r="K163" s="168" t="s">
        <v>203</v>
      </c>
      <c r="L163" s="168" t="s">
        <v>204</v>
      </c>
      <c r="M163" s="168" t="s">
        <v>205</v>
      </c>
      <c r="N163" s="168" t="s">
        <v>206</v>
      </c>
      <c r="O163" s="165"/>
      <c r="P163" s="168" t="s">
        <v>202</v>
      </c>
      <c r="Q163" s="168" t="s">
        <v>203</v>
      </c>
      <c r="R163" s="168" t="s">
        <v>204</v>
      </c>
      <c r="S163" s="168" t="s">
        <v>205</v>
      </c>
      <c r="T163" s="168" t="s">
        <v>206</v>
      </c>
      <c r="U163" s="165"/>
      <c r="V163" s="168" t="s">
        <v>202</v>
      </c>
      <c r="W163" s="168" t="s">
        <v>203</v>
      </c>
      <c r="X163" s="168" t="s">
        <v>204</v>
      </c>
      <c r="Y163" s="168" t="s">
        <v>205</v>
      </c>
      <c r="Z163" s="168" t="s">
        <v>206</v>
      </c>
      <c r="AA163" s="165"/>
      <c r="AB163" s="168" t="s">
        <v>202</v>
      </c>
      <c r="AC163" s="168" t="s">
        <v>203</v>
      </c>
      <c r="AD163" s="168" t="s">
        <v>204</v>
      </c>
      <c r="AE163" s="168" t="s">
        <v>205</v>
      </c>
      <c r="AF163" s="168" t="s">
        <v>206</v>
      </c>
      <c r="AG163" s="165"/>
      <c r="AH163" s="168" t="s">
        <v>202</v>
      </c>
      <c r="AI163" s="168" t="s">
        <v>203</v>
      </c>
      <c r="AJ163" s="168" t="s">
        <v>204</v>
      </c>
      <c r="AK163" s="168" t="s">
        <v>205</v>
      </c>
      <c r="AL163" s="168" t="s">
        <v>206</v>
      </c>
      <c r="AM163" s="165"/>
      <c r="AN163" s="168" t="s">
        <v>202</v>
      </c>
      <c r="AO163" s="168" t="s">
        <v>203</v>
      </c>
      <c r="AP163" s="168" t="s">
        <v>204</v>
      </c>
      <c r="AQ163" s="168" t="s">
        <v>205</v>
      </c>
      <c r="AR163" s="168" t="s">
        <v>206</v>
      </c>
      <c r="AS163" s="165"/>
      <c r="AT163" s="168" t="s">
        <v>206</v>
      </c>
      <c r="AU163" s="165"/>
      <c r="AV163" s="168" t="s">
        <v>206</v>
      </c>
      <c r="AW163" s="165"/>
      <c r="AX163" s="168" t="s">
        <v>206</v>
      </c>
    </row>
    <row r="164" spans="1:50" s="41" customFormat="1" ht="3.95" customHeight="1">
      <c r="A164" s="43"/>
      <c r="B164" s="176"/>
      <c r="C164" s="35"/>
      <c r="D164" s="177"/>
      <c r="E164" s="177"/>
      <c r="F164" s="177"/>
      <c r="G164" s="177"/>
      <c r="H164" s="177"/>
      <c r="I164" s="35"/>
      <c r="J164" s="177"/>
      <c r="K164" s="177"/>
      <c r="L164" s="177"/>
      <c r="M164" s="177"/>
      <c r="N164" s="177"/>
      <c r="O164" s="178"/>
      <c r="P164" s="177"/>
      <c r="Q164" s="177"/>
      <c r="R164" s="177"/>
      <c r="S164" s="177"/>
      <c r="T164" s="177"/>
      <c r="U164" s="178"/>
      <c r="V164" s="177"/>
      <c r="W164" s="177"/>
      <c r="X164" s="177"/>
      <c r="Y164" s="177"/>
      <c r="Z164" s="177"/>
      <c r="AA164" s="178"/>
      <c r="AB164" s="177"/>
      <c r="AC164" s="177"/>
      <c r="AD164" s="177"/>
      <c r="AE164" s="177"/>
      <c r="AF164" s="177"/>
      <c r="AG164" s="178"/>
      <c r="AH164" s="177"/>
      <c r="AI164" s="177"/>
      <c r="AJ164" s="177"/>
      <c r="AK164" s="177"/>
      <c r="AL164" s="179"/>
      <c r="AM164" s="180"/>
      <c r="AN164" s="179"/>
      <c r="AO164" s="179"/>
      <c r="AP164" s="179"/>
      <c r="AQ164" s="179"/>
      <c r="AR164" s="179"/>
      <c r="AS164" s="180"/>
      <c r="AT164" s="179"/>
      <c r="AU164" s="180"/>
      <c r="AV164" s="179"/>
      <c r="AW164" s="180"/>
      <c r="AX164" s="179"/>
    </row>
    <row r="165" spans="1:50" s="41" customFormat="1" ht="3.95" customHeight="1">
      <c r="A165" s="43"/>
      <c r="B165" s="172"/>
      <c r="C165" s="19"/>
      <c r="D165" s="173"/>
      <c r="E165" s="173"/>
      <c r="F165" s="173"/>
      <c r="G165" s="173"/>
      <c r="H165" s="173"/>
      <c r="I165" s="19"/>
      <c r="J165" s="173"/>
      <c r="K165" s="173"/>
      <c r="L165" s="173"/>
      <c r="M165" s="173"/>
      <c r="N165" s="173"/>
      <c r="O165" s="174"/>
      <c r="P165" s="173"/>
      <c r="Q165" s="173"/>
      <c r="R165" s="173"/>
      <c r="S165" s="173"/>
      <c r="T165" s="173"/>
      <c r="U165" s="174"/>
      <c r="V165" s="173"/>
      <c r="W165" s="173"/>
      <c r="X165" s="173"/>
      <c r="Y165" s="173"/>
      <c r="Z165" s="173"/>
      <c r="AA165" s="174"/>
      <c r="AB165" s="173"/>
      <c r="AC165" s="173"/>
      <c r="AD165" s="173"/>
      <c r="AE165" s="173"/>
      <c r="AF165" s="173"/>
      <c r="AG165" s="204"/>
      <c r="AH165" s="173"/>
      <c r="AI165" s="173"/>
      <c r="AJ165" s="173"/>
      <c r="AK165" s="173"/>
      <c r="AL165" s="175"/>
      <c r="AM165" s="34"/>
      <c r="AN165" s="175"/>
      <c r="AO165" s="175"/>
      <c r="AP165" s="175"/>
      <c r="AQ165" s="175"/>
      <c r="AR165" s="175"/>
      <c r="AS165" s="34"/>
      <c r="AT165" s="175"/>
      <c r="AU165" s="34"/>
      <c r="AV165" s="175"/>
      <c r="AW165" s="34"/>
      <c r="AX165" s="175"/>
    </row>
    <row r="166" spans="1:50" s="54" customFormat="1" ht="15" customHeight="1">
      <c r="A166" s="43"/>
      <c r="B166" s="154"/>
      <c r="C166" s="17"/>
      <c r="D166" s="46"/>
      <c r="E166" s="46"/>
      <c r="F166" s="46"/>
      <c r="G166" s="46"/>
      <c r="H166" s="57"/>
      <c r="I166" s="48"/>
      <c r="J166" s="46"/>
      <c r="K166" s="46"/>
      <c r="L166" s="46"/>
      <c r="M166" s="46"/>
      <c r="N166" s="57"/>
      <c r="O166" s="47"/>
      <c r="P166" s="46"/>
      <c r="Q166" s="46"/>
      <c r="R166" s="46"/>
      <c r="S166" s="46"/>
      <c r="T166" s="57"/>
      <c r="U166" s="47"/>
      <c r="V166" s="46"/>
      <c r="W166" s="46"/>
      <c r="X166" s="46"/>
      <c r="Y166" s="46"/>
      <c r="Z166" s="57"/>
      <c r="AA166" s="47"/>
      <c r="AB166" s="46"/>
      <c r="AC166" s="46"/>
      <c r="AD166" s="46"/>
      <c r="AE166" s="46"/>
      <c r="AF166" s="57"/>
      <c r="AG166" s="49"/>
      <c r="AH166" s="46"/>
      <c r="AI166" s="46"/>
      <c r="AJ166" s="50"/>
      <c r="AK166" s="50"/>
      <c r="AL166" s="58"/>
      <c r="AM166" s="53"/>
      <c r="AN166" s="50"/>
      <c r="AO166" s="50"/>
      <c r="AP166" s="50"/>
      <c r="AQ166" s="50"/>
      <c r="AR166" s="58"/>
      <c r="AS166" s="53"/>
      <c r="AT166" s="58"/>
      <c r="AU166" s="53"/>
      <c r="AV166" s="58"/>
      <c r="AX166" s="58"/>
    </row>
    <row r="167" spans="1:50" s="54" customFormat="1" ht="15" customHeight="1">
      <c r="A167" s="44" t="s">
        <v>33</v>
      </c>
      <c r="B167" s="154" t="s">
        <v>619</v>
      </c>
      <c r="C167" s="17"/>
      <c r="D167" s="208"/>
      <c r="E167" s="208"/>
      <c r="F167" s="208"/>
      <c r="G167" s="208"/>
      <c r="H167" s="220"/>
      <c r="I167" s="210"/>
      <c r="J167" s="208"/>
      <c r="K167" s="208"/>
      <c r="L167" s="208"/>
      <c r="M167" s="208"/>
      <c r="N167" s="220"/>
      <c r="O167" s="209"/>
      <c r="P167" s="208"/>
      <c r="Q167" s="208"/>
      <c r="R167" s="208"/>
      <c r="S167" s="208"/>
      <c r="T167" s="220"/>
      <c r="U167" s="209"/>
      <c r="V167" s="208"/>
      <c r="W167" s="208"/>
      <c r="X167" s="208"/>
      <c r="Y167" s="208"/>
      <c r="Z167" s="220"/>
      <c r="AA167" s="209"/>
      <c r="AB167" s="208"/>
      <c r="AC167" s="208"/>
      <c r="AD167" s="208"/>
      <c r="AE167" s="208"/>
      <c r="AF167" s="220"/>
      <c r="AG167" s="211"/>
      <c r="AH167" s="208"/>
      <c r="AI167" s="208"/>
      <c r="AJ167" s="212"/>
      <c r="AK167" s="212"/>
      <c r="AL167" s="222"/>
      <c r="AM167" s="215"/>
      <c r="AN167" s="212"/>
      <c r="AO167" s="212"/>
      <c r="AP167" s="212"/>
      <c r="AQ167" s="212"/>
      <c r="AR167" s="222"/>
      <c r="AS167" s="215"/>
      <c r="AT167" s="222"/>
      <c r="AU167" s="215"/>
      <c r="AV167" s="222"/>
      <c r="AW167" s="246"/>
      <c r="AX167" s="222"/>
    </row>
    <row r="168" spans="1:50" s="54" customFormat="1" ht="15" customHeight="1" thickBot="1">
      <c r="A168" s="84"/>
      <c r="B168" s="157" t="s">
        <v>624</v>
      </c>
      <c r="C168" s="26"/>
      <c r="D168" s="217" t="str">
        <f>IF(ROUND(CF!D25,0)=ROUND(SUM(CF!D15,CF!D17:D19,CF!D21:D24),0),"OK","ERROR")</f>
        <v>OK</v>
      </c>
      <c r="E168" s="217" t="str">
        <f>IF(ROUND(CF!E25,0)=ROUND(SUM(CF!E15,CF!E17:E19,CF!E21:E24),0),"OK","ERROR")</f>
        <v>OK</v>
      </c>
      <c r="F168" s="217" t="str">
        <f>IF(ROUND(CF!F25,0)=ROUND(SUM(CF!F15,CF!F17:F19,CF!F21:F24),0),"OK","ERROR")</f>
        <v>OK</v>
      </c>
      <c r="G168" s="217" t="str">
        <f>IF(ROUND(CF!G25,0)=ROUND(SUM(CF!G15,CF!G17:G19,CF!G21:G24),0),"OK","ERROR")</f>
        <v>OK</v>
      </c>
      <c r="H168" s="237" t="str">
        <f>IF(ROUND(CF!H25,0)=ROUND(SUM(CF!H15,CF!H17:H19,CF!H21:H24),0),"OK","ERROR")</f>
        <v>ERROR</v>
      </c>
      <c r="I168" s="210"/>
      <c r="J168" s="217" t="str">
        <f>IF(ROUND(CF!J25,0)=ROUND(SUM(CF!J15,CF!J17:J19,CF!J21:J24),0),"OK","ERROR")</f>
        <v>OK</v>
      </c>
      <c r="K168" s="217" t="str">
        <f>IF(ROUND(CF!K25,0)=ROUND(SUM(CF!K15,CF!K17:K19,CF!K21:K24),0),"OK","ERROR")</f>
        <v>OK</v>
      </c>
      <c r="L168" s="217" t="str">
        <f>IF(ROUND(CF!L25,0)=ROUND(SUM(CF!L15,CF!L17:L19,CF!L21:L24),0),"OK","ERROR")</f>
        <v>OK</v>
      </c>
      <c r="M168" s="217" t="str">
        <f>IF(ROUND(CF!M25,0)=ROUND(SUM(CF!M15,CF!M17:M19,CF!M21:M24),0),"OK","ERROR")</f>
        <v>OK</v>
      </c>
      <c r="N168" s="237" t="str">
        <f>IF(ROUND(CF!N25,0)=ROUND(SUM(CF!N15,CF!N17:N19,CF!N21:N24),0),"OK","ERROR")</f>
        <v>ERROR</v>
      </c>
      <c r="O168" s="210"/>
      <c r="P168" s="217" t="str">
        <f>IF(ROUND(CF!P25,0)=ROUND(SUM(CF!P15,CF!P17:P19,CF!P21:P24),0),"OK","ERROR")</f>
        <v>OK</v>
      </c>
      <c r="Q168" s="217" t="str">
        <f>IF(ROUND(CF!Q25,0)=ROUND(SUM(CF!Q15,CF!Q17:Q19,CF!Q21:Q24),0),"OK","ERROR")</f>
        <v>OK</v>
      </c>
      <c r="R168" s="217" t="str">
        <f>IF(ROUND(CF!R25,0)=ROUND(SUM(CF!R15,CF!R17:R19,CF!R21:R24),0),"OK","ERROR")</f>
        <v>OK</v>
      </c>
      <c r="S168" s="217" t="str">
        <f>IF(ROUND(CF!S25,0)=ROUND(SUM(CF!S15,CF!S17:S19,CF!S21:S24),0),"OK","ERROR")</f>
        <v>OK</v>
      </c>
      <c r="T168" s="237" t="str">
        <f>IF(ROUND(CF!T25,0)=ROUND(SUM(CF!T15,CF!T17:T19,CF!T21:T24),0),"OK","ERROR")</f>
        <v>ERROR</v>
      </c>
      <c r="U168" s="210"/>
      <c r="V168" s="217" t="str">
        <f>IF(ROUND(CF!V25,0)=ROUND(SUM(CF!V15,CF!V17:V19,CF!V21:V24),0),"OK","ERROR")</f>
        <v>OK</v>
      </c>
      <c r="W168" s="217" t="str">
        <f>IF(ROUND(CF!W25,0)=ROUND(SUM(CF!W15,CF!W17:W19,CF!W21:W24),0),"OK","ERROR")</f>
        <v>OK</v>
      </c>
      <c r="X168" s="217" t="str">
        <f>IF(ROUND(CF!X25,0)=ROUND(SUM(CF!X15,CF!X17:X19,CF!X21:X24),0),"OK","ERROR")</f>
        <v>OK</v>
      </c>
      <c r="Y168" s="217" t="str">
        <f>IF(ROUND(CF!Y25,0)=ROUND(SUM(CF!Y15,CF!Y17:Y19,CF!Y21:Y24),0),"OK","ERROR")</f>
        <v>OK</v>
      </c>
      <c r="Z168" s="237" t="str">
        <f>IF(ROUND(CF!Z25,0)=ROUND(SUM(CF!Z15,CF!Z17:Z19,CF!Z21:Z24),0),"OK","ERROR")</f>
        <v>ERROR</v>
      </c>
      <c r="AA168" s="228"/>
      <c r="AB168" s="217" t="str">
        <f>IF(ROUND(CF!AB25,0)=ROUND(SUM(CF!AB15,CF!AB17:AB19,CF!AB21:AB24),0),"OK","ERROR")</f>
        <v>OK</v>
      </c>
      <c r="AC168" s="217" t="str">
        <f>IF(ROUND(CF!AC25,0)=ROUND(SUM(CF!AC15,CF!AC17:AC19,CF!AC21:AC24),0),"OK","ERROR")</f>
        <v>OK</v>
      </c>
      <c r="AD168" s="217" t="str">
        <f>IF(ROUND(CF!AD25,0)=ROUND(SUM(CF!AD15,CF!AD17:AD19,CF!AD21:AD24),0),"OK","ERROR")</f>
        <v>OK</v>
      </c>
      <c r="AE168" s="217" t="str">
        <f>IF(ROUND(CF!AE25,0)=ROUND(SUM(CF!AE15,CF!AE17:AE19,CF!AE21:AE24),0),"OK","ERROR")</f>
        <v>OK</v>
      </c>
      <c r="AF168" s="237" t="str">
        <f>IF(ROUND(CF!AF25,0)=ROUND(SUM(CF!AF15,CF!AF17:AF19,CF!AF21:AF24),0),"OK","ERROR")</f>
        <v>ERROR</v>
      </c>
      <c r="AG168" s="229"/>
      <c r="AH168" s="217" t="str">
        <f>IF(ROUND(CF!AH25,0)=ROUND(SUM(CF!AH15,CF!AH17:AH19,CF!AH21:AH24),0),"OK","ERROR")</f>
        <v>OK</v>
      </c>
      <c r="AI168" s="217" t="str">
        <f>IF(ROUND(CF!AI25,0)=ROUND(SUM(CF!AI15,CF!AI17:AI19,CF!AI21:AI24),0),"OK","ERROR")</f>
        <v>OK</v>
      </c>
      <c r="AJ168" s="217" t="str">
        <f>IF(ROUND(CF!AJ24,0)=ROUND(SUM(CF!AJ15,CF!AJ17:AJ19,CF!AJ21:AJ24),0),"OK","ERROR")</f>
        <v>ERROR</v>
      </c>
      <c r="AK168" s="217" t="str">
        <f>IF(ROUND(CF!AK25,0)=ROUND(SUM(CF!AK15,CF!AK17:AK19,CF!AK21:AK24),0),"OK","ERROR")</f>
        <v>OK</v>
      </c>
      <c r="AL168" s="237" t="str">
        <f>IF(ROUND(CF!AL25,0)=ROUND(SUM(CF!AL15,CF!AL17:AL19,CF!AL21:AL24),0),"OK","ERROR")</f>
        <v>ERROR</v>
      </c>
      <c r="AM168" s="230"/>
      <c r="AN168" s="217" t="str">
        <f>IF(ROUND(CF!AN25,0)=ROUND(SUM(CF!AN15,CF!AN17:AN19,CF!AN21:AN24),0),"OK","ERROR")</f>
        <v>OK</v>
      </c>
      <c r="AO168" s="217" t="str">
        <f>IF(ROUND(CF!AO25,0)=ROUND(SUM(CF!AO15,CF!AO17:AO19,CF!AO21:AO24),0),"OK","ERROR")</f>
        <v>OK</v>
      </c>
      <c r="AP168" s="217" t="str">
        <f>IF(ROUND(CF!AP25,0)=ROUND(SUM(CF!AP15,CF!AP17:AP19,CF!AP21:AP24),0),"OK","ERROR")</f>
        <v>OK</v>
      </c>
      <c r="AQ168" s="217" t="str">
        <f>IF(ROUND(CF!AQ25,0)=ROUND(SUM(CF!AQ15,CF!AQ17:AQ19,CF!AQ21:AQ24),0),"OK","ERROR")</f>
        <v>OK</v>
      </c>
      <c r="AR168" s="237" t="str">
        <f>IF(ROUND(CF!AR25,0)=ROUND(SUM(CF!AR15,CF!AR17:AR19,CF!AR21:AR24),0),"OK","ERROR")</f>
        <v>OK</v>
      </c>
      <c r="AS168" s="230"/>
      <c r="AT168" s="237" t="str">
        <f>IF(ROUND(CF!AT25,0)=ROUND(SUM(CF!AT15,CF!AT17:AT19,CF!AT21:AT24),0),"OK","ERROR")</f>
        <v>OK</v>
      </c>
      <c r="AU168" s="230"/>
      <c r="AV168" s="237" t="str">
        <f>IF(ROUND(CF!AV25,0)=ROUND(SUM(CF!AV15,CF!AV17:AV19,CF!AV21:AV24),0),"OK","ERROR")</f>
        <v>OK</v>
      </c>
      <c r="AW168" s="246"/>
      <c r="AX168" s="237" t="str">
        <f>IF(ROUND(CF!AX25,0)=ROUND(SUM(CF!AX15,CF!AX17:AX19,CF!AX21:AX24),0),"OK","ERROR")</f>
        <v>OK</v>
      </c>
    </row>
    <row r="169" spans="1:50" s="54" customFormat="1" ht="15" customHeight="1" thickTop="1">
      <c r="A169" s="43"/>
      <c r="B169" s="154"/>
      <c r="C169" s="17"/>
      <c r="D169" s="208"/>
      <c r="E169" s="208"/>
      <c r="F169" s="208"/>
      <c r="G169" s="208"/>
      <c r="H169" s="220"/>
      <c r="I169" s="210"/>
      <c r="J169" s="208"/>
      <c r="K169" s="208"/>
      <c r="L169" s="208"/>
      <c r="M169" s="208"/>
      <c r="N169" s="220"/>
      <c r="O169" s="210"/>
      <c r="P169" s="208"/>
      <c r="Q169" s="208"/>
      <c r="R169" s="208"/>
      <c r="S169" s="208"/>
      <c r="T169" s="220"/>
      <c r="U169" s="210"/>
      <c r="V169" s="208"/>
      <c r="W169" s="208"/>
      <c r="X169" s="208"/>
      <c r="Y169" s="208"/>
      <c r="Z169" s="220"/>
      <c r="AA169" s="213"/>
      <c r="AB169" s="208"/>
      <c r="AC169" s="208"/>
      <c r="AD169" s="208"/>
      <c r="AE169" s="208"/>
      <c r="AF169" s="220"/>
      <c r="AG169" s="211"/>
      <c r="AH169" s="208"/>
      <c r="AI169" s="208"/>
      <c r="AJ169" s="208"/>
      <c r="AK169" s="208"/>
      <c r="AL169" s="220"/>
      <c r="AM169" s="225"/>
      <c r="AN169" s="208"/>
      <c r="AO169" s="208"/>
      <c r="AP169" s="208"/>
      <c r="AQ169" s="208"/>
      <c r="AR169" s="220"/>
      <c r="AS169" s="225"/>
      <c r="AT169" s="220"/>
      <c r="AU169" s="225"/>
      <c r="AV169" s="220"/>
      <c r="AW169" s="246"/>
      <c r="AX169" s="220"/>
    </row>
    <row r="170" spans="1:50" s="54" customFormat="1" ht="15" customHeight="1">
      <c r="A170" s="44" t="s">
        <v>33</v>
      </c>
      <c r="B170" s="158" t="s">
        <v>625</v>
      </c>
      <c r="C170" s="115"/>
      <c r="D170" s="208"/>
      <c r="E170" s="208"/>
      <c r="F170" s="208"/>
      <c r="G170" s="208"/>
      <c r="H170" s="220"/>
      <c r="I170" s="210"/>
      <c r="J170" s="208"/>
      <c r="K170" s="208"/>
      <c r="L170" s="208"/>
      <c r="M170" s="208"/>
      <c r="N170" s="220"/>
      <c r="O170" s="210"/>
      <c r="P170" s="208"/>
      <c r="Q170" s="208"/>
      <c r="R170" s="208"/>
      <c r="S170" s="208"/>
      <c r="T170" s="220"/>
      <c r="U170" s="210"/>
      <c r="V170" s="208"/>
      <c r="W170" s="208"/>
      <c r="X170" s="208"/>
      <c r="Y170" s="208"/>
      <c r="Z170" s="220"/>
      <c r="AA170" s="228"/>
      <c r="AB170" s="208"/>
      <c r="AC170" s="208"/>
      <c r="AD170" s="208"/>
      <c r="AE170" s="208"/>
      <c r="AF170" s="220"/>
      <c r="AG170" s="229"/>
      <c r="AH170" s="208"/>
      <c r="AI170" s="208"/>
      <c r="AJ170" s="208"/>
      <c r="AK170" s="208"/>
      <c r="AL170" s="220"/>
      <c r="AM170" s="230"/>
      <c r="AN170" s="208"/>
      <c r="AO170" s="208"/>
      <c r="AP170" s="208"/>
      <c r="AQ170" s="208"/>
      <c r="AR170" s="220"/>
      <c r="AS170" s="230"/>
      <c r="AT170" s="220"/>
      <c r="AU170" s="230"/>
      <c r="AV170" s="220"/>
      <c r="AW170" s="246"/>
      <c r="AX170" s="220"/>
    </row>
    <row r="171" spans="1:50" s="54" customFormat="1" ht="15" customHeight="1" thickBot="1">
      <c r="A171" s="113"/>
      <c r="B171" s="160" t="s">
        <v>634</v>
      </c>
      <c r="C171" s="17"/>
      <c r="D171" s="217" t="str">
        <f>IF(ROUND(CF!D36,0)=ROUND(SUM(CF!D28:D35),0),"OK","ERROR")</f>
        <v>OK</v>
      </c>
      <c r="E171" s="217" t="str">
        <f>IF(ROUND(CF!E36,0)=ROUND(SUM(CF!E28:E35),0),"OK","ERROR")</f>
        <v>OK</v>
      </c>
      <c r="F171" s="217" t="str">
        <f>IF(ROUND(CF!F36,0)=ROUND(SUM(CF!F28:F35),0),"OK","ERROR")</f>
        <v>OK</v>
      </c>
      <c r="G171" s="217" t="str">
        <f>IF(ROUND(CF!G36,0)=ROUND(SUM(CF!G28:G35),0),"OK","ERROR")</f>
        <v>OK</v>
      </c>
      <c r="H171" s="237" t="str">
        <f>IF(ROUND(CF!H36,0)=ROUND(SUM(CF!H28:H35),0),"OK","ERROR")</f>
        <v>OK</v>
      </c>
      <c r="I171" s="210"/>
      <c r="J171" s="217" t="str">
        <f>IF(ROUND(CF!J36,0)=ROUND(SUM(CF!J28:J35),0),"OK","ERROR")</f>
        <v>OK</v>
      </c>
      <c r="K171" s="217" t="str">
        <f>IF(ROUND(CF!K36,0)=ROUND(SUM(CF!K28:K35),0),"OK","ERROR")</f>
        <v>OK</v>
      </c>
      <c r="L171" s="217" t="str">
        <f>IF(ROUND(CF!L36,0)=ROUND(SUM(CF!L28:L35),0),"OK","ERROR")</f>
        <v>OK</v>
      </c>
      <c r="M171" s="217" t="str">
        <f>IF(ROUND(CF!M36,0)=ROUND(SUM(CF!M28:M35),0),"OK","ERROR")</f>
        <v>OK</v>
      </c>
      <c r="N171" s="237" t="str">
        <f>IF(ROUND(CF!N36,0)=ROUND(SUM(CF!N28:N35),0),"OK","ERROR")</f>
        <v>OK</v>
      </c>
      <c r="O171" s="210"/>
      <c r="P171" s="217" t="str">
        <f>IF(ROUND(CF!P36,0)=ROUND(SUM(CF!P28:P35),0),"OK","ERROR")</f>
        <v>OK</v>
      </c>
      <c r="Q171" s="217" t="str">
        <f>IF(ROUND(CF!Q36,0)=ROUND(SUM(CF!Q28:Q35),0),"OK","ERROR")</f>
        <v>OK</v>
      </c>
      <c r="R171" s="217" t="str">
        <f>IF(ROUND(CF!R36,0)=ROUND(SUM(CF!R28:R35),0),"OK","ERROR")</f>
        <v>OK</v>
      </c>
      <c r="S171" s="217" t="str">
        <f>IF(ROUND(CF!S36,0)=ROUND(SUM(CF!S28:S35),0),"OK","ERROR")</f>
        <v>OK</v>
      </c>
      <c r="T171" s="237" t="str">
        <f>IF(ROUND(CF!T36,0)=ROUND(SUM(CF!T28:T35),0),"OK","ERROR")</f>
        <v>OK</v>
      </c>
      <c r="U171" s="210"/>
      <c r="V171" s="217" t="str">
        <f>IF(ROUND(CF!V36,0)=ROUND(SUM(CF!V28:V35),0),"OK","ERROR")</f>
        <v>OK</v>
      </c>
      <c r="W171" s="217" t="str">
        <f>IF(ROUND(CF!W36,0)=ROUND(SUM(CF!W28:W35),0),"OK","ERROR")</f>
        <v>OK</v>
      </c>
      <c r="X171" s="217" t="str">
        <f>IF(ROUND(CF!X36,0)=ROUND(SUM(CF!X28:X35),0),"OK","ERROR")</f>
        <v>OK</v>
      </c>
      <c r="Y171" s="217" t="str">
        <f>IF(ROUND(CF!Y36,0)=ROUND(SUM(CF!Y28:Y35),0),"OK","ERROR")</f>
        <v>OK</v>
      </c>
      <c r="Z171" s="237" t="str">
        <f>IF(ROUND(CF!Z36,0)=ROUND(SUM(CF!Z28:Z35),0),"OK","ERROR")</f>
        <v>OK</v>
      </c>
      <c r="AA171" s="213"/>
      <c r="AB171" s="217" t="str">
        <f>IF(ROUND(CF!AB36,0)=ROUND(SUM(CF!AB28:AB35),0),"OK","ERROR")</f>
        <v>OK</v>
      </c>
      <c r="AC171" s="217" t="str">
        <f>IF(ROUND(CF!AC36,0)=ROUND(SUM(CF!AC28:AC35),0),"OK","ERROR")</f>
        <v>OK</v>
      </c>
      <c r="AD171" s="217" t="str">
        <f>IF(ROUND(CF!AD36,0)=ROUND(SUM(CF!AD28:AD35),0),"OK","ERROR")</f>
        <v>OK</v>
      </c>
      <c r="AE171" s="217" t="str">
        <f>IF(ROUND(CF!AE36,0)=ROUND(SUM(CF!AE28:AE35),0),"OK","ERROR")</f>
        <v>OK</v>
      </c>
      <c r="AF171" s="237" t="str">
        <f>IF(ROUND(CF!AF36,0)=ROUND(SUM(CF!AF28:AF35),0),"OK","ERROR")</f>
        <v>OK</v>
      </c>
      <c r="AG171" s="211"/>
      <c r="AH171" s="217" t="str">
        <f>IF(ROUND(CF!AH36,0)=ROUND(SUM(CF!AH28:AH35),0),"OK","ERROR")</f>
        <v>OK</v>
      </c>
      <c r="AI171" s="217" t="str">
        <f>IF(ROUND(CF!AI36,0)=ROUND(SUM(CF!AI28:AI35),0),"OK","ERROR")</f>
        <v>OK</v>
      </c>
      <c r="AJ171" s="217" t="str">
        <f>IF(ROUND(CF!AJ36,0)=ROUND(SUM(CF!AJ28:AJ35),0),"OK","ERROR")</f>
        <v>OK</v>
      </c>
      <c r="AK171" s="217" t="str">
        <f>IF(ROUND(CF!AK36,0)=ROUND(SUM(CF!AK28:AK35),0),"OK","ERROR")</f>
        <v>OK</v>
      </c>
      <c r="AL171" s="237" t="str">
        <f>IF(ROUND(CF!AL36,0)=ROUND(SUM(CF!AL28:AL35),0),"OK","ERROR")</f>
        <v>ERROR</v>
      </c>
      <c r="AM171" s="215"/>
      <c r="AN171" s="217" t="str">
        <f>IF(ROUND(CF!AN36,0)=ROUND(SUM(CF!AN28:AN35),0),"OK","ERROR")</f>
        <v>OK</v>
      </c>
      <c r="AO171" s="217" t="str">
        <f>IF(ROUND(CF!AO36,0)=ROUND(SUM(CF!AO28:AO35),0),"OK","ERROR")</f>
        <v>OK</v>
      </c>
      <c r="AP171" s="217" t="str">
        <f>IF(ROUND(CF!AP36,0)=ROUND(SUM(CF!AP28:AP35),0),"OK","ERROR")</f>
        <v>OK</v>
      </c>
      <c r="AQ171" s="217" t="str">
        <f>IF(ROUND(CF!AQ36,0)=ROUND(SUM(CF!AQ28:AQ35),0),"OK","ERROR")</f>
        <v>OK</v>
      </c>
      <c r="AR171" s="237" t="str">
        <f>IF(ROUND(CF!AR36,0)=ROUND(SUM(CF!AR28:AR35),0),"OK","ERROR")</f>
        <v>OK</v>
      </c>
      <c r="AS171" s="215"/>
      <c r="AT171" s="237" t="str">
        <f>IF(ROUND(CF!AT36,0)=ROUND(SUM(CF!AT28:AT35),0),"OK","ERROR")</f>
        <v>OK</v>
      </c>
      <c r="AU171" s="215"/>
      <c r="AV171" s="237" t="str">
        <f>IF(ROUND(CF!AV36,0)=ROUND(SUM(CF!AV28:AV35),0),"OK","ERROR")</f>
        <v>OK</v>
      </c>
      <c r="AW171" s="246"/>
      <c r="AX171" s="237" t="str">
        <f>IF(ROUND(CF!AX36,0)=ROUND(SUM(CF!AX28:AX35),0),"OK","ERROR")</f>
        <v>OK</v>
      </c>
    </row>
    <row r="172" spans="1:50" s="54" customFormat="1" ht="15" customHeight="1" thickTop="1">
      <c r="A172" s="43"/>
      <c r="B172" s="154"/>
      <c r="C172" s="115"/>
      <c r="D172" s="208"/>
      <c r="E172" s="208"/>
      <c r="F172" s="208"/>
      <c r="G172" s="208"/>
      <c r="H172" s="220"/>
      <c r="I172" s="210"/>
      <c r="J172" s="208"/>
      <c r="K172" s="208"/>
      <c r="L172" s="208"/>
      <c r="M172" s="208"/>
      <c r="N172" s="220"/>
      <c r="O172" s="210"/>
      <c r="P172" s="208"/>
      <c r="Q172" s="208"/>
      <c r="R172" s="208"/>
      <c r="S172" s="208"/>
      <c r="T172" s="220"/>
      <c r="U172" s="210"/>
      <c r="V172" s="208"/>
      <c r="W172" s="208"/>
      <c r="X172" s="208"/>
      <c r="Y172" s="208"/>
      <c r="Z172" s="220"/>
      <c r="AA172" s="232"/>
      <c r="AB172" s="208"/>
      <c r="AC172" s="208"/>
      <c r="AD172" s="208"/>
      <c r="AE172" s="208"/>
      <c r="AF172" s="220"/>
      <c r="AG172" s="229"/>
      <c r="AH172" s="208"/>
      <c r="AI172" s="208"/>
      <c r="AJ172" s="208"/>
      <c r="AK172" s="208"/>
      <c r="AL172" s="220"/>
      <c r="AM172" s="230"/>
      <c r="AN172" s="208"/>
      <c r="AO172" s="208"/>
      <c r="AP172" s="208"/>
      <c r="AQ172" s="208"/>
      <c r="AR172" s="220"/>
      <c r="AS172" s="230"/>
      <c r="AT172" s="220"/>
      <c r="AU172" s="230"/>
      <c r="AV172" s="220"/>
      <c r="AW172" s="246"/>
      <c r="AX172" s="220"/>
    </row>
    <row r="173" spans="1:50" s="54" customFormat="1" ht="15" customHeight="1">
      <c r="A173" s="44" t="s">
        <v>33</v>
      </c>
      <c r="B173" s="158" t="s">
        <v>635</v>
      </c>
      <c r="C173" s="27"/>
      <c r="D173" s="208"/>
      <c r="E173" s="208"/>
      <c r="F173" s="208"/>
      <c r="G173" s="208"/>
      <c r="H173" s="220"/>
      <c r="I173" s="210"/>
      <c r="J173" s="208"/>
      <c r="K173" s="208"/>
      <c r="L173" s="208"/>
      <c r="M173" s="208"/>
      <c r="N173" s="220"/>
      <c r="O173" s="210"/>
      <c r="P173" s="208"/>
      <c r="Q173" s="208"/>
      <c r="R173" s="208"/>
      <c r="S173" s="208"/>
      <c r="T173" s="220"/>
      <c r="U173" s="210"/>
      <c r="V173" s="208"/>
      <c r="W173" s="208"/>
      <c r="X173" s="208"/>
      <c r="Y173" s="208"/>
      <c r="Z173" s="220"/>
      <c r="AA173" s="213"/>
      <c r="AB173" s="208"/>
      <c r="AC173" s="208"/>
      <c r="AD173" s="208"/>
      <c r="AE173" s="208"/>
      <c r="AF173" s="220"/>
      <c r="AG173" s="211"/>
      <c r="AH173" s="208"/>
      <c r="AI173" s="208"/>
      <c r="AJ173" s="208"/>
      <c r="AK173" s="208"/>
      <c r="AL173" s="220"/>
      <c r="AM173" s="215"/>
      <c r="AN173" s="208"/>
      <c r="AO173" s="208"/>
      <c r="AP173" s="208"/>
      <c r="AQ173" s="208"/>
      <c r="AR173" s="220"/>
      <c r="AS173" s="215"/>
      <c r="AT173" s="220"/>
      <c r="AU173" s="215"/>
      <c r="AV173" s="220"/>
      <c r="AW173" s="246"/>
      <c r="AX173" s="220"/>
    </row>
    <row r="174" spans="1:50" s="54" customFormat="1" ht="15" customHeight="1" thickBot="1">
      <c r="A174" s="113"/>
      <c r="B174" s="160" t="s">
        <v>642</v>
      </c>
      <c r="C174" s="17"/>
      <c r="D174" s="217" t="str">
        <f>IF(ROUND(CF!D45,0)=ROUND(SUM(CF!D39:D44),0),"OK","ERROR")</f>
        <v>OK</v>
      </c>
      <c r="E174" s="217" t="str">
        <f>IF(ROUND(CF!E45,0)=ROUND(SUM(CF!E39:E44),0),"OK","ERROR")</f>
        <v>OK</v>
      </c>
      <c r="F174" s="217" t="str">
        <f>IF(ROUND(CF!F45,0)=ROUND(SUM(CF!F39:F44),0),"OK","ERROR")</f>
        <v>OK</v>
      </c>
      <c r="G174" s="217" t="str">
        <f>IF(ROUND(CF!G45,0)=ROUND(SUM(CF!G39:G44),0),"OK","ERROR")</f>
        <v>OK</v>
      </c>
      <c r="H174" s="237" t="str">
        <f>IF(ROUND(CF!H45,0)=ROUND(SUM(CF!H39:H44),0),"OK","ERROR")</f>
        <v>OK</v>
      </c>
      <c r="I174" s="210"/>
      <c r="J174" s="217" t="str">
        <f>IF(ROUND(CF!J45,0)=ROUND(SUM(CF!J39:J44),0),"OK","ERROR")</f>
        <v>OK</v>
      </c>
      <c r="K174" s="217" t="str">
        <f>IF(ROUND(CF!K45,0)=ROUND(SUM(CF!K39:K44),0),"OK","ERROR")</f>
        <v>OK</v>
      </c>
      <c r="L174" s="217" t="str">
        <f>IF(ROUND(CF!L45,0)=ROUND(SUM(CF!L39:L44),0),"OK","ERROR")</f>
        <v>OK</v>
      </c>
      <c r="M174" s="217" t="str">
        <f>IF(ROUND(CF!M45,0)=ROUND(SUM(CF!M39:M44),0),"OK","ERROR")</f>
        <v>OK</v>
      </c>
      <c r="N174" s="237" t="str">
        <f>IF(ROUND(CF!N45,0)=ROUND(SUM(CF!N39:N44),0),"OK","ERROR")</f>
        <v>OK</v>
      </c>
      <c r="O174" s="210"/>
      <c r="P174" s="217" t="str">
        <f>IF(ROUND(CF!P45,0)=ROUND(SUM(CF!P39:P44),0),"OK","ERROR")</f>
        <v>OK</v>
      </c>
      <c r="Q174" s="217" t="str">
        <f>IF(ROUND(CF!Q45,0)=ROUND(SUM(CF!Q39:Q44),0),"OK","ERROR")</f>
        <v>OK</v>
      </c>
      <c r="R174" s="217" t="str">
        <f>IF(ROUND(CF!R45,0)=ROUND(SUM(CF!R39:R44),0),"OK","ERROR")</f>
        <v>OK</v>
      </c>
      <c r="S174" s="217" t="str">
        <f>IF(ROUND(CF!S45,0)=ROUND(SUM(CF!S39:S44),0),"OK","ERROR")</f>
        <v>OK</v>
      </c>
      <c r="T174" s="237" t="str">
        <f>IF(ROUND(CF!T45,0)=ROUND(SUM(CF!T39:T44),0),"OK","ERROR")</f>
        <v>OK</v>
      </c>
      <c r="U174" s="210"/>
      <c r="V174" s="217" t="str">
        <f>IF(ROUND(CF!V45,0)=ROUND(SUM(CF!V39:V44),0),"OK","ERROR")</f>
        <v>OK</v>
      </c>
      <c r="W174" s="217" t="str">
        <f>IF(ROUND(CF!W45,0)=ROUND(SUM(CF!W39:W44),0),"OK","ERROR")</f>
        <v>OK</v>
      </c>
      <c r="X174" s="217" t="str">
        <f>IF(ROUND(CF!X45,0)=ROUND(SUM(CF!X39:X44),0),"OK","ERROR")</f>
        <v>OK</v>
      </c>
      <c r="Y174" s="217" t="str">
        <f>IF(ROUND(CF!Y45,0)=ROUND(SUM(CF!Y39:Y44),0),"OK","ERROR")</f>
        <v>OK</v>
      </c>
      <c r="Z174" s="237" t="str">
        <f>IF(ROUND(CF!Z45,0)=ROUND(SUM(CF!Z39:Z44),0),"OK","ERROR")</f>
        <v>OK</v>
      </c>
      <c r="AA174" s="210"/>
      <c r="AB174" s="217" t="str">
        <f>IF(ROUND(CF!AB45,0)=ROUND(SUM(CF!AB39:AB44),0),"OK","ERROR")</f>
        <v>OK</v>
      </c>
      <c r="AC174" s="217" t="str">
        <f>IF(ROUND(CF!AC45,0)=ROUND(SUM(CF!AC39:AC44),0),"OK","ERROR")</f>
        <v>OK</v>
      </c>
      <c r="AD174" s="217" t="str">
        <f>IF(ROUND(CF!AD45,0)=ROUND(SUM(CF!AD39:AD44),0),"OK","ERROR")</f>
        <v>OK</v>
      </c>
      <c r="AE174" s="217" t="str">
        <f>IF(ROUND(CF!AE45,0)=ROUND(SUM(CF!AE39:AE44),0),"OK","ERROR")</f>
        <v>OK</v>
      </c>
      <c r="AF174" s="237" t="str">
        <f>IF(ROUND(CF!AF45,0)=ROUND(SUM(CF!AF39:AF44),0),"OK","ERROR")</f>
        <v>OK</v>
      </c>
      <c r="AG174" s="238"/>
      <c r="AH174" s="217" t="str">
        <f>IF(ROUND(CF!AH45,0)=ROUND(SUM(CF!AH39:AH44),0),"OK","ERROR")</f>
        <v>OK</v>
      </c>
      <c r="AI174" s="217" t="str">
        <f>IF(ROUND(CF!AI45,0)=ROUND(SUM(CF!AI39:AI44),0),"OK","ERROR")</f>
        <v>OK</v>
      </c>
      <c r="AJ174" s="217" t="str">
        <f>IF(ROUND(CF!AJ45,0)=ROUND(SUM(CF!AJ39:AJ44),0),"OK","ERROR")</f>
        <v>OK</v>
      </c>
      <c r="AK174" s="217" t="str">
        <f>IF(ROUND(CF!AK45,0)=ROUND(SUM(CF!AK39:AK44),0),"OK","ERROR")</f>
        <v>OK</v>
      </c>
      <c r="AL174" s="237" t="str">
        <f>IF(ROUND(CF!AL45,0)=ROUND(SUM(CF!AL39:AL44),0),"OK","ERROR")</f>
        <v>OK</v>
      </c>
      <c r="AM174" s="239"/>
      <c r="AN174" s="217" t="str">
        <f>IF(ROUND(CF!AN45,0)=ROUND(SUM(CF!AN39:AN44),0),"OK","ERROR")</f>
        <v>OK</v>
      </c>
      <c r="AO174" s="217" t="str">
        <f>IF(ROUND(CF!AO45,0)=ROUND(SUM(CF!AO39:AO44),0),"OK","ERROR")</f>
        <v>OK</v>
      </c>
      <c r="AP174" s="217" t="str">
        <f>IF(ROUND(CF!AP45,0)=ROUND(SUM(CF!AP39:AP44),0),"OK","ERROR")</f>
        <v>OK</v>
      </c>
      <c r="AQ174" s="217" t="str">
        <f>IF(ROUND(CF!AQ45,0)=ROUND(SUM(CF!AQ39:AQ44),0),"OK","ERROR")</f>
        <v>OK</v>
      </c>
      <c r="AR174" s="237" t="str">
        <f>IF(ROUND(CF!AR45,0)=ROUND(SUM(CF!AR39:AR44),0),"OK","ERROR")</f>
        <v>OK</v>
      </c>
      <c r="AS174" s="239"/>
      <c r="AT174" s="237" t="str">
        <f>IF(ROUND(CF!AT45,0)=ROUND(SUM(CF!AT39:AT44),0),"OK","ERROR")</f>
        <v>OK</v>
      </c>
      <c r="AU174" s="239"/>
      <c r="AV174" s="237" t="str">
        <f>IF(ROUND(CF!AV45,0)=ROUND(SUM(CF!AV39:AV44),0),"OK","ERROR")</f>
        <v>OK</v>
      </c>
      <c r="AW174" s="246"/>
      <c r="AX174" s="237" t="str">
        <f>IF(ROUND(CF!AX45,0)=ROUND(SUM(CF!AX39:AX44),0),"OK","ERROR")</f>
        <v>OK</v>
      </c>
    </row>
    <row r="175" spans="1:50" s="54" customFormat="1" ht="15" customHeight="1" thickTop="1">
      <c r="A175" s="113"/>
      <c r="B175" s="9"/>
      <c r="C175" s="115"/>
      <c r="D175" s="208"/>
      <c r="E175" s="208"/>
      <c r="F175" s="208"/>
      <c r="G175" s="208"/>
      <c r="H175" s="220"/>
      <c r="I175" s="210"/>
      <c r="J175" s="208"/>
      <c r="K175" s="208"/>
      <c r="L175" s="208"/>
      <c r="M175" s="208"/>
      <c r="N175" s="220"/>
      <c r="O175" s="210"/>
      <c r="P175" s="208"/>
      <c r="Q175" s="208"/>
      <c r="R175" s="208"/>
      <c r="S175" s="208"/>
      <c r="T175" s="220"/>
      <c r="U175" s="210"/>
      <c r="V175" s="208"/>
      <c r="W175" s="208"/>
      <c r="X175" s="208"/>
      <c r="Y175" s="208"/>
      <c r="Z175" s="220"/>
      <c r="AA175" s="228"/>
      <c r="AB175" s="208"/>
      <c r="AC175" s="208"/>
      <c r="AD175" s="208"/>
      <c r="AE175" s="208"/>
      <c r="AF175" s="220"/>
      <c r="AG175" s="229"/>
      <c r="AH175" s="208"/>
      <c r="AI175" s="208"/>
      <c r="AJ175" s="208"/>
      <c r="AK175" s="208"/>
      <c r="AL175" s="220"/>
      <c r="AM175" s="230"/>
      <c r="AN175" s="208"/>
      <c r="AO175" s="208"/>
      <c r="AP175" s="208"/>
      <c r="AQ175" s="208"/>
      <c r="AR175" s="220"/>
      <c r="AS175" s="230"/>
      <c r="AT175" s="220"/>
      <c r="AU175" s="230"/>
      <c r="AV175" s="220"/>
      <c r="AW175" s="246"/>
      <c r="AX175" s="220"/>
    </row>
    <row r="176" spans="1:50" s="54" customFormat="1" ht="15" customHeight="1">
      <c r="A176" s="44" t="s">
        <v>33</v>
      </c>
      <c r="B176" s="158" t="s">
        <v>644</v>
      </c>
      <c r="C176" s="17"/>
      <c r="D176" s="217" t="str">
        <f>IF(ROUND(CF!D49,0)=ROUND(SUM(CF!D25,CF!D36,CF!D45,CF!D47),0),"OK","ERROR")</f>
        <v>OK</v>
      </c>
      <c r="E176" s="217" t="str">
        <f>IF(ROUND(CF!E49,0)=ROUND(SUM(CF!E25,CF!E36,CF!E45,CF!E47),0),"OK","ERROR")</f>
        <v>OK</v>
      </c>
      <c r="F176" s="217" t="str">
        <f>IF(ROUND(CF!F49,0)=ROUND(SUM(CF!F25,CF!F36,CF!F45,CF!F47),0),"OK","ERROR")</f>
        <v>OK</v>
      </c>
      <c r="G176" s="217" t="str">
        <f>IF(ROUND(CF!G49,0)=ROUND(SUM(CF!G25,CF!G36,CF!G45,CF!G47),0),"OK","ERROR")</f>
        <v>OK</v>
      </c>
      <c r="H176" s="226" t="str">
        <f>IF(ROUND(CF!H49,0)=ROUND(SUM(CF!H25,CF!H36,CF!H45,CF!H47),0),"OK","ERROR")</f>
        <v>OK</v>
      </c>
      <c r="I176" s="210"/>
      <c r="J176" s="217" t="str">
        <f>IF(ROUND(CF!J49,0)=ROUND(SUM(CF!J25,CF!J36,CF!J45,CF!J47),0),"OK","ERROR")</f>
        <v>OK</v>
      </c>
      <c r="K176" s="217" t="str">
        <f>IF(ROUND(CF!K49,0)=ROUND(SUM(CF!K25,CF!K36,CF!K45,CF!K47),0),"OK","ERROR")</f>
        <v>OK</v>
      </c>
      <c r="L176" s="217" t="str">
        <f>IF(ROUND(CF!L49,0)=ROUND(SUM(CF!L25,CF!L36,CF!L45,CF!L47),0),"OK","ERROR")</f>
        <v>OK</v>
      </c>
      <c r="M176" s="217" t="str">
        <f>IF(ROUND(CF!M49,0)=ROUND(SUM(CF!M25,CF!M36,CF!M45,CF!M47),0),"OK","ERROR")</f>
        <v>OK</v>
      </c>
      <c r="N176" s="226" t="str">
        <f>IF(ROUND(CF!N49,0)=ROUND(SUM(CF!N25,CF!N36,CF!N45,CF!N47),0),"OK","ERROR")</f>
        <v>OK</v>
      </c>
      <c r="O176" s="210"/>
      <c r="P176" s="217" t="str">
        <f>IF(ROUND(CF!P49,0)=ROUND(SUM(CF!P25,CF!P36,CF!P45,CF!P47),0),"OK","ERROR")</f>
        <v>OK</v>
      </c>
      <c r="Q176" s="217" t="str">
        <f>IF(ROUND(CF!Q49,0)=ROUND(SUM(CF!Q25,CF!Q36,CF!Q45,CF!Q47),0),"OK","ERROR")</f>
        <v>OK</v>
      </c>
      <c r="R176" s="217" t="str">
        <f>IF(ROUND(CF!R49,0)=ROUND(SUM(CF!R25,CF!R36,CF!R45,CF!R47),0),"OK","ERROR")</f>
        <v>OK</v>
      </c>
      <c r="S176" s="217" t="str">
        <f>IF(ROUND(CF!S49,0)=ROUND(SUM(CF!S25,CF!S36,CF!S45,CF!S47),0),"OK","ERROR")</f>
        <v>OK</v>
      </c>
      <c r="T176" s="226" t="str">
        <f>IF(ROUND(CF!T49,0)=ROUND(SUM(CF!T25,CF!T36,CF!T45,CF!T47),0),"OK","ERROR")</f>
        <v>OK</v>
      </c>
      <c r="U176" s="210"/>
      <c r="V176" s="217" t="str">
        <f>IF(ROUND(CF!V49,0)=ROUND(SUM(CF!V25,CF!V36,CF!V45,CF!V47),0),"OK","ERROR")</f>
        <v>OK</v>
      </c>
      <c r="W176" s="217" t="str">
        <f>IF(ROUND(CF!W49,0)=ROUND(SUM(CF!W25,CF!W36,CF!W45,CF!W47),0),"OK","ERROR")</f>
        <v>OK</v>
      </c>
      <c r="X176" s="217" t="str">
        <f>IF(ROUND(CF!X49,0)=ROUND(SUM(CF!X25,CF!X36,CF!X45,CF!X47),0),"OK","ERROR")</f>
        <v>OK</v>
      </c>
      <c r="Y176" s="217" t="str">
        <f>IF(ROUND(CF!Y49,0)=ROUND(SUM(CF!Y25,CF!Y36,CF!Y45,CF!Y47),0),"OK","ERROR")</f>
        <v>OK</v>
      </c>
      <c r="Z176" s="226" t="str">
        <f>IF(ROUND(CF!Z49,0)=ROUND(SUM(CF!Z25,CF!Z36,CF!Z45,CF!Z47),0),"OK","ERROR")</f>
        <v>OK</v>
      </c>
      <c r="AA176" s="210"/>
      <c r="AB176" s="217" t="str">
        <f>IF(ROUND(CF!AB49,0)=ROUND(SUM(CF!AB25,CF!AB36,CF!AB45,CF!AB47),0),"OK","ERROR")</f>
        <v>OK</v>
      </c>
      <c r="AC176" s="217" t="str">
        <f>IF(ROUND(CF!AC49,0)=ROUND(SUM(CF!AC25,CF!AC36,CF!AC45,CF!AC47),0),"OK","ERROR")</f>
        <v>OK</v>
      </c>
      <c r="AD176" s="217" t="str">
        <f>IF(ROUND(CF!AD49,0)=ROUND(SUM(CF!AD25,CF!AD36,CF!AD45,CF!AD47),0),"OK","ERROR")</f>
        <v>OK</v>
      </c>
      <c r="AE176" s="217" t="str">
        <f>IF(ROUND(CF!AE49,0)=ROUND(SUM(CF!AE25,CF!AE36,CF!AE45,CF!AE47),0),"OK","ERROR")</f>
        <v>OK</v>
      </c>
      <c r="AF176" s="226" t="str">
        <f>IF(ROUND(CF!AF49,0)=ROUND(SUM(CF!AF25,CF!AF36,CF!AF45,CF!AF47),0),"OK","ERROR")</f>
        <v>OK</v>
      </c>
      <c r="AG176" s="238"/>
      <c r="AH176" s="217" t="str">
        <f>IF(ROUND(CF!AH49,0)=ROUND(SUM(CF!AH25,CF!AH36,CF!AH45,CF!AH47),0),"OK","ERROR")</f>
        <v>OK</v>
      </c>
      <c r="AI176" s="217" t="str">
        <f>IF(ROUND(CF!AI49,0)=ROUND(SUM(CF!AI25,CF!AI36,CF!AI45,CF!AI47),0),"OK","ERROR")</f>
        <v>OK</v>
      </c>
      <c r="AJ176" s="217" t="str">
        <f>IF(ROUND(CF!AJ49,0)=ROUND(SUM(CF!AJ24,CF!AJ36,CF!AJ45,CF!AJ47),0),"OK","ERROR")</f>
        <v>ERROR</v>
      </c>
      <c r="AK176" s="217" t="str">
        <f>IF(ROUND(CF!AK49,0)=ROUND(SUM(CF!AK25,CF!AK36,CF!AK45,CF!AK47),0),"OK","ERROR")</f>
        <v>OK</v>
      </c>
      <c r="AL176" s="226" t="str">
        <f>IF(ROUND(CF!AL49,0)=ROUND(SUM(CF!AL25,CF!AL36,CF!AL45,CF!AL47),0),"OK","ERROR")</f>
        <v>OK</v>
      </c>
      <c r="AM176" s="239"/>
      <c r="AN176" s="217" t="str">
        <f>IF(ROUND(CF!AN49,0)=ROUND(SUM(CF!AN25,CF!AN36,CF!AN45,CF!AN47),0),"OK","ERROR")</f>
        <v>OK</v>
      </c>
      <c r="AO176" s="217" t="str">
        <f>IF(ROUND(CF!AO49,0)=ROUND(SUM(CF!AO25,CF!AO36,CF!AO45,CF!AO47),0),"OK","ERROR")</f>
        <v>OK</v>
      </c>
      <c r="AP176" s="217" t="str">
        <f>IF(ROUND(CF!AP49,0)=ROUND(SUM(CF!AP25,CF!AP36,CF!AP45,CF!AP47),0),"OK","ERROR")</f>
        <v>OK</v>
      </c>
      <c r="AQ176" s="217" t="str">
        <f>IF(ROUND(CF!AQ49,0)=ROUND(SUM(CF!AQ25,CF!AQ36,CF!AQ45,CF!AQ47),0),"OK","ERROR")</f>
        <v>OK</v>
      </c>
      <c r="AR176" s="226" t="str">
        <f>IF(ROUND(CF!AR49,0)=ROUND(SUM(CF!AR25,CF!AR36,CF!AR45,CF!AR47),0),"OK","ERROR")</f>
        <v>OK</v>
      </c>
      <c r="AS176" s="239"/>
      <c r="AT176" s="226" t="str">
        <f>IF(ROUND(CF!AT49,0)=ROUND(SUM(CF!AT25,CF!AT36,CF!AT45,CF!AT47),0),"OK","ERROR")</f>
        <v>OK</v>
      </c>
      <c r="AU176" s="239"/>
      <c r="AV176" s="226" t="str">
        <f>IF(ROUND(CF!AV49,0)=ROUND(SUM(CF!AV25,CF!AV36,CF!AV45,CF!AV47),0),"OK","ERROR")</f>
        <v>OK</v>
      </c>
      <c r="AW176" s="246"/>
      <c r="AX176" s="226" t="str">
        <f>IF(ROUND(CF!AX49,0)=ROUND(SUM(CF!AX25,CF!AX36,CF!AX45,CF!AX47),0),"OK","ERROR")</f>
        <v>OK</v>
      </c>
    </row>
    <row r="177" spans="2:50" s="54" customFormat="1" ht="15" customHeight="1" thickBot="1">
      <c r="B177" s="158" t="s">
        <v>645</v>
      </c>
      <c r="C177" s="115"/>
      <c r="D177" s="208" t="str">
        <f>IF(ROUND(CF!D50,0)=ROUND(SUM(CF!D49,CF!D12),0),"OK","ERROR")</f>
        <v>OK</v>
      </c>
      <c r="E177" s="208" t="str">
        <f>IF(ROUND(CF!E50,0)=ROUND(SUM(CF!E49,CF!E12),0),"OK","ERROR")</f>
        <v>OK</v>
      </c>
      <c r="F177" s="208" t="str">
        <f>IF(ROUND(CF!F50,0)=ROUND(SUM(CF!F49,CF!F12),0),"OK","ERROR")</f>
        <v>OK</v>
      </c>
      <c r="G177" s="208" t="str">
        <f>IF(ROUND(CF!G50,0)=ROUND(SUM(CF!G49,CF!G12),0),"OK","ERROR")</f>
        <v>OK</v>
      </c>
      <c r="H177" s="237" t="str">
        <f>IF(ROUND(CF!H50,0)=ROUND(SUM(CF!H49,CF!H12),0),"OK","ERROR")</f>
        <v>ERROR</v>
      </c>
      <c r="I177" s="210"/>
      <c r="J177" s="208" t="str">
        <f>IF(ROUND(CF!J50,0)=ROUND(SUM(CF!J49,CF!J12),0),"OK","ERROR")</f>
        <v>OK</v>
      </c>
      <c r="K177" s="208" t="str">
        <f>IF(ROUND(CF!K50,0)=ROUND(SUM(CF!K49,CF!K12),0),"OK","ERROR")</f>
        <v>OK</v>
      </c>
      <c r="L177" s="208" t="str">
        <f>IF(ROUND(CF!L50,0)=ROUND(SUM(CF!L49,CF!L12),0),"OK","ERROR")</f>
        <v>OK</v>
      </c>
      <c r="M177" s="208" t="str">
        <f>IF(ROUND(CF!M50,0)=ROUND(SUM(CF!M49,CF!M12),0),"OK","ERROR")</f>
        <v>OK</v>
      </c>
      <c r="N177" s="237" t="str">
        <f>IF(ROUND(CF!N50,0)=ROUND(SUM(CF!N49,CF!N12),0),"OK","ERROR")</f>
        <v>ERROR</v>
      </c>
      <c r="O177" s="210"/>
      <c r="P177" s="208" t="str">
        <f>IF(ROUND(CF!P50,0)=ROUND(SUM(CF!P49,CF!P12),0),"OK","ERROR")</f>
        <v>OK</v>
      </c>
      <c r="Q177" s="208" t="str">
        <f>IF(ROUND(CF!Q50,0)=ROUND(SUM(CF!Q49,CF!Q12),0),"OK","ERROR")</f>
        <v>OK</v>
      </c>
      <c r="R177" s="208" t="str">
        <f>IF(ROUND(CF!R50,0)=ROUND(SUM(CF!R49,CF!R12),0),"OK","ERROR")</f>
        <v>OK</v>
      </c>
      <c r="S177" s="208" t="str">
        <f>IF(ROUND(CF!S50,0)=ROUND(SUM(CF!S49,CF!S12),0),"OK","ERROR")</f>
        <v>ERROR</v>
      </c>
      <c r="T177" s="237" t="str">
        <f>IF(ROUND(CF!T50,0)=ROUND(SUM(CF!T49,CF!T12),0),"OK","ERROR")</f>
        <v>ERROR</v>
      </c>
      <c r="U177" s="210"/>
      <c r="V177" s="208" t="str">
        <f>IF(ROUND(CF!V50,0)=ROUND(SUM(CF!V49,CF!V12),0),"OK","ERROR")</f>
        <v>OK</v>
      </c>
      <c r="W177" s="208" t="str">
        <f>IF(ROUND(CF!W50,0)=ROUND(SUM(CF!W49,CF!W12),0),"OK","ERROR")</f>
        <v>OK</v>
      </c>
      <c r="X177" s="208" t="str">
        <f>IF(ROUND(CF!X50,0)=ROUND(SUM(CF!X49,CF!X12),0),"OK","ERROR")</f>
        <v>OK</v>
      </c>
      <c r="Y177" s="208" t="str">
        <f>IF(ROUND(CF!Y50,0)=ROUND(SUM(CF!Y49,CF!Y12),0),"OK","ERROR")</f>
        <v>OK</v>
      </c>
      <c r="Z177" s="237" t="str">
        <f>IF(ROUND(CF!Z50,0)=ROUND(SUM(CF!Z49,CF!Z12),0),"OK","ERROR")</f>
        <v>ERROR</v>
      </c>
      <c r="AA177" s="210"/>
      <c r="AB177" s="208" t="str">
        <f>IF(ROUND(CF!AB50,0)=ROUND(SUM(CF!AB49,CF!AB12),0),"OK","ERROR")</f>
        <v>OK</v>
      </c>
      <c r="AC177" s="208" t="str">
        <f>IF(ROUND(CF!AC50,0)=ROUND(SUM(CF!AC49,CF!AC12),0),"OK","ERROR")</f>
        <v>OK</v>
      </c>
      <c r="AD177" s="208" t="str">
        <f>IF(ROUND(CF!AD50,0)=ROUND(SUM(CF!AD49,CF!AD12),0),"OK","ERROR")</f>
        <v>OK</v>
      </c>
      <c r="AE177" s="208" t="str">
        <f>IF(ROUND(CF!AE50,0)=ROUND(SUM(CF!AE49,CF!AE12),0),"OK","ERROR")</f>
        <v>OK</v>
      </c>
      <c r="AF177" s="237" t="str">
        <f>IF(ROUND(CF!AF50,0)=ROUND(SUM(CF!AF49,CF!AF12),0),"OK","ERROR")</f>
        <v>ERROR</v>
      </c>
      <c r="AG177" s="238"/>
      <c r="AH177" s="208" t="str">
        <f>IF(ROUND(CF!AH50,0)=ROUND(SUM(CF!AH49,CF!AH12),0),"OK","ERROR")</f>
        <v>OK</v>
      </c>
      <c r="AI177" s="208" t="str">
        <f>IF(ROUND(CF!AI50,0)=ROUND(SUM(CF!AI49,CF!AI12),0),"OK","ERROR")</f>
        <v>OK</v>
      </c>
      <c r="AJ177" s="208" t="str">
        <f>IF(ROUND(CF!AJ50,0)=ROUND(SUM(CF!AJ49,CF!AJ12),0),"OK","ERROR")</f>
        <v>OK</v>
      </c>
      <c r="AK177" s="208" t="str">
        <f>IF(ROUND(CF!AK50,0)=ROUND(SUM(CF!AK49,CF!AK12),0),"OK","ERROR")</f>
        <v>OK</v>
      </c>
      <c r="AL177" s="237" t="str">
        <f>IF(ROUND(CF!AL50,0)=ROUND(SUM(CF!AL49,CF!AL12),0),"OK","ERROR")</f>
        <v>OK</v>
      </c>
      <c r="AM177" s="239"/>
      <c r="AN177" s="208" t="str">
        <f>IF(ROUND(CF!AN50,0)=ROUND(SUM(CF!AN49,CF!AN12),0),"OK","ERROR")</f>
        <v>OK</v>
      </c>
      <c r="AO177" s="208" t="str">
        <f>IF(ROUND(CF!AO50,0)=ROUND(SUM(CF!AO49,CF!AO12),0),"OK","ERROR")</f>
        <v>OK</v>
      </c>
      <c r="AP177" s="208" t="str">
        <f>IF(ROUND(CF!AP50,0)=ROUND(SUM(CF!AP49,CF!AP12),0),"OK","ERROR")</f>
        <v>OK</v>
      </c>
      <c r="AQ177" s="208" t="str">
        <f>IF(ROUND(CF!AQ50,0)=ROUND(SUM(CF!AQ49,CF!AQ12),0),"OK","ERROR")</f>
        <v>OK</v>
      </c>
      <c r="AR177" s="237" t="str">
        <f>IF(ROUND(CF!AR50,0)=ROUND(SUM(CF!AR49,CF!AR12),0),"OK","ERROR")</f>
        <v>OK</v>
      </c>
      <c r="AS177" s="239"/>
      <c r="AT177" s="237" t="str">
        <f>IF(ROUND(CF!AT50,0)=ROUND(SUM(CF!AT49,CF!AT12),0),"OK","ERROR")</f>
        <v>OK</v>
      </c>
      <c r="AU177" s="239"/>
      <c r="AV177" s="237" t="str">
        <f>IF(ROUND(CF!AV50,0)=ROUND(SUM(CF!AV49,CF!AV12),0),"OK","ERROR")</f>
        <v>OK</v>
      </c>
      <c r="AW177" s="246"/>
      <c r="AX177" s="237" t="str">
        <f>IF(ROUND(CF!AX50,0)=ROUND(SUM(CF!AX49,CF!AX12),0),"OK","ERROR")</f>
        <v>OK</v>
      </c>
    </row>
  </sheetData>
  <mergeCells count="35">
    <mergeCell ref="AN162:AR162"/>
    <mergeCell ref="D162:H162"/>
    <mergeCell ref="J162:N162"/>
    <mergeCell ref="P162:T162"/>
    <mergeCell ref="V162:Z162"/>
    <mergeCell ref="AB162:AF162"/>
    <mergeCell ref="AH162:AL162"/>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W176"/>
  <sheetViews>
    <sheetView showGridLines="0" zoomScale="85" zoomScaleNormal="85" workbookViewId="0">
      <selection activeCell="C18" sqref="C18"/>
    </sheetView>
  </sheetViews>
  <sheetFormatPr defaultColWidth="9" defaultRowHeight="15" customHeight="1"/>
  <cols>
    <col min="1" max="1" width="2.125" customWidth="1"/>
    <col min="2" max="2" width="31.125" bestFit="1" customWidth="1"/>
    <col min="3" max="3" width="25.375" bestFit="1" customWidth="1"/>
    <col min="4" max="4" width="18.125" customWidth="1"/>
    <col min="5" max="5" width="8.875"/>
    <col min="6" max="6" width="11.875" customWidth="1"/>
    <col min="7" max="7" width="9.625" customWidth="1"/>
    <col min="8" max="9" width="8.875"/>
    <col min="10" max="10" width="10.375" customWidth="1"/>
    <col min="11" max="11" width="8.875"/>
    <col min="12" max="12" width="14" customWidth="1"/>
    <col min="13" max="15" width="8.875"/>
    <col min="16" max="16" width="10.125" customWidth="1"/>
    <col min="17" max="17" width="8.875"/>
    <col min="18" max="18" width="12.5" customWidth="1"/>
    <col min="19" max="20" width="8.875"/>
    <col min="21" max="21" width="12.375" customWidth="1"/>
    <col min="22" max="23" width="8.875" customWidth="1"/>
    <col min="24" max="16384" width="9" style="4"/>
  </cols>
  <sheetData>
    <row r="1" spans="1:23" s="582" customFormat="1" ht="15" customHeight="1"/>
    <row r="2" spans="1:23" s="582" customFormat="1" ht="15" customHeight="1"/>
    <row r="3" spans="1:23" s="582" customFormat="1" ht="15" customHeight="1"/>
    <row r="4" spans="1:23" s="582" customFormat="1" ht="15" customHeight="1"/>
    <row r="5" spans="1:23" s="581" customFormat="1" ht="3.95" customHeight="1">
      <c r="A5" s="38"/>
      <c r="B5" s="38"/>
      <c r="C5" s="38"/>
      <c r="D5" s="38"/>
      <c r="E5" s="38"/>
      <c r="F5" s="38"/>
      <c r="G5" s="38"/>
      <c r="H5" s="38"/>
      <c r="I5" s="38"/>
      <c r="J5" s="38"/>
      <c r="K5" s="38"/>
      <c r="L5" s="38"/>
      <c r="M5" s="38"/>
      <c r="N5" s="38"/>
      <c r="O5" s="38"/>
      <c r="P5" s="38"/>
      <c r="Q5" s="38"/>
      <c r="R5" s="38"/>
      <c r="S5" s="38"/>
      <c r="T5" s="38"/>
      <c r="U5" s="38"/>
      <c r="V5" s="38"/>
      <c r="W5" s="38"/>
    </row>
    <row r="7" spans="1:23" s="566" customFormat="1" ht="15" customHeight="1">
      <c r="B7" s="2" t="s">
        <v>652</v>
      </c>
      <c r="C7" s="2"/>
      <c r="D7" s="2"/>
      <c r="E7" s="2"/>
      <c r="F7" s="2"/>
      <c r="G7" s="2"/>
      <c r="H7" s="2"/>
      <c r="I7" s="2"/>
      <c r="J7" s="2"/>
      <c r="K7" s="2"/>
      <c r="L7" s="2"/>
      <c r="M7" s="2"/>
      <c r="N7" s="2"/>
      <c r="O7" s="2"/>
      <c r="P7" s="2"/>
      <c r="Q7" s="2"/>
      <c r="R7" s="2"/>
      <c r="S7" s="13" t="str">
        <f>+_xll.BDP(D15,"SHORT_NAME")</f>
        <v>CAL-MAINE FOODS</v>
      </c>
    </row>
    <row r="8" spans="1:23" s="566" customFormat="1" ht="15" customHeight="1">
      <c r="B8" s="2"/>
      <c r="C8" s="2"/>
      <c r="D8" s="2"/>
      <c r="E8" s="2"/>
      <c r="F8" s="2"/>
      <c r="G8" s="2"/>
      <c r="H8" s="2"/>
      <c r="I8" s="2"/>
      <c r="J8" s="2"/>
      <c r="K8" s="2"/>
      <c r="L8" s="2"/>
      <c r="M8" s="2"/>
      <c r="N8" s="2"/>
      <c r="O8" s="2"/>
      <c r="P8" s="2"/>
      <c r="Q8" s="2"/>
      <c r="R8" s="2"/>
    </row>
    <row r="9" spans="1:23" s="566" customFormat="1" ht="15" customHeight="1">
      <c r="B9" s="2"/>
      <c r="C9" s="2"/>
      <c r="D9" s="2"/>
      <c r="E9" s="2"/>
      <c r="F9" s="2"/>
      <c r="G9" s="2"/>
      <c r="H9" s="2"/>
      <c r="I9" s="2"/>
      <c r="J9" s="2"/>
      <c r="K9" s="2"/>
      <c r="L9" s="2"/>
      <c r="M9" s="2"/>
      <c r="N9" s="2"/>
      <c r="O9" s="2"/>
      <c r="P9" s="2"/>
      <c r="Q9" s="2"/>
      <c r="R9" s="2"/>
    </row>
    <row r="10" spans="1:23" ht="3.95" customHeight="1">
      <c r="B10" s="38"/>
      <c r="C10" s="38"/>
      <c r="D10" s="38"/>
      <c r="E10" s="38"/>
      <c r="F10" s="38"/>
      <c r="G10" s="38"/>
      <c r="H10" s="38"/>
      <c r="I10" s="38"/>
      <c r="J10" s="38"/>
      <c r="K10" s="38"/>
      <c r="L10" s="38"/>
      <c r="M10" s="38"/>
      <c r="N10" s="38"/>
      <c r="O10" s="38"/>
      <c r="P10" s="38"/>
      <c r="Q10" s="38"/>
      <c r="R10" s="38"/>
    </row>
    <row r="11" spans="1:23" ht="3.95" customHeight="1"/>
    <row r="12" spans="1:23" ht="15" customHeight="1" thickBot="1">
      <c r="B12" s="408" t="s">
        <v>65</v>
      </c>
      <c r="C12" s="409"/>
      <c r="D12" s="409"/>
      <c r="F12" s="410" t="s">
        <v>653</v>
      </c>
      <c r="G12" s="409"/>
      <c r="H12" s="409"/>
      <c r="I12" s="409"/>
      <c r="J12" s="409"/>
      <c r="L12" s="410" t="s">
        <v>654</v>
      </c>
      <c r="M12" s="409"/>
      <c r="O12" s="410" t="s">
        <v>655</v>
      </c>
      <c r="P12" s="409"/>
      <c r="Q12" s="409"/>
      <c r="R12" s="409"/>
    </row>
    <row r="13" spans="1:23" ht="15" customHeight="1">
      <c r="B13" s="1" t="s">
        <v>656</v>
      </c>
      <c r="D13" s="407" t="s">
        <v>657</v>
      </c>
      <c r="F13" s="6" t="s">
        <v>658</v>
      </c>
      <c r="J13" s="351">
        <f>'Stock Data'!AQ4</f>
        <v>5409408.5845800005</v>
      </c>
      <c r="L13" s="1" t="s">
        <v>659</v>
      </c>
      <c r="M13" s="354">
        <f ca="1">J18/(IS!AI18+IS!AH18+IS!AE18+IS!AD18)</f>
        <v>1.4973191231183176</v>
      </c>
      <c r="O13" s="10" t="str">
        <f>+_xll.BDP(R13,"SHORT_NAME")</f>
        <v>S&amp;P 500 INDEX</v>
      </c>
      <c r="R13" s="365" t="s">
        <v>660</v>
      </c>
    </row>
    <row r="14" spans="1:23" ht="15" customHeight="1">
      <c r="B14" s="1" t="s">
        <v>661</v>
      </c>
      <c r="D14" s="365" t="s">
        <v>662</v>
      </c>
      <c r="F14" s="6" t="s">
        <v>663</v>
      </c>
      <c r="J14" s="351">
        <f ca="1">Inputs!U63</f>
        <v>0</v>
      </c>
      <c r="L14" s="1" t="s">
        <v>664</v>
      </c>
      <c r="M14" s="354">
        <f ca="1">J18/(IS!AI33+IS!AH33+IS!AE33+IS!AD33+IS!AI28+IS!AH28+IS!AE28+IS!AD28)</f>
        <v>6.2011472006670649</v>
      </c>
      <c r="O14" s="10" t="str">
        <f>+_xll.BDP(R14,"SHORT_NAME")</f>
        <v>WPU011302</v>
      </c>
      <c r="R14" s="365" t="s">
        <v>665</v>
      </c>
    </row>
    <row r="15" spans="1:23" ht="15" customHeight="1">
      <c r="B15" s="1" t="s">
        <v>666</v>
      </c>
      <c r="D15" s="364" t="s">
        <v>667</v>
      </c>
      <c r="F15" s="6" t="s">
        <v>668</v>
      </c>
      <c r="J15" s="352">
        <f>BS!AI53</f>
        <v>6116</v>
      </c>
      <c r="L15" s="1" t="s">
        <v>669</v>
      </c>
      <c r="M15" s="354">
        <f>J13/(IS!AI52+IS!AH52+IS!AE52+IS!AD52)</f>
        <v>8.8816309622680372</v>
      </c>
    </row>
    <row r="16" spans="1:23" ht="15" customHeight="1" thickBot="1">
      <c r="B16" s="370" t="s">
        <v>670</v>
      </c>
      <c r="D16" s="364"/>
      <c r="F16" s="6" t="s">
        <v>671</v>
      </c>
      <c r="J16" s="352">
        <f>BS!AI38+BS!AI39+BS!AI44+BS!AI45</f>
        <v>0</v>
      </c>
      <c r="L16" s="1" t="s">
        <v>672</v>
      </c>
      <c r="M16" s="354">
        <f ca="1">W63</f>
        <v>0</v>
      </c>
      <c r="O16" s="410" t="s">
        <v>673</v>
      </c>
      <c r="P16" s="409"/>
      <c r="Q16" s="409"/>
      <c r="R16" s="409"/>
    </row>
    <row r="17" spans="1:23" ht="15" customHeight="1">
      <c r="B17" t="s">
        <v>674</v>
      </c>
      <c r="C17" s="10"/>
      <c r="D17" s="15" t="str">
        <f>_xll.BDP(D15,"EQY_FISCAL_YR_END")</f>
        <v>05/2025</v>
      </c>
      <c r="F17" s="16" t="s">
        <v>675</v>
      </c>
      <c r="G17" s="7"/>
      <c r="H17" s="7"/>
      <c r="I17" s="7"/>
      <c r="J17" s="353">
        <f>BS!AI15</f>
        <v>797183</v>
      </c>
      <c r="O17" s="1" t="s">
        <v>656</v>
      </c>
      <c r="R17" s="407" t="s">
        <v>657</v>
      </c>
    </row>
    <row r="18" spans="1:23" ht="15" customHeight="1">
      <c r="B18" t="s">
        <v>676</v>
      </c>
      <c r="C18" s="10"/>
      <c r="D18" t="str">
        <f>_xll.BDP(D15,"EQY_RECENT_QT_END_DT")</f>
        <v>05/25</v>
      </c>
      <c r="F18" s="5" t="s">
        <v>477</v>
      </c>
      <c r="G18" s="1"/>
      <c r="H18" s="1"/>
      <c r="I18" s="1"/>
      <c r="J18" s="8">
        <f ca="1">J13+J14-J17+J16+J15</f>
        <v>4618341.5845800005</v>
      </c>
      <c r="L18" s="1" t="s">
        <v>19</v>
      </c>
      <c r="M18" s="40">
        <f>+_xll.BDP(D15,"EQY_BETA")</f>
        <v>0.70151638984680176</v>
      </c>
      <c r="O18" s="1" t="s">
        <v>661</v>
      </c>
      <c r="Q18" s="4"/>
      <c r="R18" s="365" t="s">
        <v>662</v>
      </c>
      <c r="S18" s="4"/>
    </row>
    <row r="19" spans="1:23" ht="15" customHeight="1">
      <c r="C19" s="10"/>
      <c r="F19" s="5"/>
      <c r="G19" s="1"/>
      <c r="H19" s="1"/>
      <c r="I19" s="1"/>
      <c r="J19" s="8"/>
      <c r="O19" s="10"/>
    </row>
    <row r="20" spans="1:23" ht="15" customHeight="1" thickBot="1">
      <c r="B20" s="410" t="s">
        <v>677</v>
      </c>
      <c r="C20" s="409"/>
      <c r="D20" s="409"/>
      <c r="E20" s="409"/>
      <c r="F20" s="409"/>
      <c r="G20" s="1"/>
      <c r="H20" s="410" t="s">
        <v>677</v>
      </c>
      <c r="I20" s="409"/>
      <c r="J20" s="409"/>
      <c r="K20" s="409"/>
      <c r="L20" s="409"/>
      <c r="N20" s="410" t="s">
        <v>677</v>
      </c>
      <c r="O20" s="409"/>
      <c r="P20" s="409"/>
      <c r="Q20" s="409"/>
      <c r="R20" s="409"/>
    </row>
    <row r="21" spans="1:23" ht="15" customHeight="1">
      <c r="B21" s="10" t="str" cm="1">
        <f t="array" ref="B21">_xll.BDP(E21,"SHORT_NAME")</f>
        <v>VITAL FARMS INC</v>
      </c>
      <c r="C21" s="10"/>
      <c r="E21" s="371" t="s">
        <v>678</v>
      </c>
      <c r="F21" s="372"/>
      <c r="G21" s="1"/>
      <c r="H21" s="10" t="str">
        <f>+_xll.BDP(K21,"SHORT_NAME")</f>
        <v>GENERAL MILLS IN</v>
      </c>
      <c r="I21" s="10"/>
      <c r="K21" s="371" t="s">
        <v>679</v>
      </c>
      <c r="L21" s="372"/>
      <c r="N21" s="10" t="str">
        <f>+_xll.BDP(Q21,"SHORT_NAME")</f>
        <v>PEPSICO INC</v>
      </c>
      <c r="O21" s="10"/>
      <c r="Q21" s="371" t="s">
        <v>680</v>
      </c>
      <c r="R21" s="372"/>
    </row>
    <row r="22" spans="1:23" ht="15" customHeight="1">
      <c r="B22" s="10" t="str">
        <f>+_xll.BDP(E22,"SHORT_NAME")</f>
        <v>POST HOLDINGS IN</v>
      </c>
      <c r="C22" s="10"/>
      <c r="E22" s="373" t="s">
        <v>681</v>
      </c>
      <c r="F22" s="374"/>
      <c r="G22" s="1"/>
      <c r="H22" s="10" t="str">
        <f>+_xll.BDP(K22,"SHORT_NAME")</f>
        <v>CONAGRA BRANDS I</v>
      </c>
      <c r="I22" s="10"/>
      <c r="K22" s="373" t="s">
        <v>682</v>
      </c>
      <c r="L22" s="374"/>
      <c r="N22" s="10" t="str">
        <f>+_xll.BDP(Q22,"SHORT_NAME")</f>
        <v>PROCTER &amp; GAMBLE</v>
      </c>
      <c r="O22" s="10"/>
      <c r="Q22" s="373" t="s">
        <v>683</v>
      </c>
      <c r="R22" s="374"/>
    </row>
    <row r="23" spans="1:23" ht="15" customHeight="1">
      <c r="B23" s="10" t="str">
        <f>+_xll.BDP(E23,"SHORT_NAME")</f>
        <v>TYSON FOODS-A</v>
      </c>
      <c r="C23" s="10"/>
      <c r="E23" s="373" t="s">
        <v>684</v>
      </c>
      <c r="F23" s="374"/>
      <c r="G23" s="1"/>
      <c r="H23" s="10" t="str">
        <f>+_xll.BDP(K23,"SHORT_NAME")</f>
        <v>PILGRIM'S PRIDE</v>
      </c>
      <c r="I23" s="10"/>
      <c r="K23" s="373" t="s">
        <v>685</v>
      </c>
      <c r="L23" s="374"/>
      <c r="N23" s="10" t="str">
        <f>+_xll.BDP(Q23,"SHORT_NAME")</f>
        <v>COCA-COLA CO/THE</v>
      </c>
      <c r="O23" s="10"/>
      <c r="Q23" s="373" t="s">
        <v>686</v>
      </c>
      <c r="R23" s="374"/>
    </row>
    <row r="24" spans="1:23" ht="15" customHeight="1">
      <c r="B24" s="10" t="str">
        <f>+_xll.BDP(E24,"SHORT_NAME")</f>
        <v>LAMB WESTON</v>
      </c>
      <c r="C24" s="10"/>
      <c r="E24" s="373" t="s">
        <v>687</v>
      </c>
      <c r="F24" s="374"/>
      <c r="G24" s="1"/>
      <c r="H24" s="10" t="str">
        <f>+_xll.BDP(K24,"SHORT_NAME")</f>
        <v>NESTLE SA-REG</v>
      </c>
      <c r="I24" s="10"/>
      <c r="K24" s="373" t="s">
        <v>688</v>
      </c>
      <c r="L24" s="374"/>
      <c r="N24" s="10" t="str">
        <f>+_xll.BDP(Q24,"SHORT_NAME")</f>
        <v>KIMBERLY-CLARK</v>
      </c>
      <c r="O24" s="10"/>
      <c r="Q24" s="373" t="s">
        <v>689</v>
      </c>
      <c r="R24" s="374"/>
    </row>
    <row r="25" spans="1:23" ht="15" customHeight="1">
      <c r="B25" s="10" t="str">
        <f>+_xll.BDP(E25,"SHORT_NAME")</f>
        <v>HORMEL FOODS CRP</v>
      </c>
      <c r="C25" s="10"/>
      <c r="E25" s="371" t="s">
        <v>690</v>
      </c>
      <c r="F25" s="372"/>
      <c r="G25" s="1"/>
      <c r="H25" s="10" t="str">
        <f>+_xll.BDP(K25,"SHORT_NAME")</f>
        <v>UNILEVER PLC</v>
      </c>
      <c r="I25" s="10"/>
      <c r="K25" s="371" t="s">
        <v>691</v>
      </c>
      <c r="L25" s="372"/>
      <c r="N25" s="10" t="str">
        <f>+_xll.BDP(Q25,"SHORT_NAME")</f>
        <v>COLGATE-PALMOLIV</v>
      </c>
      <c r="O25" s="10"/>
      <c r="Q25" s="371" t="s">
        <v>692</v>
      </c>
      <c r="R25" s="372"/>
    </row>
    <row r="26" spans="1:23" ht="15" customHeight="1">
      <c r="A26" s="4"/>
      <c r="B26" s="4"/>
      <c r="C26" s="4"/>
      <c r="D26" s="4"/>
      <c r="E26" s="4"/>
      <c r="F26" s="4"/>
      <c r="G26" s="4"/>
      <c r="H26" s="4"/>
      <c r="I26" s="4"/>
      <c r="J26" s="4"/>
      <c r="K26" s="4"/>
      <c r="L26" s="4"/>
      <c r="M26" s="4"/>
      <c r="N26" s="4"/>
      <c r="O26" s="4"/>
      <c r="P26" s="4"/>
      <c r="Q26" s="4"/>
      <c r="R26" s="4"/>
      <c r="S26" s="4"/>
      <c r="T26" s="4"/>
      <c r="U26" s="4"/>
      <c r="V26" s="4"/>
      <c r="W26" s="4"/>
    </row>
    <row r="27" spans="1:23" s="566" customFormat="1" ht="15" customHeight="1">
      <c r="B27" s="2" t="s">
        <v>4</v>
      </c>
      <c r="C27" s="2"/>
      <c r="D27" s="2"/>
      <c r="E27" s="2"/>
      <c r="F27" s="2"/>
      <c r="G27" s="2"/>
      <c r="H27" s="2"/>
      <c r="I27" s="2"/>
      <c r="J27" s="2"/>
      <c r="K27" s="2"/>
      <c r="L27" s="2"/>
      <c r="M27" s="2"/>
      <c r="N27" s="2"/>
      <c r="O27" s="2"/>
      <c r="P27" s="2"/>
      <c r="Q27" s="2"/>
      <c r="R27" s="2"/>
      <c r="S27" s="2"/>
      <c r="T27" s="2"/>
      <c r="U27" s="2"/>
    </row>
    <row r="28" spans="1:23" ht="3.95" customHeight="1">
      <c r="B28" s="38"/>
      <c r="C28" s="38"/>
      <c r="D28" s="38"/>
      <c r="E28" s="38"/>
      <c r="F28" s="38"/>
      <c r="G28" s="38"/>
      <c r="H28" s="38"/>
      <c r="I28" s="38"/>
      <c r="J28" s="38"/>
      <c r="K28" s="38"/>
      <c r="L28" s="38"/>
      <c r="M28" s="38"/>
      <c r="N28" s="38"/>
      <c r="O28" s="38"/>
      <c r="P28" s="38"/>
      <c r="Q28" s="38"/>
      <c r="R28" s="38"/>
      <c r="S28" s="38"/>
      <c r="T28" s="38"/>
      <c r="U28" s="38"/>
    </row>
    <row r="30" spans="1:23" ht="15" customHeight="1">
      <c r="B30" s="2" t="str">
        <f>S7&amp;" vs "&amp;R13</f>
        <v>CAL-MAINE FOODS vs SPX Index</v>
      </c>
      <c r="C30" s="2"/>
      <c r="D30" s="2"/>
      <c r="E30" s="2"/>
      <c r="F30" s="2"/>
      <c r="G30" s="2"/>
      <c r="H30" s="2"/>
      <c r="I30" s="2"/>
      <c r="J30" s="2"/>
      <c r="L30" s="2" t="s">
        <v>693</v>
      </c>
      <c r="M30" s="2"/>
      <c r="N30" s="2"/>
      <c r="O30" s="2"/>
      <c r="P30" s="2"/>
      <c r="Q30" s="2"/>
      <c r="R30" s="2"/>
      <c r="S30" s="2"/>
      <c r="T30" s="2"/>
      <c r="U30" s="2"/>
    </row>
    <row r="56" spans="1:23" s="566" customFormat="1" ht="15" customHeight="1">
      <c r="A56" s="12"/>
      <c r="B56" s="2" t="s">
        <v>652</v>
      </c>
      <c r="C56" s="2"/>
      <c r="D56" s="2"/>
      <c r="E56" s="2"/>
      <c r="F56" s="2"/>
      <c r="G56" s="2"/>
      <c r="H56" s="2"/>
      <c r="I56" s="2"/>
      <c r="J56" s="2"/>
      <c r="K56" s="2"/>
      <c r="L56" s="2"/>
      <c r="M56" s="2"/>
      <c r="N56" s="2"/>
      <c r="O56" s="2"/>
      <c r="P56" s="2"/>
      <c r="Q56" s="2"/>
      <c r="R56" s="2"/>
      <c r="S56" s="2"/>
      <c r="T56" s="2"/>
      <c r="U56" s="2"/>
      <c r="V56" s="2"/>
      <c r="W56" s="2"/>
    </row>
    <row r="57" spans="1:23" s="566" customFormat="1" ht="15" customHeight="1">
      <c r="A57" s="12"/>
      <c r="B57" s="2"/>
      <c r="C57" s="2"/>
      <c r="D57" s="2"/>
      <c r="E57" s="2"/>
      <c r="F57" s="2"/>
      <c r="G57" s="2"/>
      <c r="H57" s="2"/>
      <c r="I57" s="2"/>
      <c r="J57" s="2"/>
      <c r="K57" s="2"/>
      <c r="L57" s="2"/>
      <c r="M57" s="2"/>
      <c r="N57" s="2"/>
      <c r="O57" s="2"/>
      <c r="P57" s="2"/>
      <c r="Q57" s="2"/>
      <c r="R57" s="2"/>
      <c r="S57" s="2"/>
      <c r="T57" s="2"/>
      <c r="U57" s="2"/>
      <c r="V57" s="2"/>
      <c r="W57" s="2"/>
    </row>
    <row r="58" spans="1:23" s="566" customFormat="1" ht="15" customHeight="1">
      <c r="A58" s="12"/>
      <c r="B58" s="2"/>
      <c r="C58" s="2"/>
      <c r="D58" s="2"/>
      <c r="E58" s="2"/>
      <c r="F58" s="2"/>
      <c r="G58" s="2"/>
      <c r="H58" s="2"/>
      <c r="I58" s="2"/>
      <c r="J58" s="2"/>
      <c r="K58" s="2"/>
      <c r="L58" s="2"/>
      <c r="M58" s="2"/>
      <c r="N58" s="2"/>
      <c r="O58" s="2"/>
      <c r="P58" s="2"/>
      <c r="Q58" s="2"/>
      <c r="R58" s="2"/>
      <c r="S58" s="2"/>
      <c r="T58" s="2"/>
      <c r="U58" s="2"/>
      <c r="V58" s="2"/>
      <c r="W58" s="2"/>
    </row>
    <row r="59" spans="1:23" ht="3.95" customHeight="1">
      <c r="B59" s="38"/>
      <c r="C59" s="38"/>
      <c r="D59" s="38"/>
      <c r="E59" s="38"/>
      <c r="F59" s="38"/>
      <c r="G59" s="38"/>
      <c r="H59" s="38"/>
      <c r="I59" s="38"/>
      <c r="J59" s="38"/>
      <c r="K59" s="38"/>
      <c r="L59" s="38"/>
      <c r="M59" s="38"/>
      <c r="N59" s="38"/>
      <c r="O59" s="38"/>
      <c r="P59" s="38"/>
      <c r="Q59" s="38"/>
      <c r="R59" s="38"/>
      <c r="S59" s="38"/>
      <c r="T59" s="38"/>
      <c r="U59" s="38"/>
      <c r="V59" s="38"/>
      <c r="W59" s="38"/>
    </row>
    <row r="60" spans="1:23" ht="3.95" customHeight="1"/>
    <row r="61" spans="1:23" ht="15" customHeight="1">
      <c r="A61" s="13" t="str">
        <f>D13</f>
        <v>usd</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c r="A62" s="10" t="s">
        <v>33</v>
      </c>
      <c r="B62" s="368" t="str">
        <f>$D$15</f>
        <v>CALM US Equity</v>
      </c>
      <c r="C62" s="369"/>
      <c r="D62" s="369"/>
      <c r="E62" s="366">
        <v>2015</v>
      </c>
      <c r="F62" s="366">
        <f t="shared" ref="F62:N62" si="0">+E62+1</f>
        <v>2016</v>
      </c>
      <c r="G62" s="366">
        <f t="shared" si="0"/>
        <v>2017</v>
      </c>
      <c r="H62" s="366">
        <f t="shared" si="0"/>
        <v>2018</v>
      </c>
      <c r="I62" s="366">
        <f t="shared" si="0"/>
        <v>2019</v>
      </c>
      <c r="J62" s="366">
        <f t="shared" si="0"/>
        <v>2020</v>
      </c>
      <c r="K62" s="366">
        <f t="shared" si="0"/>
        <v>2021</v>
      </c>
      <c r="L62" s="366">
        <f t="shared" si="0"/>
        <v>2022</v>
      </c>
      <c r="M62" s="366">
        <f t="shared" si="0"/>
        <v>2023</v>
      </c>
      <c r="N62" s="366">
        <f t="shared" si="0"/>
        <v>2024</v>
      </c>
      <c r="O62" s="10"/>
      <c r="P62" s="3"/>
      <c r="Q62" s="3"/>
      <c r="R62" s="412" t="s">
        <v>301</v>
      </c>
      <c r="S62" s="567" t="s">
        <v>694</v>
      </c>
      <c r="T62" s="3"/>
      <c r="U62" s="412" t="s">
        <v>695</v>
      </c>
      <c r="V62" s="3"/>
      <c r="W62" s="412" t="s">
        <v>696</v>
      </c>
    </row>
    <row r="63" spans="1:23" ht="15" customHeight="1">
      <c r="A63" s="10"/>
      <c r="B63" s="10" t="s">
        <v>355</v>
      </c>
      <c r="C63" s="10"/>
      <c r="D63" s="10"/>
      <c r="E63" s="11">
        <f>_xll.BDH($B$62,"SALES_REV_TURN","FY "&amp;E$62,"FY "&amp;E$62,"Currency="&amp;$D$13,"Period=FY","BEST_FPERIOD_OVERRIDE=FY","FILING_STATUS=MR","SCALING_FORMAT="&amp;$D$14,"FA_ADJUSTED=Adjusted","Sort=A","Dates=H","DateFormat=P","Fill=0","Direction=H","UseDPDF=Y")</f>
        <v>1576128</v>
      </c>
      <c r="F63" s="11">
        <f>_xll.BDH($B$62,"SALES_REV_TURN","FY "&amp;F$62,"FY "&amp;F$62,"Currency="&amp;$D$13,"Period=FY","BEST_FPERIOD_OVERRIDE=FY","FILING_STATUS=MR","SCALING_FORMAT="&amp;$D$14,"FA_ADJUSTED=Adjusted","Sort=A","Dates=H","DateFormat=P","Fill=0","Direction=H","UseDPDF=Y")</f>
        <v>1908650</v>
      </c>
      <c r="G63" s="11">
        <f>_xll.BDH($B$62,"SALES_REV_TURN","FY "&amp;G$62,"FY "&amp;G$62,"Currency="&amp;$D$13,"Period=FY","BEST_FPERIOD_OVERRIDE=FY","FILING_STATUS=MR","SCALING_FORMAT="&amp;$D$14,"FA_ADJUSTED=Adjusted","Sort=A","Dates=H","DateFormat=P","Fill=0","Direction=H","UseDPDF=Y")</f>
        <v>1074513</v>
      </c>
      <c r="H63" s="11">
        <f>_xll.BDH($B$62,"SALES_REV_TURN","FY "&amp;H$62,"FY "&amp;H$62,"Currency="&amp;$D$13,"Period=FY","BEST_FPERIOD_OVERRIDE=FY","FILING_STATUS=MR","SCALING_FORMAT="&amp;$D$14,"FA_ADJUSTED=Adjusted","Sort=A","Dates=H","DateFormat=P","Fill=0","Direction=H","UseDPDF=Y")</f>
        <v>1502932</v>
      </c>
      <c r="I63" s="11">
        <f>_xll.BDH($B$62,"SALES_REV_TURN","FY "&amp;I$62,"FY "&amp;I$62,"Currency="&amp;$D$13,"Period=FY","BEST_FPERIOD_OVERRIDE=FY","FILING_STATUS=MR","SCALING_FORMAT="&amp;$D$14,"FA_ADJUSTED=Adjusted","Sort=A","Dates=H","DateFormat=P","Fill=0","Direction=H","UseDPDF=Y")</f>
        <v>1361188</v>
      </c>
      <c r="J63" s="11">
        <f>_xll.BDH($B$62,"SALES_REV_TURN","FY "&amp;J$62,"FY "&amp;J$62,"Currency="&amp;$D$13,"Period=FY","BEST_FPERIOD_OVERRIDE=FY","FILING_STATUS=MR","SCALING_FORMAT="&amp;$D$14,"FA_ADJUSTED=Adjusted","Sort=A","Dates=H","DateFormat=P","Fill=0","Direction=H","UseDPDF=Y")</f>
        <v>1351609</v>
      </c>
      <c r="K63" s="11">
        <f>_xll.BDH($B$62,"SALES_REV_TURN","FY "&amp;K$62,"FY "&amp;K$62,"Currency="&amp;$D$13,"Period=FY","BEST_FPERIOD_OVERRIDE=FY","FILING_STATUS=MR","SCALING_FORMAT="&amp;$D$14,"FA_ADJUSTED=Adjusted","Sort=A","Dates=H","DateFormat=P","Fill=0","Direction=H","UseDPDF=Y")</f>
        <v>1348987</v>
      </c>
      <c r="L63" s="11">
        <f>_xll.BDH($B$62,"SALES_REV_TURN","FY "&amp;L$62,"FY "&amp;L$62,"Currency="&amp;$D$13,"Period=FY","BEST_FPERIOD_OVERRIDE=FY","FILING_STATUS=MR","SCALING_FORMAT="&amp;$D$14,"FA_ADJUSTED=Adjusted","Sort=A","Dates=H","DateFormat=P","Fill=0","Direction=H","UseDPDF=Y")</f>
        <v>1777159</v>
      </c>
      <c r="M63" s="11">
        <f>_xll.BDH($B$62,"SALES_REV_TURN","FY "&amp;M$62,"FY "&amp;M$62,"Currency="&amp;$D$13,"Period=FY","BEST_FPERIOD_OVERRIDE=FY","FILING_STATUS=MR","SCALING_FORMAT="&amp;$D$14,"FA_ADJUSTED=Adjusted","Sort=A","Dates=H","DateFormat=P","Fill=0","Direction=H","UseDPDF=Y")</f>
        <v>3146217</v>
      </c>
      <c r="N63" s="11">
        <f>_xll.BDH($B$62,"SALES_REV_TURN","FY "&amp;N$62,"FY "&amp;N$62,"Currency="&amp;$D$13,"Period=FY","BEST_FPERIOD_OVERRIDE=FY","FILING_STATUS=MR","SCALING_FORMAT="&amp;$D$14,"FA_ADJUSTED=Adjusted","Sort=A","Dates=H","DateFormat=P","Fill=0","Direction=H","UseDPDF=Y")</f>
        <v>2326443</v>
      </c>
      <c r="O63" s="10"/>
      <c r="P63" s="10"/>
      <c r="Q63" s="15">
        <f ca="1">TODAY()</f>
        <v>45940</v>
      </c>
      <c r="R63" s="304">
        <f ca="1">IFERROR(VALUE(_xll.BDH(Inputs!$D$16, "PX_OFFICIAL_CLOSE", $Q63, $Q63)),R64)</f>
        <v>0</v>
      </c>
      <c r="S63" s="304">
        <f ca="1">IFERROR(VALUE(_xll.BDH(Inputs!$D$15, "EQY_SH_OUT", $Q63, $Q63,"SCALING_FORMAT="&amp;Inputs!$R$18)),S64)</f>
        <v>0</v>
      </c>
      <c r="U63" s="411">
        <f t="shared" ref="U63:U70" ca="1" si="1">R63*S63</f>
        <v>0</v>
      </c>
      <c r="W63" s="354">
        <f ca="1">IFERROR(VALUE(_xll.BDH(Inputs!$D$15, "PX_TO_SALES_RATIO", $Q63, $Q63)),W64)</f>
        <v>0</v>
      </c>
    </row>
    <row r="64" spans="1:23" ht="15" customHeight="1">
      <c r="A64" s="10"/>
      <c r="B64" s="10" t="s">
        <v>697</v>
      </c>
      <c r="C64" s="10"/>
      <c r="D64" s="10"/>
      <c r="E64" s="11">
        <f>_xll.BDH($B$62,"IS_OPER_INC","FY "&amp;E$62,"FY "&amp;E$62,"Currency="&amp;$D$13,"Period=FY","BEST_FPERIOD_OVERRIDE=FY","FILING_STATUS=MR","SCALING_FORMAT="&amp;$D$14,"FA_ADJUSTED=Adjusted","Sort=A","Dates=H","DateFormat=P","Fill=0","Direction=H","UseDPDF=Y")</f>
        <v>236082</v>
      </c>
      <c r="F64" s="11">
        <f>_xll.BDH($B$62,"IS_OPER_INC","FY "&amp;F$62,"FY "&amp;F$62,"Currency="&amp;$D$13,"Period=FY","BEST_FPERIOD_OVERRIDE=FY","FILING_STATUS=MR","SCALING_FORMAT="&amp;$D$14,"FA_ADJUSTED=Adjusted","Sort=A","Dates=H","DateFormat=P","Fill=0","Direction=H","UseDPDF=Y")</f>
        <v>472751</v>
      </c>
      <c r="G64" s="11">
        <f>_xll.BDH($B$62,"IS_OPER_INC","FY "&amp;G$62,"FY "&amp;G$62,"Currency="&amp;$D$13,"Period=FY","BEST_FPERIOD_OVERRIDE=FY","FILING_STATUS=MR","SCALING_FORMAT="&amp;$D$14,"FA_ADJUSTED=Adjusted","Sort=A","Dates=H","DateFormat=P","Fill=0","Direction=H","UseDPDF=Y")</f>
        <v>-128430</v>
      </c>
      <c r="H64" s="11">
        <f>_xll.BDH($B$62,"IS_OPER_INC","FY "&amp;H$62,"FY "&amp;H$62,"Currency="&amp;$D$13,"Period=FY","BEST_FPERIOD_OVERRIDE=FY","FILING_STATUS=MR","SCALING_FORMAT="&amp;$D$14,"FA_ADJUSTED=Adjusted","Sort=A","Dates=H","DateFormat=P","Fill=0","Direction=H","UseDPDF=Y")</f>
        <v>181730</v>
      </c>
      <c r="I64" s="11">
        <f>_xll.BDH($B$62,"IS_OPER_INC","FY "&amp;I$62,"FY "&amp;I$62,"Currency="&amp;$D$13,"Period=FY","BEST_FPERIOD_OVERRIDE=FY","FILING_STATUS=MR","SCALING_FORMAT="&amp;$D$14,"FA_ADJUSTED=Adjusted","Sort=A","Dates=H","DateFormat=P","Fill=0","Direction=H","UseDPDF=Y")</f>
        <v>48064</v>
      </c>
      <c r="J64" s="11">
        <f>_xll.BDH($B$62,"IS_OPER_INC","FY "&amp;J$62,"FY "&amp;J$62,"Currency="&amp;$D$13,"Period=FY","BEST_FPERIOD_OVERRIDE=FY","FILING_STATUS=MR","SCALING_FORMAT="&amp;$D$14,"FA_ADJUSTED=Adjusted","Sort=A","Dates=H","DateFormat=P","Fill=0","Direction=H","UseDPDF=Y")</f>
        <v>6270</v>
      </c>
      <c r="K64" s="11">
        <f>_xll.BDH($B$62,"IS_OPER_INC","FY "&amp;K$62,"FY "&amp;K$62,"Currency="&amp;$D$13,"Period=FY","BEST_FPERIOD_OVERRIDE=FY","FILING_STATUS=MR","SCALING_FORMAT="&amp;$D$14,"FA_ADJUSTED=Adjusted","Sort=A","Dates=H","DateFormat=P","Fill=0","Direction=H","UseDPDF=Y")</f>
        <v>-23282</v>
      </c>
      <c r="L64" s="11">
        <f>_xll.BDH($B$62,"IS_OPER_INC","FY "&amp;L$62,"FY "&amp;L$62,"Currency="&amp;$D$13,"Period=FY","BEST_FPERIOD_OVERRIDE=FY","FILING_STATUS=MR","SCALING_FORMAT="&amp;$D$14,"FA_ADJUSTED=Adjusted","Sort=A","Dates=H","DateFormat=P","Fill=0","Direction=H","UseDPDF=Y")</f>
        <v>138428</v>
      </c>
      <c r="M64" s="11">
        <f>_xll.BDH($B$62,"IS_OPER_INC","FY "&amp;M$62,"FY "&amp;M$62,"Currency="&amp;$D$13,"Period=FY","BEST_FPERIOD_OVERRIDE=FY","FILING_STATUS=MR","SCALING_FORMAT="&amp;$D$14,"FA_ADJUSTED=Adjusted","Sort=A","Dates=H","DateFormat=P","Fill=0","Direction=H","UseDPDF=Y")</f>
        <v>964250</v>
      </c>
      <c r="N64" s="11">
        <f>_xll.BDH($B$62,"IS_OPER_INC","FY "&amp;N$62,"FY "&amp;N$62,"Currency="&amp;$D$13,"Period=FY","BEST_FPERIOD_OVERRIDE=FY","FILING_STATUS=MR","SCALING_FORMAT="&amp;$D$14,"FA_ADJUSTED=Adjusted","Sort=A","Dates=H","DateFormat=P","Fill=0","Direction=H","UseDPDF=Y")</f>
        <v>288946</v>
      </c>
      <c r="O64" s="10"/>
      <c r="P64" s="10"/>
      <c r="Q64" s="303">
        <f t="shared" ref="Q64:Q70" ca="1" si="2">Q63-1</f>
        <v>45939</v>
      </c>
      <c r="R64" s="304">
        <f ca="1">IFERROR(VALUE(_xll.BDH(Inputs!$D$16, "PX_OFFICIAL_CLOSE", $Q64, $Q64)),R65)</f>
        <v>0</v>
      </c>
      <c r="S64" s="304">
        <f ca="1">IFERROR(VALUE(_xll.BDH(Inputs!$D$15, "EQY_SH_OUT", $Q64, $Q64,"SCALING_FORMAT="&amp;Inputs!$R$18)),S65)</f>
        <v>0</v>
      </c>
      <c r="U64" s="411">
        <f t="shared" ca="1" si="1"/>
        <v>0</v>
      </c>
      <c r="W64" s="354">
        <f ca="1">IFERROR(VALUE(_xll.BDH(Inputs!$D$15, "PX_TO_SALES_RATIO", $Q64, $Q64)),W65)</f>
        <v>0</v>
      </c>
    </row>
    <row r="65" spans="1:23" ht="15" customHeight="1">
      <c r="A65" s="10"/>
      <c r="B65" s="10" t="s">
        <v>238</v>
      </c>
      <c r="C65" s="10"/>
      <c r="D65" s="10"/>
      <c r="E65" s="14">
        <f>_xll.BDP($B$62,"RETURN_ON_INV_CAPITAL","EQY_FUND_YEAR="&amp;E$62)/100</f>
        <v>0.20328769156199777</v>
      </c>
      <c r="F65" s="14">
        <f>_xll.BDP($B$62,"RETURN_ON_INV_CAPITAL","EQY_FUND_YEAR="&amp;F$62)/100</f>
        <v>0.32723773474842316</v>
      </c>
      <c r="G65" s="14">
        <f>_xll.BDP($B$62,"RETURN_ON_INV_CAPITAL","EQY_FUND_YEAR="&amp;G$62)/100</f>
        <v>-8.5776554255563214E-2</v>
      </c>
      <c r="H65" s="14">
        <f>_xll.BDP($B$62,"RETURN_ON_INV_CAPITAL","EQY_FUND_YEAR="&amp;H$62)/100</f>
        <v>0.11305036650918733</v>
      </c>
      <c r="I65" s="14">
        <f>_xll.BDP($B$62,"RETURN_ON_INV_CAPITAL","EQY_FUND_YEAR="&amp;I$62)/100</f>
        <v>3.3421384505084535E-2</v>
      </c>
      <c r="J65" s="14">
        <f>_xll.BDP($B$62,"RETURN_ON_INV_CAPITAL","EQY_FUND_YEAR="&amp;J$62)/100</f>
        <v>1.0630116338566612E-3</v>
      </c>
      <c r="K65" s="14">
        <f>_xll.BDP($B$62,"RETURN_ON_INV_CAPITAL","EQY_FUND_YEAR="&amp;K$62)/100</f>
        <v>-9.6818551438864822E-3</v>
      </c>
      <c r="L65" s="14">
        <f>_xll.BDP($B$62,"RETURN_ON_INV_CAPITAL","EQY_FUND_YEAR="&amp;L$62)/100</f>
        <v>9.5821967677289788E-2</v>
      </c>
      <c r="M65" s="14">
        <f>_xll.BDP($B$62,"RETURN_ON_INV_CAPITAL","EQY_FUND_YEAR="&amp;M$62)/100</f>
        <v>0.48402114337501101</v>
      </c>
      <c r="N65" s="14">
        <f>_xll.BDP($B$62,"RETURN_ON_INV_CAPITAL","EQY_FUND_YEAR="&amp;N$62)/100</f>
        <v>0.12774879107553402</v>
      </c>
      <c r="O65" s="10"/>
      <c r="P65" s="10"/>
      <c r="Q65" s="303">
        <f t="shared" ca="1" si="2"/>
        <v>45938</v>
      </c>
      <c r="R65" s="304">
        <f ca="1">IFERROR(VALUE(_xll.BDH(Inputs!$D$16, "PX_OFFICIAL_CLOSE", $Q65, $Q65)),R66)</f>
        <v>0</v>
      </c>
      <c r="S65" s="304">
        <f ca="1">IFERROR(VALUE(_xll.BDH(Inputs!$D$15, "EQY_SH_OUT", $Q65, $Q65,"SCALING_FORMAT="&amp;Inputs!$R$18)),S66)</f>
        <v>0</v>
      </c>
      <c r="U65" s="411">
        <f t="shared" ca="1" si="1"/>
        <v>0</v>
      </c>
      <c r="W65" s="354">
        <f ca="1">IFERROR(VALUE(_xll.BDH(Inputs!$D$15, "PX_TO_SALES_RATIO", $Q65, $Q65)),W66)</f>
        <v>0</v>
      </c>
    </row>
    <row r="66" spans="1:23" ht="15" customHeight="1">
      <c r="A66" s="10"/>
      <c r="B66" s="10" t="s">
        <v>339</v>
      </c>
      <c r="C66" s="10"/>
      <c r="D66" s="10"/>
      <c r="E66" s="14">
        <f>_xll.BDP($B$62,"wacc","EQY_FUND_YEAR="&amp;E$62)/100</f>
        <v>0.10556218686761869</v>
      </c>
      <c r="F66" s="14">
        <f>_xll.BDP($B$62,"wacc","EQY_FUND_YEAR="&amp;F$62)/100</f>
        <v>9.2993726482451994E-2</v>
      </c>
      <c r="G66" s="14">
        <f>_xll.BDP($B$62,"wacc","EQY_FUND_YEAR="&amp;G$62)/100</f>
        <v>7.8199895597307972E-2</v>
      </c>
      <c r="H66" s="14">
        <f>_xll.BDP($B$62,"wacc","EQY_FUND_YEAR="&amp;H$62)/100</f>
        <v>7.2176626495578947E-2</v>
      </c>
      <c r="I66" s="14">
        <f>_xll.BDP($B$62,"wacc","EQY_FUND_YEAR="&amp;I$62)/100</f>
        <v>7.1869177134285422E-2</v>
      </c>
      <c r="J66" s="14">
        <f>_xll.BDP($B$62,"wacc","EQY_FUND_YEAR="&amp;J$62)/100</f>
        <v>4.6752224950433297E-2</v>
      </c>
      <c r="K66" s="14">
        <f>_xll.BDP($B$62,"wacc","EQY_FUND_YEAR="&amp;K$62)/100</f>
        <v>5.4445907675955627E-2</v>
      </c>
      <c r="L66" s="14">
        <f>_xll.BDP($B$62,"wacc","EQY_FUND_YEAR="&amp;L$62)/100</f>
        <v>7.8147484733973385E-2</v>
      </c>
      <c r="M66" s="14">
        <f>_xll.BDP($B$62,"wacc","EQY_FUND_YEAR="&amp;M$62)/100</f>
        <v>7.2814102716755563E-2</v>
      </c>
      <c r="N66" s="14">
        <f>_xll.BDP($B$62,"wacc","EQY_FUND_YEAR="&amp;N$62)/100</f>
        <v>7.022618183603456E-2</v>
      </c>
      <c r="O66" s="10"/>
      <c r="P66" s="10"/>
      <c r="Q66" s="303">
        <f t="shared" ca="1" si="2"/>
        <v>45937</v>
      </c>
      <c r="R66" s="304">
        <f ca="1">IFERROR(VALUE(_xll.BDH(Inputs!$D$16, "PX_OFFICIAL_CLOSE", $Q66, $Q66)),R67)</f>
        <v>0</v>
      </c>
      <c r="S66" s="304">
        <f ca="1">IFERROR(VALUE(_xll.BDH(Inputs!$D$15, "EQY_SH_OUT", $Q66, $Q66,"SCALING_FORMAT="&amp;Inputs!$R$18)),S67)</f>
        <v>0</v>
      </c>
      <c r="U66" s="411">
        <f t="shared" ca="1" si="1"/>
        <v>0</v>
      </c>
      <c r="W66" s="354">
        <f ca="1">IFERROR(VALUE(_xll.BDH(Inputs!$D$15, "PX_TO_SALES_RATIO", $Q66, $Q66)),W67)</f>
        <v>0</v>
      </c>
    </row>
    <row r="67" spans="1:23" ht="15" customHeight="1">
      <c r="A67" s="10"/>
      <c r="B67" s="10" t="s">
        <v>698</v>
      </c>
      <c r="C67" s="10"/>
      <c r="D67" s="10"/>
      <c r="E67" s="11">
        <f>_xll.BDH($B$62,"ACQUIS_OF_FIXED_INTANG","FY "&amp;E$62,"FY "&amp;E$62,"Currency="&amp;$D$13,"Period=FY","BEST_FPERIOD_OVERRIDE=FY","FILING_STATUS=MR","SCALING_FORMAT="&amp;$D$14,"FA_ADJUSTED=Adjusted","Sort=A","Dates=H","DateFormat=P","Fill=0","Direction=H","UseDPDF=Y")</f>
        <v>-82263</v>
      </c>
      <c r="F67" s="11">
        <f>_xll.BDH($B$62,"ACQUIS_OF_FIXED_INTANG","FY "&amp;F$62,"FY "&amp;F$62,"Currency="&amp;$D$13,"Period=FY","BEST_FPERIOD_OVERRIDE=FY","FILING_STATUS=MR","SCALING_FORMAT="&amp;$D$14,"FA_ADJUSTED=Adjusted","Sort=A","Dates=H","DateFormat=P","Fill=0","Direction=H","UseDPDF=Y")</f>
        <v>-76125</v>
      </c>
      <c r="G67" s="11">
        <f>_xll.BDH($B$62,"ACQUIS_OF_FIXED_INTANG","FY "&amp;G$62,"FY "&amp;G$62,"Currency="&amp;$D$13,"Period=FY","BEST_FPERIOD_OVERRIDE=FY","FILING_STATUS=MR","SCALING_FORMAT="&amp;$D$14,"FA_ADJUSTED=Adjusted","Sort=A","Dates=H","DateFormat=P","Fill=0","Direction=H","UseDPDF=Y")</f>
        <v>-66657</v>
      </c>
      <c r="H67" s="11">
        <f>_xll.BDH($B$62,"ACQUIS_OF_FIXED_INTANG","FY "&amp;H$62,"FY "&amp;H$62,"Currency="&amp;$D$13,"Period=FY","BEST_FPERIOD_OVERRIDE=FY","FILING_STATUS=MR","SCALING_FORMAT="&amp;$D$14,"FA_ADJUSTED=Adjusted","Sort=A","Dates=H","DateFormat=P","Fill=0","Direction=H","UseDPDF=Y")</f>
        <v>-19671</v>
      </c>
      <c r="I67" s="11">
        <f>_xll.BDH($B$62,"ACQUIS_OF_FIXED_INTANG","FY "&amp;I$62,"FY "&amp;I$62,"Currency="&amp;$D$13,"Period=FY","BEST_FPERIOD_OVERRIDE=FY","FILING_STATUS=MR","SCALING_FORMAT="&amp;$D$14,"FA_ADJUSTED=Adjusted","Sort=A","Dates=H","DateFormat=P","Fill=0","Direction=H","UseDPDF=Y")</f>
        <v>-67989</v>
      </c>
      <c r="J67" s="11">
        <f>_xll.BDH($B$62,"ACQUIS_OF_FIXED_INTANG","FY "&amp;J$62,"FY "&amp;J$62,"Currency="&amp;$D$13,"Period=FY","BEST_FPERIOD_OVERRIDE=FY","FILING_STATUS=MR","SCALING_FORMAT="&amp;$D$14,"FA_ADJUSTED=Adjusted","Sort=A","Dates=H","DateFormat=P","Fill=0","Direction=H","UseDPDF=Y")</f>
        <v>-124178</v>
      </c>
      <c r="K67" s="11">
        <f>_xll.BDH($B$62,"ACQUIS_OF_FIXED_INTANG","FY "&amp;K$62,"FY "&amp;K$62,"Currency="&amp;$D$13,"Period=FY","BEST_FPERIOD_OVERRIDE=FY","FILING_STATUS=MR","SCALING_FORMAT="&amp;$D$14,"FA_ADJUSTED=Adjusted","Sort=A","Dates=H","DateFormat=P","Fill=0","Direction=H","UseDPDF=Y")</f>
        <v>-95069</v>
      </c>
      <c r="L67" s="11">
        <f>_xll.BDH($B$62,"ACQUIS_OF_FIXED_INTANG","FY "&amp;L$62,"FY "&amp;L$62,"Currency="&amp;$D$13,"Period=FY","BEST_FPERIOD_OVERRIDE=FY","FILING_STATUS=MR","SCALING_FORMAT="&amp;$D$14,"FA_ADJUSTED=Adjusted","Sort=A","Dates=H","DateFormat=P","Fill=0","Direction=H","UseDPDF=Y")</f>
        <v>-72399</v>
      </c>
      <c r="M67" s="11">
        <f>_xll.BDH($B$62,"ACQUIS_OF_FIXED_INTANG","FY "&amp;M$62,"FY "&amp;M$62,"Currency="&amp;$D$13,"Period=FY","BEST_FPERIOD_OVERRIDE=FY","FILING_STATUS=MR","SCALING_FORMAT="&amp;$D$14,"FA_ADJUSTED=Adjusted","Sort=A","Dates=H","DateFormat=P","Fill=0","Direction=H","UseDPDF=Y")</f>
        <v>-136569</v>
      </c>
      <c r="N67" s="11">
        <f>_xll.BDH($B$62,"ACQUIS_OF_FIXED_INTANG","FY "&amp;N$62,"FY "&amp;N$62,"Currency="&amp;$D$13,"Period=FY","BEST_FPERIOD_OVERRIDE=FY","FILING_STATUS=MR","SCALING_FORMAT="&amp;$D$14,"FA_ADJUSTED=Adjusted","Sort=A","Dates=H","DateFormat=P","Fill=0","Direction=H","UseDPDF=Y")</f>
        <v>-147116</v>
      </c>
      <c r="O67" s="10"/>
      <c r="P67" s="10"/>
      <c r="Q67" s="303">
        <f t="shared" ca="1" si="2"/>
        <v>45936</v>
      </c>
      <c r="R67" s="304">
        <f ca="1">IFERROR(VALUE(_xll.BDH(Inputs!$D$16, "PX_OFFICIAL_CLOSE", $Q67, $Q67)),R68)</f>
        <v>0</v>
      </c>
      <c r="S67" s="304">
        <f ca="1">IFERROR(VALUE(_xll.BDH(Inputs!$D$15, "EQY_SH_OUT", $Q67, $Q67,"SCALING_FORMAT="&amp;Inputs!$R$18)),S68)</f>
        <v>0</v>
      </c>
      <c r="U67" s="411">
        <f t="shared" ca="1" si="1"/>
        <v>0</v>
      </c>
      <c r="W67" s="354">
        <f ca="1">IFERROR(VALUE(_xll.BDH(Inputs!$D$15, "PX_TO_SALES_RATIO", $Q67, $Q67)),W68)</f>
        <v>0</v>
      </c>
    </row>
    <row r="68" spans="1:23" ht="15" customHeight="1">
      <c r="A68" s="10"/>
      <c r="B68" s="10" t="s">
        <v>699</v>
      </c>
      <c r="C68" s="10"/>
      <c r="D68" s="10"/>
      <c r="E68" s="14">
        <f>_xll.BDH($B$62,"TOT_DEBT_TO_TOT_EQY","FY "&amp;E$62,"FY "&amp;E$62,"Currency="&amp;$D$13,"Period=FY","BEST_FPERIOD_OVERRIDE=FY","FILING_STATUS=MR","SCALING_FORMAT="&amp;$D$14,"FA_ADJUSTED=Adjusted","Sort=A","Dates=H","DateFormat=P","Fill=0","Direction=H","UseDPDF=Y")/100</f>
        <v>7.2187000000000001E-2</v>
      </c>
      <c r="F68" s="14">
        <f>_xll.BDH($B$62,"TOT_DEBT_TO_TOT_EQY","FY "&amp;F$62,"FY "&amp;F$62,"Currency="&amp;$D$13,"Period=FY","BEST_FPERIOD_OVERRIDE=FY","FILING_STATUS=MR","SCALING_FORMAT="&amp;$D$14,"FA_ADJUSTED=Adjusted","Sort=A","Dates=H","DateFormat=P","Fill=0","Direction=H","UseDPDF=Y")/100</f>
        <v>2.7873000000000002E-2</v>
      </c>
      <c r="G68" s="14">
        <f>_xll.BDH($B$62,"TOT_DEBT_TO_TOT_EQY","FY "&amp;G$62,"FY "&amp;G$62,"Currency="&amp;$D$13,"Period=FY","BEST_FPERIOD_OVERRIDE=FY","FILING_STATUS=MR","SCALING_FORMAT="&amp;$D$14,"FA_ADJUSTED=Adjusted","Sort=A","Dates=H","DateFormat=P","Fill=0","Direction=H","UseDPDF=Y")/100</f>
        <v>1.2952999999999999E-2</v>
      </c>
      <c r="H68" s="14">
        <f>_xll.BDH($B$62,"TOT_DEBT_TO_TOT_EQY","FY "&amp;H$62,"FY "&amp;H$62,"Currency="&amp;$D$13,"Period=FY","BEST_FPERIOD_OVERRIDE=FY","FILING_STATUS=MR","SCALING_FORMAT="&amp;$D$14,"FA_ADJUSTED=Adjusted","Sort=A","Dates=H","DateFormat=P","Fill=0","Direction=H","UseDPDF=Y")/100</f>
        <v>6.3720000000000001E-3</v>
      </c>
      <c r="I68" s="14">
        <f>_xll.BDH($B$62,"TOT_DEBT_TO_TOT_EQY","FY "&amp;I$62,"FY "&amp;I$62,"Currency="&amp;$D$13,"Period=FY","BEST_FPERIOD_OVERRIDE=FY","FILING_STATUS=MR","SCALING_FORMAT="&amp;$D$14,"FA_ADJUSTED=Adjusted","Sort=A","Dates=H","DateFormat=P","Fill=0","Direction=H","UseDPDF=Y")/100</f>
        <v>2.3610000000000003E-3</v>
      </c>
      <c r="J68" s="14">
        <f>_xll.BDH($B$62,"TOT_DEBT_TO_TOT_EQY","FY "&amp;J$62,"FY "&amp;J$62,"Currency="&amp;$D$13,"Period=FY","BEST_FPERIOD_OVERRIDE=FY","FILING_STATUS=MR","SCALING_FORMAT="&amp;$D$14,"FA_ADJUSTED=Adjusted","Sort=A","Dates=H","DateFormat=P","Fill=0","Direction=H","UseDPDF=Y")/100</f>
        <v>3.356E-3</v>
      </c>
      <c r="K68" s="14">
        <f>_xll.BDH($B$62,"TOT_DEBT_TO_TOT_EQY","FY "&amp;K$62,"FY "&amp;K$62,"Currency="&amp;$D$13,"Period=FY","BEST_FPERIOD_OVERRIDE=FY","FILING_STATUS=MR","SCALING_FORMAT="&amp;$D$14,"FA_ADJUSTED=Adjusted","Sort=A","Dates=H","DateFormat=P","Fill=0","Direction=H","UseDPDF=Y")/100</f>
        <v>2.3480000000000003E-3</v>
      </c>
      <c r="L68" s="14">
        <f>_xll.BDH($B$62,"TOT_DEBT_TO_TOT_EQY","FY "&amp;L$62,"FY "&amp;L$62,"Currency="&amp;$D$13,"Period=FY","BEST_FPERIOD_OVERRIDE=FY","FILING_STATUS=MR","SCALING_FORMAT="&amp;$D$14,"FA_ADJUSTED=Adjusted","Sort=A","Dates=H","DateFormat=P","Fill=0","Direction=H","UseDPDF=Y")/100</f>
        <v>1.307E-3</v>
      </c>
      <c r="M68" s="14">
        <f>_xll.BDH($B$62,"TOT_DEBT_TO_TOT_EQY","FY "&amp;M$62,"FY "&amp;M$62,"Currency="&amp;$D$13,"Period=FY","BEST_FPERIOD_OVERRIDE=FY","FILING_STATUS=MR","SCALING_FORMAT="&amp;$D$14,"FA_ADJUSTED=Adjusted","Sort=A","Dates=H","DateFormat=P","Fill=0","Direction=H","UseDPDF=Y")/100</f>
        <v>0</v>
      </c>
      <c r="N68" s="14">
        <f>_xll.BDH($B$62,"TOT_DEBT_TO_TOT_EQY","FY "&amp;N$62,"FY "&amp;N$62,"Currency="&amp;$D$13,"Period=FY","BEST_FPERIOD_OVERRIDE=FY","FILING_STATUS=MR","SCALING_FORMAT="&amp;$D$14,"FA_ADJUSTED=Adjusted","Sort=A","Dates=H","DateFormat=P","Fill=0","Direction=H","UseDPDF=Y")/100</f>
        <v>0</v>
      </c>
      <c r="O68" s="10"/>
      <c r="P68" s="10"/>
      <c r="Q68" s="303">
        <f t="shared" ca="1" si="2"/>
        <v>45935</v>
      </c>
      <c r="R68" s="304">
        <f ca="1">IFERROR(VALUE(_xll.BDH(Inputs!$D$16, "PX_OFFICIAL_CLOSE", $Q68, $Q68)),R69)</f>
        <v>0</v>
      </c>
      <c r="S68" s="304">
        <f ca="1">IFERROR(VALUE(_xll.BDH(Inputs!$D$15, "EQY_SH_OUT", $Q68, $Q68,"SCALING_FORMAT="&amp;Inputs!$R$18)),S69)</f>
        <v>0</v>
      </c>
      <c r="U68" s="411">
        <f t="shared" ca="1" si="1"/>
        <v>0</v>
      </c>
      <c r="W68" s="354">
        <f ca="1">IFERROR(VALUE(_xll.BDH(Inputs!$D$15, "PX_TO_SALES_RATIO", $Q68, $Q68)),W69)</f>
        <v>0</v>
      </c>
    </row>
    <row r="69" spans="1:23" ht="15" customHeight="1">
      <c r="A69" s="10"/>
      <c r="B69" s="10" t="s">
        <v>700</v>
      </c>
      <c r="C69" s="10"/>
      <c r="D69" s="10"/>
      <c r="E69" s="14">
        <f t="shared" ref="E69:N69" si="3">+E64/E63</f>
        <v>0.14978605798513828</v>
      </c>
      <c r="F69" s="14">
        <f t="shared" si="3"/>
        <v>0.24768868048096823</v>
      </c>
      <c r="G69" s="14">
        <f t="shared" si="3"/>
        <v>-0.1195239145547797</v>
      </c>
      <c r="H69" s="14">
        <f t="shared" si="3"/>
        <v>0.1209169809412535</v>
      </c>
      <c r="I69" s="14">
        <f t="shared" si="3"/>
        <v>3.531033185717182E-2</v>
      </c>
      <c r="J69" s="14">
        <f t="shared" si="3"/>
        <v>4.6389155443623117E-3</v>
      </c>
      <c r="K69" s="14">
        <f t="shared" si="3"/>
        <v>-1.7258876475458991E-2</v>
      </c>
      <c r="L69" s="14">
        <f t="shared" si="3"/>
        <v>7.7892861584135123E-2</v>
      </c>
      <c r="M69" s="14">
        <f t="shared" si="3"/>
        <v>0.30647917800965413</v>
      </c>
      <c r="N69" s="14">
        <f t="shared" si="3"/>
        <v>0.12420076485862752</v>
      </c>
      <c r="O69" s="10"/>
      <c r="P69" s="10"/>
      <c r="Q69" s="303">
        <f t="shared" ca="1" si="2"/>
        <v>45934</v>
      </c>
      <c r="R69" s="304">
        <f ca="1">IFERROR(VALUE(_xll.BDH(Inputs!$D$16, "PX_OFFICIAL_CLOSE", $Q69, $Q69)),R70)</f>
        <v>0</v>
      </c>
      <c r="S69" s="304">
        <f ca="1">IFERROR(VALUE(_xll.BDH(Inputs!$D$15, "EQY_SH_OUT", $Q69, $Q69,"SCALING_FORMAT="&amp;Inputs!$R$18)),S70)</f>
        <v>0</v>
      </c>
      <c r="U69" s="411">
        <f t="shared" ca="1" si="1"/>
        <v>0</v>
      </c>
      <c r="W69" s="354">
        <f ca="1">IFERROR(VALUE(_xll.BDH(Inputs!$D$15, "PX_TO_SALES_RATIO", $Q69, $Q69)),W70)</f>
        <v>0</v>
      </c>
    </row>
    <row r="70" spans="1:23" ht="15" customHeight="1">
      <c r="A70" s="10"/>
      <c r="B70" s="10" t="s">
        <v>701</v>
      </c>
      <c r="C70" s="10"/>
      <c r="D70" s="10"/>
      <c r="E70" s="367">
        <f t="shared" ref="E70:N70" si="4">+E65/E66</f>
        <v>1.9257624116572418</v>
      </c>
      <c r="F70" s="367">
        <f t="shared" si="4"/>
        <v>3.5189226964699949</v>
      </c>
      <c r="G70" s="367">
        <f t="shared" si="4"/>
        <v>-1.0968883474892526</v>
      </c>
      <c r="H70" s="367">
        <f t="shared" si="4"/>
        <v>1.5663016131144898</v>
      </c>
      <c r="I70" s="367">
        <f t="shared" si="4"/>
        <v>0.46503084963165325</v>
      </c>
      <c r="J70" s="367">
        <f t="shared" si="4"/>
        <v>2.2737134649391894E-2</v>
      </c>
      <c r="K70" s="367">
        <f t="shared" si="4"/>
        <v>-0.17782521326505826</v>
      </c>
      <c r="L70" s="367">
        <f t="shared" si="4"/>
        <v>1.2261682894015487</v>
      </c>
      <c r="M70" s="367">
        <f t="shared" si="4"/>
        <v>6.6473543629018836</v>
      </c>
      <c r="N70" s="367">
        <f t="shared" si="4"/>
        <v>1.8191048941519328</v>
      </c>
      <c r="O70" s="10"/>
      <c r="P70" s="10"/>
      <c r="Q70" s="303">
        <f t="shared" ca="1" si="2"/>
        <v>45933</v>
      </c>
      <c r="R70" s="304">
        <f ca="1">IFERROR(VALUE(_xll.BDH(Inputs!$D$16, "PX_OFFICIAL_CLOSE", $Q70, $Q70)),R71)</f>
        <v>0</v>
      </c>
      <c r="S70" s="304">
        <f ca="1">IFERROR(VALUE(_xll.BDH(Inputs!$D$15, "EQY_SH_OUT", $Q70, $Q70,"SCALING_FORMAT="&amp;Inputs!$R$18)),S71)</f>
        <v>0</v>
      </c>
      <c r="U70" s="411">
        <f t="shared" ca="1" si="1"/>
        <v>0</v>
      </c>
      <c r="W70" s="354">
        <f ca="1">IFERROR(VALUE(_xll.BDH(Inputs!$D$15, "PX_TO_SALES_RATIO", $Q70, $Q70)),W71)</f>
        <v>0</v>
      </c>
    </row>
    <row r="71" spans="1:23" ht="15" customHeight="1">
      <c r="A71" s="10"/>
      <c r="B71" s="10" t="s">
        <v>702</v>
      </c>
      <c r="C71" s="10"/>
      <c r="D71" s="10"/>
      <c r="E71" s="14">
        <f t="shared" ref="E71:N71" si="5">-E67/E63</f>
        <v>5.2193095992203682E-2</v>
      </c>
      <c r="F71" s="14">
        <f t="shared" si="5"/>
        <v>3.9884211353574513E-2</v>
      </c>
      <c r="G71" s="14">
        <f t="shared" si="5"/>
        <v>6.2034614751054665E-2</v>
      </c>
      <c r="H71" s="14">
        <f t="shared" si="5"/>
        <v>1.3088416508531323E-2</v>
      </c>
      <c r="I71" s="14">
        <f t="shared" si="5"/>
        <v>4.9948280472645955E-2</v>
      </c>
      <c r="J71" s="14">
        <f t="shared" si="5"/>
        <v>9.187420326440561E-2</v>
      </c>
      <c r="K71" s="14">
        <f t="shared" si="5"/>
        <v>7.0474363355614245E-2</v>
      </c>
      <c r="L71" s="14">
        <f t="shared" si="5"/>
        <v>4.0738617084909119E-2</v>
      </c>
      <c r="M71" s="14">
        <f t="shared" si="5"/>
        <v>4.3407368277521861E-2</v>
      </c>
      <c r="N71" s="14">
        <f t="shared" si="5"/>
        <v>6.3236451527073731E-2</v>
      </c>
      <c r="O71" s="10"/>
      <c r="P71" s="10"/>
      <c r="Q71" s="10"/>
      <c r="R71" s="304"/>
      <c r="S71" s="304"/>
      <c r="U71" s="411"/>
      <c r="W71" s="354"/>
    </row>
    <row r="72" spans="1:23" ht="15" customHeight="1">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c r="A73" s="10" t="s">
        <v>33</v>
      </c>
      <c r="B73" s="368" t="str">
        <f>E21</f>
        <v>VITL US Equity</v>
      </c>
      <c r="C73" s="369"/>
      <c r="D73" s="369"/>
      <c r="E73" s="366">
        <v>2015</v>
      </c>
      <c r="F73" s="366">
        <f t="shared" ref="F73:N73" si="6">+E73+1</f>
        <v>2016</v>
      </c>
      <c r="G73" s="366">
        <f t="shared" si="6"/>
        <v>2017</v>
      </c>
      <c r="H73" s="366">
        <f t="shared" si="6"/>
        <v>2018</v>
      </c>
      <c r="I73" s="366">
        <f t="shared" si="6"/>
        <v>2019</v>
      </c>
      <c r="J73" s="366">
        <f t="shared" si="6"/>
        <v>2020</v>
      </c>
      <c r="K73" s="366">
        <f t="shared" si="6"/>
        <v>2021</v>
      </c>
      <c r="L73" s="366">
        <f t="shared" si="6"/>
        <v>2022</v>
      </c>
      <c r="M73" s="366">
        <f t="shared" si="6"/>
        <v>2023</v>
      </c>
      <c r="N73" s="366">
        <f t="shared" si="6"/>
        <v>2024</v>
      </c>
      <c r="O73" s="10"/>
      <c r="P73" s="10"/>
      <c r="Q73" s="10"/>
      <c r="R73" s="10"/>
      <c r="S73" s="10"/>
      <c r="T73" s="10"/>
      <c r="U73" s="10"/>
      <c r="V73" s="10"/>
      <c r="W73" s="10"/>
    </row>
    <row r="74" spans="1:23" ht="15" customHeight="1">
      <c r="A74" s="10"/>
      <c r="B74" s="10" t="s">
        <v>355</v>
      </c>
      <c r="C74" s="10"/>
      <c r="D74" s="10"/>
      <c r="E74" s="11">
        <f>_xll.BDH($B$73,"SALES_REV_TURN","FY "&amp;E$62,"FY "&amp;E$62,"Currency="&amp;$D$13,"Period=FY","BEST_FPERIOD_OVERRIDE=FY","FILING_STATUS=MR","SCALING_FORMAT="&amp;$D$14,"FA_ADJUSTED=Adjusted","Sort=A","Dates=H","DateFormat=P","Fill=0","Direction=H","UseDPDF=Y")</f>
        <v>0</v>
      </c>
      <c r="F74" s="11">
        <f>_xll.BDH($B$73,"SALES_REV_TURN","FY "&amp;F$62,"FY "&amp;F$62,"Currency="&amp;$D$13,"Period=FY","BEST_FPERIOD_OVERRIDE=FY","FILING_STATUS=MR","SCALING_FORMAT="&amp;$D$14,"FA_ADJUSTED=Adjusted","Sort=A","Dates=H","DateFormat=P","Fill=0","Direction=H","UseDPDF=Y")</f>
        <v>0</v>
      </c>
      <c r="G74" s="11">
        <f>_xll.BDH($B$73,"SALES_REV_TURN","FY "&amp;G$62,"FY "&amp;G$62,"Currency="&amp;$D$13,"Period=FY","BEST_FPERIOD_OVERRIDE=FY","FILING_STATUS=MR","SCALING_FORMAT="&amp;$D$14,"FA_ADJUSTED=Adjusted","Sort=A","Dates=H","DateFormat=P","Fill=0","Direction=H","UseDPDF=Y")</f>
        <v>74000</v>
      </c>
      <c r="H74" s="11">
        <f>_xll.BDH($B$73,"SALES_REV_TURN","FY "&amp;H$62,"FY "&amp;H$62,"Currency="&amp;$D$13,"Period=FY","BEST_FPERIOD_OVERRIDE=FY","FILING_STATUS=MR","SCALING_FORMAT="&amp;$D$14,"FA_ADJUSTED=Adjusted","Sort=A","Dates=H","DateFormat=P","Fill=0","Direction=H","UseDPDF=Y")</f>
        <v>106713</v>
      </c>
      <c r="I74" s="11">
        <f>_xll.BDH($B$73,"SALES_REV_TURN","FY "&amp;I$62,"FY "&amp;I$62,"Currency="&amp;$D$13,"Period=FY","BEST_FPERIOD_OVERRIDE=FY","FILING_STATUS=MR","SCALING_FORMAT="&amp;$D$14,"FA_ADJUSTED=Adjusted","Sort=A","Dates=H","DateFormat=P","Fill=0","Direction=H","UseDPDF=Y")</f>
        <v>140733</v>
      </c>
      <c r="J74" s="11">
        <f>_xll.BDH($B$73,"SALES_REV_TURN","FY "&amp;J$62,"FY "&amp;J$62,"Currency="&amp;$D$13,"Period=FY","BEST_FPERIOD_OVERRIDE=FY","FILING_STATUS=MR","SCALING_FORMAT="&amp;$D$14,"FA_ADJUSTED=Adjusted","Sort=A","Dates=H","DateFormat=P","Fill=0","Direction=H","UseDPDF=Y")</f>
        <v>214280</v>
      </c>
      <c r="K74" s="11">
        <f>_xll.BDH($B$73,"SALES_REV_TURN","FY "&amp;K$62,"FY "&amp;K$62,"Currency="&amp;$D$13,"Period=FY","BEST_FPERIOD_OVERRIDE=FY","FILING_STATUS=MR","SCALING_FORMAT="&amp;$D$14,"FA_ADJUSTED=Adjusted","Sort=A","Dates=H","DateFormat=P","Fill=0","Direction=H","UseDPDF=Y")</f>
        <v>260901</v>
      </c>
      <c r="L74" s="11">
        <f>_xll.BDH($B$73,"SALES_REV_TURN","FY "&amp;L$62,"FY "&amp;L$62,"Currency="&amp;$D$13,"Period=FY","BEST_FPERIOD_OVERRIDE=FY","FILING_STATUS=MR","SCALING_FORMAT="&amp;$D$14,"FA_ADJUSTED=Adjusted","Sort=A","Dates=H","DateFormat=P","Fill=0","Direction=H","UseDPDF=Y")</f>
        <v>362050</v>
      </c>
      <c r="M74" s="11">
        <f>_xll.BDH($B$73,"SALES_REV_TURN","FY "&amp;M$62,"FY "&amp;M$62,"Currency="&amp;$D$13,"Period=FY","BEST_FPERIOD_OVERRIDE=FY","FILING_STATUS=MR","SCALING_FORMAT="&amp;$D$14,"FA_ADJUSTED=Adjusted","Sort=A","Dates=H","DateFormat=P","Fill=0","Direction=H","UseDPDF=Y")</f>
        <v>471857</v>
      </c>
      <c r="N74" s="11">
        <f>_xll.BDH($B$73,"SALES_REV_TURN","FY "&amp;N$62,"FY "&amp;N$62,"Currency="&amp;$D$13,"Period=FY","BEST_FPERIOD_OVERRIDE=FY","FILING_STATUS=MR","SCALING_FORMAT="&amp;$D$14,"FA_ADJUSTED=Adjusted","Sort=A","Dates=H","DateFormat=P","Fill=0","Direction=H","UseDPDF=Y")</f>
        <v>606307</v>
      </c>
      <c r="O74" s="10"/>
      <c r="S74" s="10"/>
      <c r="T74" s="10"/>
      <c r="U74" s="10"/>
      <c r="V74" s="10"/>
      <c r="W74" s="10"/>
    </row>
    <row r="75" spans="1:23" ht="15" customHeight="1">
      <c r="A75" s="10"/>
      <c r="B75" s="10" t="s">
        <v>697</v>
      </c>
      <c r="C75" s="10"/>
      <c r="D75" s="10"/>
      <c r="E75" s="11">
        <f>_xll.BDH($B$73,"IS_OPER_INC","FY "&amp;E$62,"FY "&amp;E$62,"Currency="&amp;$D$13,"Period=FY","BEST_FPERIOD_OVERRIDE=FY","FILING_STATUS=MR","SCALING_FORMAT="&amp;$D$14,"FA_ADJUSTED=Adjusted","Sort=A","Dates=H","DateFormat=P","Fill=0","Direction=H","UseDPDF=Y")</f>
        <v>0</v>
      </c>
      <c r="F75" s="11">
        <f>_xll.BDH($B$73,"IS_OPER_INC","FY "&amp;F$62,"FY "&amp;F$62,"Currency="&amp;$D$13,"Period=FY","BEST_FPERIOD_OVERRIDE=FY","FILING_STATUS=MR","SCALING_FORMAT="&amp;$D$14,"FA_ADJUSTED=Adjusted","Sort=A","Dates=H","DateFormat=P","Fill=0","Direction=H","UseDPDF=Y")</f>
        <v>0</v>
      </c>
      <c r="G75" s="11">
        <f>_xll.BDH($B$73,"IS_OPER_INC","FY "&amp;G$62,"FY "&amp;G$62,"Currency="&amp;$D$13,"Period=FY","BEST_FPERIOD_OVERRIDE=FY","FILING_STATUS=MR","SCALING_FORMAT="&amp;$D$14,"FA_ADJUSTED=Adjusted","Sort=A","Dates=H","DateFormat=P","Fill=0","Direction=H","UseDPDF=Y")</f>
        <v>-1597</v>
      </c>
      <c r="H75" s="11">
        <f>_xll.BDH($B$73,"IS_OPER_INC","FY "&amp;H$62,"FY "&amp;H$62,"Currency="&amp;$D$13,"Period=FY","BEST_FPERIOD_OVERRIDE=FY","FILING_STATUS=MR","SCALING_FORMAT="&amp;$D$14,"FA_ADJUSTED=Adjusted","Sort=A","Dates=H","DateFormat=P","Fill=0","Direction=H","UseDPDF=Y")</f>
        <v>6767</v>
      </c>
      <c r="I75" s="11">
        <f>_xll.BDH($B$73,"IS_OPER_INC","FY "&amp;I$62,"FY "&amp;I$62,"Currency="&amp;$D$13,"Period=FY","BEST_FPERIOD_OVERRIDE=FY","FILING_STATUS=MR","SCALING_FORMAT="&amp;$D$14,"FA_ADJUSTED=Adjusted","Sort=A","Dates=H","DateFormat=P","Fill=0","Direction=H","UseDPDF=Y")</f>
        <v>3350</v>
      </c>
      <c r="J75" s="11">
        <f>_xll.BDH($B$73,"IS_OPER_INC","FY "&amp;J$62,"FY "&amp;J$62,"Currency="&amp;$D$13,"Period=FY","BEST_FPERIOD_OVERRIDE=FY","FILING_STATUS=MR","SCALING_FORMAT="&amp;$D$14,"FA_ADJUSTED=Adjusted","Sort=A","Dates=H","DateFormat=P","Fill=0","Direction=H","UseDPDF=Y")</f>
        <v>11875</v>
      </c>
      <c r="K75" s="11">
        <f>_xll.BDH($B$73,"IS_OPER_INC","FY "&amp;K$62,"FY "&amp;K$62,"Currency="&amp;$D$13,"Period=FY","BEST_FPERIOD_OVERRIDE=FY","FILING_STATUS=MR","SCALING_FORMAT="&amp;$D$14,"FA_ADJUSTED=Adjusted","Sort=A","Dates=H","DateFormat=P","Fill=0","Direction=H","UseDPDF=Y")</f>
        <v>96</v>
      </c>
      <c r="L75" s="11">
        <f>_xll.BDH($B$73,"IS_OPER_INC","FY "&amp;L$62,"FY "&amp;L$62,"Currency="&amp;$D$13,"Period=FY","BEST_FPERIOD_OVERRIDE=FY","FILING_STATUS=MR","SCALING_FORMAT="&amp;$D$14,"FA_ADJUSTED=Adjusted","Sort=A","Dates=H","DateFormat=P","Fill=0","Direction=H","UseDPDF=Y")</f>
        <v>4586</v>
      </c>
      <c r="M75" s="11">
        <f>_xll.BDH($B$73,"IS_OPER_INC","FY "&amp;M$62,"FY "&amp;M$62,"Currency="&amp;$D$13,"Period=FY","BEST_FPERIOD_OVERRIDE=FY","FILING_STATUS=MR","SCALING_FORMAT="&amp;$D$14,"FA_ADJUSTED=Adjusted","Sort=A","Dates=H","DateFormat=P","Fill=0","Direction=H","UseDPDF=Y")</f>
        <v>33254</v>
      </c>
      <c r="N75" s="11">
        <f>_xll.BDH($B$73,"IS_OPER_INC","FY "&amp;N$62,"FY "&amp;N$62,"Currency="&amp;$D$13,"Period=FY","BEST_FPERIOD_OVERRIDE=FY","FILING_STATUS=MR","SCALING_FORMAT="&amp;$D$14,"FA_ADJUSTED=Adjusted","Sort=A","Dates=H","DateFormat=P","Fill=0","Direction=H","UseDPDF=Y")</f>
        <v>63552</v>
      </c>
      <c r="O75" s="10"/>
      <c r="S75" s="10"/>
      <c r="T75" s="10"/>
      <c r="U75" s="10"/>
      <c r="V75" s="10"/>
      <c r="W75" s="10"/>
    </row>
    <row r="76" spans="1:23" ht="15" customHeight="1">
      <c r="A76" s="10"/>
      <c r="B76" s="10" t="s">
        <v>238</v>
      </c>
      <c r="C76" s="10"/>
      <c r="D76" s="10"/>
      <c r="E76" s="14" t="e">
        <f>_xll.BDP($B$73,"RETURN_ON_INV_CAPITAL","EQY_FUND_YEAR="&amp;E$62)/100</f>
        <v>#VALUE!</v>
      </c>
      <c r="F76" s="14" t="e">
        <f>_xll.BDP($B$73,"RETURN_ON_INV_CAPITAL","EQY_FUND_YEAR="&amp;F$62)/100</f>
        <v>#VALUE!</v>
      </c>
      <c r="G76" s="14" t="e">
        <f>_xll.BDP($B$73,"RETURN_ON_INV_CAPITAL","EQY_FUND_YEAR="&amp;G$62)/100</f>
        <v>#VALUE!</v>
      </c>
      <c r="H76" s="14" t="e">
        <f>_xll.BDP($B$73,"RETURN_ON_INV_CAPITAL","EQY_FUND_YEAR="&amp;H$62)/100</f>
        <v>#VALUE!</v>
      </c>
      <c r="I76" s="14">
        <f>_xll.BDP($B$73,"RETURN_ON_INV_CAPITAL","EQY_FUND_YEAR="&amp;I$62)/100</f>
        <v>6.9214050477199654E-2</v>
      </c>
      <c r="J76" s="14">
        <f>_xll.BDP($B$73,"RETURN_ON_INV_CAPITAL","EQY_FUND_YEAR="&amp;J$62)/100</f>
        <v>0.10097729880994046</v>
      </c>
      <c r="K76" s="14">
        <f>_xll.BDP($B$73,"RETURN_ON_INV_CAPITAL","EQY_FUND_YEAR="&amp;K$62)/100</f>
        <v>1.4394643528716489E-2</v>
      </c>
      <c r="L76" s="14">
        <f>_xll.BDP($B$73,"RETURN_ON_INV_CAPITAL","EQY_FUND_YEAR="&amp;L$62)/100</f>
        <v>5.6860414047550378E-3</v>
      </c>
      <c r="M76" s="14">
        <f>_xll.BDP($B$73,"RETURN_ON_INV_CAPITAL","EQY_FUND_YEAR="&amp;M$62)/100</f>
        <v>0.1368345951113826</v>
      </c>
      <c r="N76" s="14">
        <f>_xll.BDP($B$73,"RETURN_ON_INV_CAPITAL","EQY_FUND_YEAR="&amp;N$62)/100</f>
        <v>0.19884192293125166</v>
      </c>
      <c r="O76" s="10"/>
      <c r="S76" s="10"/>
      <c r="T76" s="10"/>
      <c r="U76" s="10"/>
      <c r="V76" s="10"/>
      <c r="W76" s="10"/>
    </row>
    <row r="77" spans="1:23" ht="15" customHeight="1">
      <c r="A77" s="10"/>
      <c r="B77" s="10" t="s">
        <v>339</v>
      </c>
      <c r="C77" s="10"/>
      <c r="D77" s="10"/>
      <c r="E77" s="14" t="e">
        <f>_xll.BDP($B$73,"wacc","EQY_FUND_YEAR="&amp;E$62)/100</f>
        <v>#VALUE!</v>
      </c>
      <c r="F77" s="14" t="e">
        <f>_xll.BDP($B$73,"wacc","EQY_FUND_YEAR="&amp;F$62)/100</f>
        <v>#VALUE!</v>
      </c>
      <c r="G77" s="14" t="e">
        <f>_xll.BDP($B$73,"wacc","EQY_FUND_YEAR="&amp;G$62)/100</f>
        <v>#VALUE!</v>
      </c>
      <c r="H77" s="14">
        <f>_xll.BDP($B$73,"wacc","EQY_FUND_YEAR="&amp;H$62)/100</f>
        <v>4.2739279176287469E-2</v>
      </c>
      <c r="I77" s="14">
        <f>_xll.BDP($B$73,"wacc","EQY_FUND_YEAR="&amp;I$62)/100</f>
        <v>3.5469715025593887E-2</v>
      </c>
      <c r="J77" s="14">
        <f>_xll.BDP($B$73,"wacc","EQY_FUND_YEAR="&amp;J$62)/100</f>
        <v>6.0437154175476702E-2</v>
      </c>
      <c r="K77" s="14">
        <f>_xll.BDP($B$73,"wacc","EQY_FUND_YEAR="&amp;K$62)/100</f>
        <v>7.971165927416779E-2</v>
      </c>
      <c r="L77" s="14">
        <f>_xll.BDP($B$73,"wacc","EQY_FUND_YEAR="&amp;L$62)/100</f>
        <v>9.1972224537144112E-2</v>
      </c>
      <c r="M77" s="14">
        <f>_xll.BDP($B$73,"wacc","EQY_FUND_YEAR="&amp;M$62)/100</f>
        <v>0.10344171822139296</v>
      </c>
      <c r="N77" s="14">
        <f>_xll.BDP($B$73,"wacc","EQY_FUND_YEAR="&amp;N$62)/100</f>
        <v>7.880188405965953E-2</v>
      </c>
      <c r="O77" s="10"/>
      <c r="S77" s="10"/>
      <c r="T77" s="10"/>
      <c r="U77" s="10"/>
      <c r="V77" s="10"/>
      <c r="W77" s="10"/>
    </row>
    <row r="78" spans="1:23" ht="15" customHeight="1">
      <c r="A78" s="10"/>
      <c r="B78" s="10" t="s">
        <v>698</v>
      </c>
      <c r="C78" s="10"/>
      <c r="D78" s="10"/>
      <c r="E78" s="11">
        <f>_xll.BDH($B$73,"ACQUIS_OF_FIXED_INTANG","FY "&amp;E$62,"FY "&amp;E$62,"Currency="&amp;$D$13,"Period=FY","BEST_FPERIOD_OVERRIDE=FY","FILING_STATUS=MR","SCALING_FORMAT="&amp;$D$14,"FA_ADJUSTED=Adjusted","Sort=A","Dates=H","DateFormat=P","Fill=0","Direction=H","UseDPDF=Y")</f>
        <v>0</v>
      </c>
      <c r="F78" s="11">
        <f>_xll.BDH($B$73,"ACQUIS_OF_FIXED_INTANG","FY "&amp;F$62,"FY "&amp;F$62,"Currency="&amp;$D$13,"Period=FY","BEST_FPERIOD_OVERRIDE=FY","FILING_STATUS=MR","SCALING_FORMAT="&amp;$D$14,"FA_ADJUSTED=Adjusted","Sort=A","Dates=H","DateFormat=P","Fill=0","Direction=H","UseDPDF=Y")</f>
        <v>0</v>
      </c>
      <c r="G78" s="11">
        <f>_xll.BDH($B$73,"ACQUIS_OF_FIXED_INTANG","FY "&amp;G$62,"FY "&amp;G$62,"Currency="&amp;$D$13,"Period=FY","BEST_FPERIOD_OVERRIDE=FY","FILING_STATUS=MR","SCALING_FORMAT="&amp;$D$14,"FA_ADJUSTED=Adjusted","Sort=A","Dates=H","DateFormat=P","Fill=0","Direction=H","UseDPDF=Y")</f>
        <v>-11704</v>
      </c>
      <c r="H78" s="11">
        <f>_xll.BDH($B$73,"ACQUIS_OF_FIXED_INTANG","FY "&amp;H$62,"FY "&amp;H$62,"Currency="&amp;$D$13,"Period=FY","BEST_FPERIOD_OVERRIDE=FY","FILING_STATUS=MR","SCALING_FORMAT="&amp;$D$14,"FA_ADJUSTED=Adjusted","Sort=A","Dates=H","DateFormat=P","Fill=0","Direction=H","UseDPDF=Y")</f>
        <v>-1940</v>
      </c>
      <c r="I78" s="11">
        <f>_xll.BDH($B$73,"ACQUIS_OF_FIXED_INTANG","FY "&amp;I$62,"FY "&amp;I$62,"Currency="&amp;$D$13,"Period=FY","BEST_FPERIOD_OVERRIDE=FY","FILING_STATUS=MR","SCALING_FORMAT="&amp;$D$14,"FA_ADJUSTED=Adjusted","Sort=A","Dates=H","DateFormat=P","Fill=0","Direction=H","UseDPDF=Y")</f>
        <v>-4799</v>
      </c>
      <c r="J78" s="11">
        <f>_xll.BDH($B$73,"ACQUIS_OF_FIXED_INTANG","FY "&amp;J$62,"FY "&amp;J$62,"Currency="&amp;$D$13,"Period=FY","BEST_FPERIOD_OVERRIDE=FY","FILING_STATUS=MR","SCALING_FORMAT="&amp;$D$14,"FA_ADJUSTED=Adjusted","Sort=A","Dates=H","DateFormat=P","Fill=0","Direction=H","UseDPDF=Y")</f>
        <v>-10300</v>
      </c>
      <c r="K78" s="11">
        <f>_xll.BDH($B$73,"ACQUIS_OF_FIXED_INTANG","FY "&amp;K$62,"FY "&amp;K$62,"Currency="&amp;$D$13,"Period=FY","BEST_FPERIOD_OVERRIDE=FY","FILING_STATUS=MR","SCALING_FORMAT="&amp;$D$14,"FA_ADJUSTED=Adjusted","Sort=A","Dates=H","DateFormat=P","Fill=0","Direction=H","UseDPDF=Y")</f>
        <v>-16711</v>
      </c>
      <c r="L78" s="11">
        <f>_xll.BDH($B$73,"ACQUIS_OF_FIXED_INTANG","FY "&amp;L$62,"FY "&amp;L$62,"Currency="&amp;$D$13,"Period=FY","BEST_FPERIOD_OVERRIDE=FY","FILING_STATUS=MR","SCALING_FORMAT="&amp;$D$14,"FA_ADJUSTED=Adjusted","Sort=A","Dates=H","DateFormat=P","Fill=0","Direction=H","UseDPDF=Y")</f>
        <v>-10468</v>
      </c>
      <c r="M78" s="11">
        <f>_xll.BDH($B$73,"ACQUIS_OF_FIXED_INTANG","FY "&amp;M$62,"FY "&amp;M$62,"Currency="&amp;$D$13,"Period=FY","BEST_FPERIOD_OVERRIDE=FY","FILING_STATUS=MR","SCALING_FORMAT="&amp;$D$14,"FA_ADJUSTED=Adjusted","Sort=A","Dates=H","DateFormat=P","Fill=0","Direction=H","UseDPDF=Y")</f>
        <v>-11538</v>
      </c>
      <c r="N78" s="11">
        <f>_xll.BDH($B$73,"ACQUIS_OF_FIXED_INTANG","FY "&amp;N$62,"FY "&amp;N$62,"Currency="&amp;$D$13,"Period=FY","BEST_FPERIOD_OVERRIDE=FY","FILING_STATUS=MR","SCALING_FORMAT="&amp;$D$14,"FA_ADJUSTED=Adjusted","Sort=A","Dates=H","DateFormat=P","Fill=0","Direction=H","UseDPDF=Y")</f>
        <v>-28646</v>
      </c>
      <c r="O78" s="10"/>
      <c r="S78" s="10"/>
      <c r="T78" s="10"/>
      <c r="U78" s="10"/>
      <c r="V78" s="10"/>
      <c r="W78" s="10"/>
    </row>
    <row r="79" spans="1:23" ht="15" customHeight="1">
      <c r="A79" s="10"/>
      <c r="B79" s="10" t="s">
        <v>699</v>
      </c>
      <c r="C79" s="10"/>
      <c r="D79" s="10"/>
      <c r="E79" s="14">
        <f>_xll.BDH($B$73,"TOT_DEBT_TO_TOT_EQY","FY "&amp;E$62,"FY "&amp;E$62,"Currency="&amp;$D$13,"Period=FY","BEST_FPERIOD_OVERRIDE=FY","FILING_STATUS=MR","SCALING_FORMAT="&amp;$D$14,"FA_ADJUSTED=Adjusted","Sort=A","Dates=H","DateFormat=P","Fill=0","Direction=H","UseDPDF=Y")/100</f>
        <v>0</v>
      </c>
      <c r="F79" s="14">
        <f>_xll.BDH($B$73,"TOT_DEBT_TO_TOT_EQY","FY "&amp;F$62,"FY "&amp;F$62,"Currency="&amp;$D$13,"Period=FY","BEST_FPERIOD_OVERRIDE=FY","FILING_STATUS=MR","SCALING_FORMAT="&amp;$D$14,"FA_ADJUSTED=Adjusted","Sort=A","Dates=H","DateFormat=P","Fill=0","Direction=H","UseDPDF=Y")/100</f>
        <v>0</v>
      </c>
      <c r="G79" s="14">
        <f>_xll.BDH($B$73,"TOT_DEBT_TO_TOT_EQY","FY "&amp;G$62,"FY "&amp;G$62,"Currency="&amp;$D$13,"Period=FY","BEST_FPERIOD_OVERRIDE=FY","FILING_STATUS=MR","SCALING_FORMAT="&amp;$D$14,"FA_ADJUSTED=Adjusted","Sort=A","Dates=H","DateFormat=P","Fill=0","Direction=H","UseDPDF=Y")/100</f>
        <v>0</v>
      </c>
      <c r="H79" s="14">
        <f>_xll.BDH($B$73,"TOT_DEBT_TO_TOT_EQY","FY "&amp;H$62,"FY "&amp;H$62,"Currency="&amp;$D$13,"Period=FY","BEST_FPERIOD_OVERRIDE=FY","FILING_STATUS=MR","SCALING_FORMAT="&amp;$D$14,"FA_ADJUSTED=Adjusted","Sort=A","Dates=H","DateFormat=P","Fill=0","Direction=H","UseDPDF=Y")/100</f>
        <v>0.19946900000000001</v>
      </c>
      <c r="I79" s="14">
        <f>_xll.BDH($B$73,"TOT_DEBT_TO_TOT_EQY","FY "&amp;I$62,"FY "&amp;I$62,"Currency="&amp;$D$13,"Period=FY","BEST_FPERIOD_OVERRIDE=FY","FILING_STATUS=MR","SCALING_FORMAT="&amp;$D$14,"FA_ADJUSTED=Adjusted","Sort=A","Dates=H","DateFormat=P","Fill=0","Direction=H","UseDPDF=Y")/100</f>
        <v>0.19787099999999999</v>
      </c>
      <c r="J79" s="14">
        <f>_xll.BDH($B$73,"TOT_DEBT_TO_TOT_EQY","FY "&amp;J$62,"FY "&amp;J$62,"Currency="&amp;$D$13,"Period=FY","BEST_FPERIOD_OVERRIDE=FY","FILING_STATUS=MR","SCALING_FORMAT="&amp;$D$14,"FA_ADJUSTED=Adjusted","Sort=A","Dates=H","DateFormat=P","Fill=0","Direction=H","UseDPDF=Y")/100</f>
        <v>5.6040000000000005E-3</v>
      </c>
      <c r="K79" s="14">
        <f>_xll.BDH($B$73,"TOT_DEBT_TO_TOT_EQY","FY "&amp;K$62,"FY "&amp;K$62,"Currency="&amp;$D$13,"Period=FY","BEST_FPERIOD_OVERRIDE=FY","FILING_STATUS=MR","SCALING_FORMAT="&amp;$D$14,"FA_ADJUSTED=Adjusted","Sort=A","Dates=H","DateFormat=P","Fill=0","Direction=H","UseDPDF=Y")/100</f>
        <v>2.1549999999999998E-3</v>
      </c>
      <c r="L79" s="14">
        <f>_xll.BDH($B$73,"TOT_DEBT_TO_TOT_EQY","FY "&amp;L$62,"FY "&amp;L$62,"Currency="&amp;$D$13,"Period=FY","BEST_FPERIOD_OVERRIDE=FY","FILING_STATUS=MR","SCALING_FORMAT="&amp;$D$14,"FA_ADJUSTED=Adjusted","Sort=A","Dates=H","DateFormat=P","Fill=0","Direction=H","UseDPDF=Y")/100</f>
        <v>6.7534999999999998E-2</v>
      </c>
      <c r="M79" s="14">
        <f>_xll.BDH($B$73,"TOT_DEBT_TO_TOT_EQY","FY "&amp;M$62,"FY "&amp;M$62,"Currency="&amp;$D$13,"Period=FY","BEST_FPERIOD_OVERRIDE=FY","FILING_STATUS=MR","SCALING_FORMAT="&amp;$D$14,"FA_ADJUSTED=Adjusted","Sort=A","Dates=H","DateFormat=P","Fill=0","Direction=H","UseDPDF=Y")/100</f>
        <v>0.117108</v>
      </c>
      <c r="N79" s="14">
        <f>_xll.BDH($B$73,"TOT_DEBT_TO_TOT_EQY","FY "&amp;N$62,"FY "&amp;N$62,"Currency="&amp;$D$13,"Period=FY","BEST_FPERIOD_OVERRIDE=FY","FILING_STATUS=MR","SCALING_FORMAT="&amp;$D$14,"FA_ADJUSTED=Adjusted","Sort=A","Dates=H","DateFormat=P","Fill=0","Direction=H","UseDPDF=Y")/100</f>
        <v>6.947600000000001E-2</v>
      </c>
      <c r="O79" s="10"/>
      <c r="S79" s="10"/>
      <c r="T79" s="10"/>
      <c r="U79" s="10"/>
      <c r="V79" s="10"/>
      <c r="W79" s="10"/>
    </row>
    <row r="80" spans="1:23" ht="15" customHeight="1">
      <c r="A80" s="10"/>
      <c r="B80" s="10" t="s">
        <v>700</v>
      </c>
      <c r="C80" s="10"/>
      <c r="D80" s="10"/>
      <c r="E80" s="14" t="e">
        <f t="shared" ref="E80:N80" si="7">+E75/E74</f>
        <v>#DIV/0!</v>
      </c>
      <c r="F80" s="14" t="e">
        <f t="shared" si="7"/>
        <v>#DIV/0!</v>
      </c>
      <c r="G80" s="14">
        <f t="shared" si="7"/>
        <v>-2.1581081081081081E-2</v>
      </c>
      <c r="H80" s="14">
        <f t="shared" si="7"/>
        <v>6.3413079943399592E-2</v>
      </c>
      <c r="I80" s="14">
        <f t="shared" si="7"/>
        <v>2.380394079569113E-2</v>
      </c>
      <c r="J80" s="14">
        <f t="shared" si="7"/>
        <v>5.5418144483852905E-2</v>
      </c>
      <c r="K80" s="14">
        <f t="shared" si="7"/>
        <v>3.679556613428082E-4</v>
      </c>
      <c r="L80" s="14">
        <f t="shared" si="7"/>
        <v>1.2666758734981355E-2</v>
      </c>
      <c r="M80" s="14">
        <f t="shared" si="7"/>
        <v>7.0474741288144502E-2</v>
      </c>
      <c r="N80" s="14">
        <f t="shared" si="7"/>
        <v>0.10481818616641404</v>
      </c>
      <c r="O80" s="10"/>
      <c r="S80" s="10"/>
      <c r="T80" s="10"/>
      <c r="U80" s="10"/>
      <c r="V80" s="10"/>
      <c r="W80" s="10"/>
    </row>
    <row r="81" spans="1:23" ht="15" customHeight="1">
      <c r="A81" s="10"/>
      <c r="B81" s="10" t="s">
        <v>701</v>
      </c>
      <c r="C81" s="10"/>
      <c r="D81" s="10"/>
      <c r="E81" s="367" t="e">
        <f t="shared" ref="E81:N81" si="8">+E76/E77</f>
        <v>#VALUE!</v>
      </c>
      <c r="F81" s="367" t="e">
        <f t="shared" si="8"/>
        <v>#VALUE!</v>
      </c>
      <c r="G81" s="367" t="e">
        <f t="shared" si="8"/>
        <v>#VALUE!</v>
      </c>
      <c r="H81" s="367" t="e">
        <f t="shared" si="8"/>
        <v>#VALUE!</v>
      </c>
      <c r="I81" s="367">
        <f t="shared" si="8"/>
        <v>1.9513562606087154</v>
      </c>
      <c r="J81" s="367">
        <f t="shared" si="8"/>
        <v>1.6707818259734264</v>
      </c>
      <c r="K81" s="367">
        <f t="shared" si="8"/>
        <v>0.18058391532418358</v>
      </c>
      <c r="L81" s="367">
        <f t="shared" si="8"/>
        <v>6.1823462826634798E-2</v>
      </c>
      <c r="M81" s="367">
        <f t="shared" si="8"/>
        <v>1.3228182735569023</v>
      </c>
      <c r="N81" s="367">
        <f t="shared" si="8"/>
        <v>2.5233143255903872</v>
      </c>
      <c r="O81" s="10"/>
      <c r="S81" s="10"/>
      <c r="T81" s="10"/>
      <c r="U81" s="10"/>
      <c r="V81" s="10"/>
      <c r="W81" s="10"/>
    </row>
    <row r="82" spans="1:23" ht="15" customHeight="1">
      <c r="A82" s="10"/>
      <c r="B82" s="10" t="s">
        <v>702</v>
      </c>
      <c r="C82" s="10"/>
      <c r="D82" s="10"/>
      <c r="E82" s="14" t="e">
        <f t="shared" ref="E82:N82" si="9">-E78/E74</f>
        <v>#DIV/0!</v>
      </c>
      <c r="F82" s="14" t="e">
        <f t="shared" si="9"/>
        <v>#DIV/0!</v>
      </c>
      <c r="G82" s="14">
        <f t="shared" si="9"/>
        <v>0.15816216216216217</v>
      </c>
      <c r="H82" s="14">
        <f t="shared" si="9"/>
        <v>1.8179603234844865E-2</v>
      </c>
      <c r="I82" s="14">
        <f t="shared" si="9"/>
        <v>3.4100033396573651E-2</v>
      </c>
      <c r="J82" s="14">
        <f t="shared" si="9"/>
        <v>4.8067948478626096E-2</v>
      </c>
      <c r="K82" s="14">
        <f t="shared" si="9"/>
        <v>6.405111517395487E-2</v>
      </c>
      <c r="L82" s="14">
        <f t="shared" si="9"/>
        <v>2.8913133545090456E-2</v>
      </c>
      <c r="M82" s="14">
        <f t="shared" si="9"/>
        <v>2.4452323479359214E-2</v>
      </c>
      <c r="N82" s="14">
        <f t="shared" si="9"/>
        <v>4.724669185742536E-2</v>
      </c>
      <c r="O82" s="10"/>
      <c r="S82" s="10"/>
      <c r="T82" s="10"/>
      <c r="U82" s="10"/>
      <c r="V82" s="10"/>
      <c r="W82" s="10"/>
    </row>
    <row r="83" spans="1:23" ht="15" customHeight="1">
      <c r="A83" s="10"/>
      <c r="B83" s="10"/>
      <c r="C83" s="10"/>
      <c r="D83" s="10"/>
      <c r="E83" s="10"/>
      <c r="F83" s="10"/>
      <c r="G83" s="10"/>
      <c r="H83" s="10"/>
      <c r="I83" s="10"/>
      <c r="J83" s="10"/>
      <c r="K83" s="10"/>
      <c r="L83" s="10"/>
      <c r="M83" s="10"/>
      <c r="N83" s="10"/>
      <c r="O83" s="10"/>
      <c r="S83" s="10"/>
      <c r="T83" s="10"/>
      <c r="U83" s="10"/>
      <c r="V83" s="10"/>
      <c r="W83" s="10"/>
    </row>
    <row r="84" spans="1:23" ht="15" customHeight="1">
      <c r="A84" s="10" t="s">
        <v>33</v>
      </c>
      <c r="B84" s="368" t="str">
        <f>+E22</f>
        <v>POST US Equity</v>
      </c>
      <c r="C84" s="369"/>
      <c r="D84" s="369"/>
      <c r="E84" s="366">
        <f>+E73</f>
        <v>2015</v>
      </c>
      <c r="F84" s="366">
        <f>+F73</f>
        <v>2016</v>
      </c>
      <c r="G84" s="366">
        <f>+G73</f>
        <v>2017</v>
      </c>
      <c r="H84" s="366">
        <f t="shared" ref="H84:N84" si="10">+G84+1</f>
        <v>2018</v>
      </c>
      <c r="I84" s="366">
        <f t="shared" si="10"/>
        <v>2019</v>
      </c>
      <c r="J84" s="366">
        <f t="shared" si="10"/>
        <v>2020</v>
      </c>
      <c r="K84" s="366">
        <f t="shared" si="10"/>
        <v>2021</v>
      </c>
      <c r="L84" s="366">
        <f t="shared" si="10"/>
        <v>2022</v>
      </c>
      <c r="M84" s="366">
        <f t="shared" si="10"/>
        <v>2023</v>
      </c>
      <c r="N84" s="366">
        <f t="shared" si="10"/>
        <v>2024</v>
      </c>
      <c r="O84" s="10"/>
      <c r="S84" s="10"/>
      <c r="T84" s="10"/>
      <c r="U84" s="10"/>
      <c r="V84" s="10"/>
      <c r="W84" s="10"/>
    </row>
    <row r="85" spans="1:23" ht="15" customHeight="1">
      <c r="A85" s="10"/>
      <c r="B85" s="10" t="s">
        <v>355</v>
      </c>
      <c r="C85" s="10"/>
      <c r="D85" s="10"/>
      <c r="E85" s="11">
        <f>_xll.BDH($B$84,"SALES_REV_TURN","FY "&amp;E$62,"FY "&amp;E$62,"Currency="&amp;$D$13,"Period=FY","BEST_FPERIOD_OVERRIDE=FY","FILING_STATUS=MR","SCALING_FORMAT="&amp;$D$14,"FA_ADJUSTED=Adjusted","Sort=A","Dates=H","DateFormat=P","Fill=0","Direction=H","UseDPDF=Y")</f>
        <v>4648200</v>
      </c>
      <c r="F85" s="11">
        <f>_xll.BDH($B$84,"SALES_REV_TURN","FY "&amp;F$62,"FY "&amp;F$62,"Currency="&amp;$D$13,"Period=FY","BEST_FPERIOD_OVERRIDE=FY","FILING_STATUS=MR","SCALING_FORMAT="&amp;$D$14,"FA_ADJUSTED=Adjusted","Sort=A","Dates=H","DateFormat=P","Fill=0","Direction=H","UseDPDF=Y")</f>
        <v>5026800</v>
      </c>
      <c r="G85" s="11">
        <f>_xll.BDH($B$84,"SALES_REV_TURN","FY "&amp;G$62,"FY "&amp;G$62,"Currency="&amp;$D$13,"Period=FY","BEST_FPERIOD_OVERRIDE=FY","FILING_STATUS=MR","SCALING_FORMAT="&amp;$D$14,"FA_ADJUSTED=Adjusted","Sort=A","Dates=H","DateFormat=P","Fill=0","Direction=H","UseDPDF=Y")</f>
        <v>5225800</v>
      </c>
      <c r="H85" s="11">
        <f>_xll.BDH($B$84,"SALES_REV_TURN","FY "&amp;H$62,"FY "&amp;H$62,"Currency="&amp;$D$13,"Period=FY","BEST_FPERIOD_OVERRIDE=FY","FILING_STATUS=MR","SCALING_FORMAT="&amp;$D$14,"FA_ADJUSTED=Adjusted","Sort=A","Dates=H","DateFormat=P","Fill=0","Direction=H","UseDPDF=Y")</f>
        <v>6257200</v>
      </c>
      <c r="I85" s="11">
        <f>_xll.BDH($B$84,"SALES_REV_TURN","FY "&amp;I$62,"FY "&amp;I$62,"Currency="&amp;$D$13,"Period=FY","BEST_FPERIOD_OVERRIDE=FY","FILING_STATUS=MR","SCALING_FORMAT="&amp;$D$14,"FA_ADJUSTED=Adjusted","Sort=A","Dates=H","DateFormat=P","Fill=0","Direction=H","UseDPDF=Y")</f>
        <v>5681100</v>
      </c>
      <c r="J85" s="11">
        <f>_xll.BDH($B$84,"SALES_REV_TURN","FY "&amp;J$62,"FY "&amp;J$62,"Currency="&amp;$D$13,"Period=FY","BEST_FPERIOD_OVERRIDE=FY","FILING_STATUS=MR","SCALING_FORMAT="&amp;$D$14,"FA_ADJUSTED=Adjusted","Sort=A","Dates=H","DateFormat=P","Fill=0","Direction=H","UseDPDF=Y")</f>
        <v>5698700</v>
      </c>
      <c r="K85" s="11">
        <f>_xll.BDH($B$84,"SALES_REV_TURN","FY "&amp;K$62,"FY "&amp;K$62,"Currency="&amp;$D$13,"Period=FY","BEST_FPERIOD_OVERRIDE=FY","FILING_STATUS=MR","SCALING_FORMAT="&amp;$D$14,"FA_ADJUSTED=Adjusted","Sort=A","Dates=H","DateFormat=P","Fill=0","Direction=H","UseDPDF=Y")</f>
        <v>4980700</v>
      </c>
      <c r="L85" s="11">
        <f>_xll.BDH($B$84,"SALES_REV_TURN","FY "&amp;L$62,"FY "&amp;L$62,"Currency="&amp;$D$13,"Period=FY","BEST_FPERIOD_OVERRIDE=FY","FILING_STATUS=MR","SCALING_FORMAT="&amp;$D$14,"FA_ADJUSTED=Adjusted","Sort=A","Dates=H","DateFormat=P","Fill=0","Direction=H","UseDPDF=Y")</f>
        <v>5851200</v>
      </c>
      <c r="M85" s="11">
        <f>_xll.BDH($B$84,"SALES_REV_TURN","FY "&amp;M$62,"FY "&amp;M$62,"Currency="&amp;$D$13,"Period=FY","BEST_FPERIOD_OVERRIDE=FY","FILING_STATUS=MR","SCALING_FORMAT="&amp;$D$14,"FA_ADJUSTED=Adjusted","Sort=A","Dates=H","DateFormat=P","Fill=0","Direction=H","UseDPDF=Y")</f>
        <v>6991000</v>
      </c>
      <c r="N85" s="11">
        <f>_xll.BDH($B$84,"SALES_REV_TURN","FY "&amp;N$62,"FY "&amp;N$62,"Currency="&amp;$D$13,"Period=FY","BEST_FPERIOD_OVERRIDE=FY","FILING_STATUS=MR","SCALING_FORMAT="&amp;$D$14,"FA_ADJUSTED=Adjusted","Sort=A","Dates=H","DateFormat=P","Fill=0","Direction=H","UseDPDF=Y")</f>
        <v>7922700</v>
      </c>
      <c r="O85" s="10"/>
      <c r="S85" s="10"/>
      <c r="T85" s="10"/>
      <c r="U85" s="10"/>
      <c r="V85" s="10"/>
      <c r="W85" s="10"/>
    </row>
    <row r="86" spans="1:23" ht="15" customHeight="1">
      <c r="A86" s="10"/>
      <c r="B86" s="10" t="s">
        <v>697</v>
      </c>
      <c r="C86" s="10"/>
      <c r="D86" s="10"/>
      <c r="E86" s="11">
        <f>_xll.BDH($B$84,"IS_OPER_INC","FY "&amp;E$62,"FY "&amp;E$62,"Currency="&amp;$D$13,"Period=FY","BEST_FPERIOD_OVERRIDE=FY","FILING_STATUS=MR","SCALING_FORMAT="&amp;$D$14,"FA_ADJUSTED=Adjusted","Sort=A","Dates=H","DateFormat=P","Fill=0","Direction=H","UseDPDF=Y")</f>
        <v>361300</v>
      </c>
      <c r="F86" s="11">
        <f>_xll.BDH($B$84,"IS_OPER_INC","FY "&amp;F$62,"FY "&amp;F$62,"Currency="&amp;$D$13,"Period=FY","BEST_FPERIOD_OVERRIDE=FY","FILING_STATUS=MR","SCALING_FORMAT="&amp;$D$14,"FA_ADJUSTED=Adjusted","Sort=A","Dates=H","DateFormat=P","Fill=0","Direction=H","UseDPDF=Y")</f>
        <v>615300</v>
      </c>
      <c r="G86" s="11">
        <f>_xll.BDH($B$84,"IS_OPER_INC","FY "&amp;G$62,"FY "&amp;G$62,"Currency="&amp;$D$13,"Period=FY","BEST_FPERIOD_OVERRIDE=FY","FILING_STATUS=MR","SCALING_FORMAT="&amp;$D$14,"FA_ADJUSTED=Adjusted","Sort=A","Dates=H","DateFormat=P","Fill=0","Direction=H","UseDPDF=Y")</f>
        <v>628500</v>
      </c>
      <c r="H86" s="11">
        <f>_xll.BDH($B$84,"IS_OPER_INC","FY "&amp;H$62,"FY "&amp;H$62,"Currency="&amp;$D$13,"Period=FY","BEST_FPERIOD_OVERRIDE=FY","FILING_STATUS=MR","SCALING_FORMAT="&amp;$D$14,"FA_ADJUSTED=Adjusted","Sort=A","Dates=H","DateFormat=P","Fill=0","Direction=H","UseDPDF=Y")</f>
        <v>792100</v>
      </c>
      <c r="I86" s="11">
        <f>_xll.BDH($B$84,"IS_OPER_INC","FY "&amp;I$62,"FY "&amp;I$62,"Currency="&amp;$D$13,"Period=FY","BEST_FPERIOD_OVERRIDE=FY","FILING_STATUS=MR","SCALING_FORMAT="&amp;$D$14,"FA_ADJUSTED=Adjusted","Sort=A","Dates=H","DateFormat=P","Fill=0","Direction=H","UseDPDF=Y")</f>
        <v>784800</v>
      </c>
      <c r="J86" s="11">
        <f>_xll.BDH($B$84,"IS_OPER_INC","FY "&amp;J$62,"FY "&amp;J$62,"Currency="&amp;$D$13,"Period=FY","BEST_FPERIOD_OVERRIDE=FY","FILING_STATUS=MR","SCALING_FORMAT="&amp;$D$14,"FA_ADJUSTED=Adjusted","Sort=A","Dates=H","DateFormat=P","Fill=0","Direction=H","UseDPDF=Y")</f>
        <v>703200</v>
      </c>
      <c r="K86" s="11">
        <f>_xll.BDH($B$84,"IS_OPER_INC","FY "&amp;K$62,"FY "&amp;K$62,"Currency="&amp;$D$13,"Period=FY","BEST_FPERIOD_OVERRIDE=FY","FILING_STATUS=MR","SCALING_FORMAT="&amp;$D$14,"FA_ADJUSTED=Adjusted","Sort=A","Dates=H","DateFormat=P","Fill=0","Direction=H","UseDPDF=Y")</f>
        <v>521300</v>
      </c>
      <c r="L86" s="11">
        <f>_xll.BDH($B$84,"IS_OPER_INC","FY "&amp;L$62,"FY "&amp;L$62,"Currency="&amp;$D$13,"Period=FY","BEST_FPERIOD_OVERRIDE=FY","FILING_STATUS=MR","SCALING_FORMAT="&amp;$D$14,"FA_ADJUSTED=Adjusted","Sort=A","Dates=H","DateFormat=P","Fill=0","Direction=H","UseDPDF=Y")</f>
        <v>483900</v>
      </c>
      <c r="M86" s="11">
        <f>_xll.BDH($B$84,"IS_OPER_INC","FY "&amp;M$62,"FY "&amp;M$62,"Currency="&amp;$D$13,"Period=FY","BEST_FPERIOD_OVERRIDE=FY","FILING_STATUS=MR","SCALING_FORMAT="&amp;$D$14,"FA_ADJUSTED=Adjusted","Sort=A","Dates=H","DateFormat=P","Fill=0","Direction=H","UseDPDF=Y")</f>
        <v>698500</v>
      </c>
      <c r="N86" s="11">
        <f>_xll.BDH($B$84,"IS_OPER_INC","FY "&amp;N$62,"FY "&amp;N$62,"Currency="&amp;$D$13,"Period=FY","BEST_FPERIOD_OVERRIDE=FY","FILING_STATUS=MR","SCALING_FORMAT="&amp;$D$14,"FA_ADJUSTED=Adjusted","Sort=A","Dates=H","DateFormat=P","Fill=0","Direction=H","UseDPDF=Y")</f>
        <v>859700</v>
      </c>
    </row>
    <row r="87" spans="1:23" ht="15" customHeight="1">
      <c r="A87" s="10"/>
      <c r="B87" s="10" t="s">
        <v>238</v>
      </c>
      <c r="C87" s="10"/>
      <c r="D87" s="10"/>
      <c r="E87" s="14">
        <f>_xll.BDP($B$84,"RETURN_ON_INV_CAPITAL","EQY_FUND_YEAR="&amp;E$62)/100</f>
        <v>1.7230633391331445E-2</v>
      </c>
      <c r="F87" s="14">
        <f>_xll.BDP($B$84,"RETURN_ON_INV_CAPITAL","EQY_FUND_YEAR="&amp;F$62)/100</f>
        <v>4.4715774301072028E-2</v>
      </c>
      <c r="G87" s="14">
        <f>_xll.BDP($B$84,"RETURN_ON_INV_CAPITAL","EQY_FUND_YEAR="&amp;G$62)/100</f>
        <v>3.506960237212231E-2</v>
      </c>
      <c r="H87" s="14">
        <f>_xll.BDP($B$84,"RETURN_ON_INV_CAPITAL","EQY_FUND_YEAR="&amp;H$62)/100</f>
        <v>6.281673852766155E-2</v>
      </c>
      <c r="I87" s="14">
        <f>_xll.BDP($B$84,"RETURN_ON_INV_CAPITAL","EQY_FUND_YEAR="&amp;I$62)/100</f>
        <v>5.5653749306278588E-2</v>
      </c>
      <c r="J87" s="14">
        <f>_xll.BDP($B$84,"RETURN_ON_INV_CAPITAL","EQY_FUND_YEAR="&amp;J$62)/100</f>
        <v>5.7763681388174205E-2</v>
      </c>
      <c r="K87" s="14">
        <f>_xll.BDP($B$84,"RETURN_ON_INV_CAPITAL","EQY_FUND_YEAR="&amp;K$62)/100</f>
        <v>2.8516215092378915E-2</v>
      </c>
      <c r="L87" s="14">
        <f>_xll.BDP($B$84,"RETURN_ON_INV_CAPITAL","EQY_FUND_YEAR="&amp;L$62)/100</f>
        <v>2.8783010495568761E-2</v>
      </c>
      <c r="M87" s="14">
        <f>_xll.BDP($B$84,"RETURN_ON_INV_CAPITAL","EQY_FUND_YEAR="&amp;M$62)/100</f>
        <v>4.210940169780536E-2</v>
      </c>
      <c r="N87" s="14">
        <f>_xll.BDP($B$84,"RETURN_ON_INV_CAPITAL","EQY_FUND_YEAR="&amp;N$62)/100</f>
        <v>5.3717508547230237E-2</v>
      </c>
    </row>
    <row r="88" spans="1:23" ht="15" customHeight="1">
      <c r="A88" s="10"/>
      <c r="B88" s="10" t="s">
        <v>339</v>
      </c>
      <c r="C88" s="10"/>
      <c r="D88" s="10"/>
      <c r="E88" s="14">
        <f>_xll.BDP($B$84,"wacc","EQY_FUND_YEAR="&amp;E$62)/100</f>
        <v>5.588860343982905E-2</v>
      </c>
      <c r="F88" s="14">
        <f>_xll.BDP($B$84,"wacc","EQY_FUND_YEAR="&amp;F$62)/100</f>
        <v>5.4949289316252939E-2</v>
      </c>
      <c r="G88" s="14">
        <f>_xll.BDP($B$84,"wacc","EQY_FUND_YEAR="&amp;G$62)/100</f>
        <v>5.1689064082729261E-2</v>
      </c>
      <c r="H88" s="14">
        <f>_xll.BDP($B$84,"wacc","EQY_FUND_YEAR="&amp;H$62)/100</f>
        <v>6.8157370349247209E-2</v>
      </c>
      <c r="I88" s="14">
        <f>_xll.BDP($B$84,"wacc","EQY_FUND_YEAR="&amp;I$62)/100</f>
        <v>5.9106724057203346E-2</v>
      </c>
      <c r="J88" s="14">
        <f>_xll.BDP($B$84,"wacc","EQY_FUND_YEAR="&amp;J$62)/100</f>
        <v>4.115561184583541E-2</v>
      </c>
      <c r="K88" s="14">
        <f>_xll.BDP($B$84,"wacc","EQY_FUND_YEAR="&amp;K$62)/100</f>
        <v>5.8459420288730871E-2</v>
      </c>
      <c r="L88" s="14">
        <f>_xll.BDP($B$84,"wacc","EQY_FUND_YEAR="&amp;L$62)/100</f>
        <v>6.7502799446030298E-2</v>
      </c>
      <c r="M88" s="14">
        <f>_xll.BDP($B$84,"wacc","EQY_FUND_YEAR="&amp;M$62)/100</f>
        <v>6.9133753842183496E-2</v>
      </c>
      <c r="N88" s="14">
        <f>_xll.BDP($B$84,"wacc","EQY_FUND_YEAR="&amp;N$62)/100</f>
        <v>6.0262436025898598E-2</v>
      </c>
    </row>
    <row r="89" spans="1:23" ht="15" customHeight="1">
      <c r="A89" s="10"/>
      <c r="B89" s="10" t="s">
        <v>698</v>
      </c>
      <c r="C89" s="10"/>
      <c r="D89" s="10"/>
      <c r="E89" s="11">
        <f>_xll.BDH($B$84,"ACQUIS_OF_FIXED_INTANG","FY "&amp;E$62,"FY "&amp;E$62,"Currency="&amp;$D$13,"Period=FY","BEST_FPERIOD_OVERRIDE=FY","FILING_STATUS=MR","SCALING_FORMAT="&amp;$D$14,"FA_ADJUSTED=Adjusted","Sort=A","Dates=H","DateFormat=P","Fill=0","Direction=H","UseDPDF=Y")</f>
        <v>-107900</v>
      </c>
      <c r="F89" s="11">
        <f>_xll.BDH($B$84,"ACQUIS_OF_FIXED_INTANG","FY "&amp;F$62,"FY "&amp;F$62,"Currency="&amp;$D$13,"Period=FY","BEST_FPERIOD_OVERRIDE=FY","FILING_STATUS=MR","SCALING_FORMAT="&amp;$D$14,"FA_ADJUSTED=Adjusted","Sort=A","Dates=H","DateFormat=P","Fill=0","Direction=H","UseDPDF=Y")</f>
        <v>-121500</v>
      </c>
      <c r="G89" s="11">
        <f>_xll.BDH($B$84,"ACQUIS_OF_FIXED_INTANG","FY "&amp;G$62,"FY "&amp;G$62,"Currency="&amp;$D$13,"Period=FY","BEST_FPERIOD_OVERRIDE=FY","FILING_STATUS=MR","SCALING_FORMAT="&amp;$D$14,"FA_ADJUSTED=Adjusted","Sort=A","Dates=H","DateFormat=P","Fill=0","Direction=H","UseDPDF=Y")</f>
        <v>-190400</v>
      </c>
      <c r="H89" s="11">
        <f>_xll.BDH($B$84,"ACQUIS_OF_FIXED_INTANG","FY "&amp;H$62,"FY "&amp;H$62,"Currency="&amp;$D$13,"Period=FY","BEST_FPERIOD_OVERRIDE=FY","FILING_STATUS=MR","SCALING_FORMAT="&amp;$D$14,"FA_ADJUSTED=Adjusted","Sort=A","Dates=H","DateFormat=P","Fill=0","Direction=H","UseDPDF=Y")</f>
        <v>-225000</v>
      </c>
      <c r="I89" s="11">
        <f>_xll.BDH($B$84,"ACQUIS_OF_FIXED_INTANG","FY "&amp;I$62,"FY "&amp;I$62,"Currency="&amp;$D$13,"Period=FY","BEST_FPERIOD_OVERRIDE=FY","FILING_STATUS=MR","SCALING_FORMAT="&amp;$D$14,"FA_ADJUSTED=Adjusted","Sort=A","Dates=H","DateFormat=P","Fill=0","Direction=H","UseDPDF=Y")</f>
        <v>-273900</v>
      </c>
      <c r="J89" s="11">
        <f>_xll.BDH($B$84,"ACQUIS_OF_FIXED_INTANG","FY "&amp;J$62,"FY "&amp;J$62,"Currency="&amp;$D$13,"Period=FY","BEST_FPERIOD_OVERRIDE=FY","FILING_STATUS=MR","SCALING_FORMAT="&amp;$D$14,"FA_ADJUSTED=Adjusted","Sort=A","Dates=H","DateFormat=P","Fill=0","Direction=H","UseDPDF=Y")</f>
        <v>-234600</v>
      </c>
      <c r="K89" s="11">
        <f>_xll.BDH($B$84,"ACQUIS_OF_FIXED_INTANG","FY "&amp;K$62,"FY "&amp;K$62,"Currency="&amp;$D$13,"Period=FY","BEST_FPERIOD_OVERRIDE=FY","FILING_STATUS=MR","SCALING_FORMAT="&amp;$D$14,"FA_ADJUSTED=Adjusted","Sort=A","Dates=H","DateFormat=P","Fill=0","Direction=H","UseDPDF=Y")</f>
        <v>-190900</v>
      </c>
      <c r="L89" s="11">
        <f>_xll.BDH($B$84,"ACQUIS_OF_FIXED_INTANG","FY "&amp;L$62,"FY "&amp;L$62,"Currency="&amp;$D$13,"Period=FY","BEST_FPERIOD_OVERRIDE=FY","FILING_STATUS=MR","SCALING_FORMAT="&amp;$D$14,"FA_ADJUSTED=Adjusted","Sort=A","Dates=H","DateFormat=P","Fill=0","Direction=H","UseDPDF=Y")</f>
        <v>-255300</v>
      </c>
      <c r="M89" s="11">
        <f>_xll.BDH($B$84,"ACQUIS_OF_FIXED_INTANG","FY "&amp;M$62,"FY "&amp;M$62,"Currency="&amp;$D$13,"Period=FY","BEST_FPERIOD_OVERRIDE=FY","FILING_STATUS=MR","SCALING_FORMAT="&amp;$D$14,"FA_ADJUSTED=Adjusted","Sort=A","Dates=H","DateFormat=P","Fill=0","Direction=H","UseDPDF=Y")</f>
        <v>-303000</v>
      </c>
      <c r="N89" s="11">
        <f>_xll.BDH($B$84,"ACQUIS_OF_FIXED_INTANG","FY "&amp;N$62,"FY "&amp;N$62,"Currency="&amp;$D$13,"Period=FY","BEST_FPERIOD_OVERRIDE=FY","FILING_STATUS=MR","SCALING_FORMAT="&amp;$D$14,"FA_ADJUSTED=Adjusted","Sort=A","Dates=H","DateFormat=P","Fill=0","Direction=H","UseDPDF=Y")</f>
        <v>-429500</v>
      </c>
    </row>
    <row r="90" spans="1:23" ht="15" customHeight="1">
      <c r="A90" s="10"/>
      <c r="B90" s="10" t="s">
        <v>699</v>
      </c>
      <c r="C90" s="10"/>
      <c r="D90" s="10"/>
      <c r="E90" s="14">
        <f>_xll.BDH($B$84,"TOT_DEBT_TO_TOT_EQY","FY "&amp;E$62,"FY "&amp;E$62,"Currency="&amp;$D$13,"Period=FY","BEST_FPERIOD_OVERRIDE=FY","FILING_STATUS=MR","SCALING_FORMAT="&amp;$D$14,"FA_ADJUSTED=Adjusted","Sort=A","Dates=H","DateFormat=P","Fill=0","Direction=H","UseDPDF=Y")/100</f>
        <v>1.458647</v>
      </c>
      <c r="F90" s="14">
        <f>_xll.BDH($B$84,"TOT_DEBT_TO_TOT_EQY","FY "&amp;F$62,"FY "&amp;F$62,"Currency="&amp;$D$13,"Period=FY","BEST_FPERIOD_OVERRIDE=FY","FILING_STATUS=MR","SCALING_FORMAT="&amp;$D$14,"FA_ADJUSTED=Adjusted","Sort=A","Dates=H","DateFormat=P","Fill=0","Direction=H","UseDPDF=Y")/100</f>
        <v>1.516818</v>
      </c>
      <c r="G90" s="14">
        <f>_xll.BDH($B$84,"TOT_DEBT_TO_TOT_EQY","FY "&amp;G$62,"FY "&amp;G$62,"Currency="&amp;$D$13,"Period=FY","BEST_FPERIOD_OVERRIDE=FY","FILING_STATUS=MR","SCALING_FORMAT="&amp;$D$14,"FA_ADJUSTED=Adjusted","Sort=A","Dates=H","DateFormat=P","Fill=0","Direction=H","UseDPDF=Y")/100</f>
        <v>2.5705990000000001</v>
      </c>
      <c r="H90" s="14">
        <f>_xll.BDH($B$84,"TOT_DEBT_TO_TOT_EQY","FY "&amp;H$62,"FY "&amp;H$62,"Currency="&amp;$D$13,"Period=FY","BEST_FPERIOD_OVERRIDE=FY","FILING_STATUS=MR","SCALING_FORMAT="&amp;$D$14,"FA_ADJUSTED=Adjusted","Sort=A","Dates=H","DateFormat=P","Fill=0","Direction=H","UseDPDF=Y")/100</f>
        <v>2.370266</v>
      </c>
      <c r="I90" s="14">
        <f>_xll.BDH($B$84,"TOT_DEBT_TO_TOT_EQY","FY "&amp;I$62,"FY "&amp;I$62,"Currency="&amp;$D$13,"Period=FY","BEST_FPERIOD_OVERRIDE=FY","FILING_STATUS=MR","SCALING_FORMAT="&amp;$D$14,"FA_ADJUSTED=Adjusted","Sort=A","Dates=H","DateFormat=P","Fill=0","Direction=H","UseDPDF=Y")/100</f>
        <v>2.4102070000000002</v>
      </c>
      <c r="J90" s="14">
        <f>_xll.BDH($B$84,"TOT_DEBT_TO_TOT_EQY","FY "&amp;J$62,"FY "&amp;J$62,"Currency="&amp;$D$13,"Period=FY","BEST_FPERIOD_OVERRIDE=FY","FILING_STATUS=MR","SCALING_FORMAT="&amp;$D$14,"FA_ADJUSTED=Adjusted","Sort=A","Dates=H","DateFormat=P","Fill=0","Direction=H","UseDPDF=Y")/100</f>
        <v>2.5275720000000002</v>
      </c>
      <c r="K90" s="14">
        <f>_xll.BDH($B$84,"TOT_DEBT_TO_TOT_EQY","FY "&amp;K$62,"FY "&amp;K$62,"Currency="&amp;$D$13,"Period=FY","BEST_FPERIOD_OVERRIDE=FY","FILING_STATUS=MR","SCALING_FORMAT="&amp;$D$14,"FA_ADJUSTED=Adjusted","Sort=A","Dates=H","DateFormat=P","Fill=0","Direction=H","UseDPDF=Y")/100</f>
        <v>2.1480779999999999</v>
      </c>
      <c r="L90" s="14">
        <f>_xll.BDH($B$84,"TOT_DEBT_TO_TOT_EQY","FY "&amp;L$62,"FY "&amp;L$62,"Currency="&amp;$D$13,"Period=FY","BEST_FPERIOD_OVERRIDE=FY","FILING_STATUS=MR","SCALING_FORMAT="&amp;$D$14,"FA_ADJUSTED=Adjusted","Sort=A","Dates=H","DateFormat=P","Fill=0","Direction=H","UseDPDF=Y")/100</f>
        <v>1.7067160000000001</v>
      </c>
      <c r="M90" s="14">
        <f>_xll.BDH($B$84,"TOT_DEBT_TO_TOT_EQY","FY "&amp;M$62,"FY "&amp;M$62,"Currency="&amp;$D$13,"Period=FY","BEST_FPERIOD_OVERRIDE=FY","FILING_STATUS=MR","SCALING_FORMAT="&amp;$D$14,"FA_ADJUSTED=Adjusted","Sort=A","Dates=H","DateFormat=P","Fill=0","Direction=H","UseDPDF=Y")/100</f>
        <v>1.618285</v>
      </c>
      <c r="N90" s="14">
        <f>_xll.BDH($B$84,"TOT_DEBT_TO_TOT_EQY","FY "&amp;N$62,"FY "&amp;N$62,"Currency="&amp;$D$13,"Period=FY","BEST_FPERIOD_OVERRIDE=FY","FILING_STATUS=MR","SCALING_FORMAT="&amp;$D$14,"FA_ADJUSTED=Adjusted","Sort=A","Dates=H","DateFormat=P","Fill=0","Direction=H","UseDPDF=Y")/100</f>
        <v>1.7216980000000002</v>
      </c>
    </row>
    <row r="91" spans="1:23" ht="15" customHeight="1">
      <c r="A91" s="10"/>
      <c r="B91" s="10" t="s">
        <v>700</v>
      </c>
      <c r="C91" s="10"/>
      <c r="D91" s="10"/>
      <c r="E91" s="14">
        <f t="shared" ref="E91:N91" si="11">+E86/E85</f>
        <v>7.7729013381524034E-2</v>
      </c>
      <c r="F91" s="14">
        <f t="shared" si="11"/>
        <v>0.12240391501551683</v>
      </c>
      <c r="G91" s="14">
        <f t="shared" si="11"/>
        <v>0.12026866699835431</v>
      </c>
      <c r="H91" s="14">
        <f t="shared" si="11"/>
        <v>0.12659016812631849</v>
      </c>
      <c r="I91" s="14">
        <f t="shared" si="11"/>
        <v>0.13814226118181339</v>
      </c>
      <c r="J91" s="14">
        <f t="shared" si="11"/>
        <v>0.12339656412866093</v>
      </c>
      <c r="K91" s="14">
        <f t="shared" si="11"/>
        <v>0.10466400305177986</v>
      </c>
      <c r="L91" s="14">
        <f t="shared" si="11"/>
        <v>8.2700984413453651E-2</v>
      </c>
      <c r="M91" s="14">
        <f t="shared" si="11"/>
        <v>9.9914175368330707E-2</v>
      </c>
      <c r="N91" s="14">
        <f t="shared" si="11"/>
        <v>0.10851098741590619</v>
      </c>
    </row>
    <row r="92" spans="1:23" ht="15" customHeight="1">
      <c r="A92" s="10"/>
      <c r="B92" s="10" t="s">
        <v>701</v>
      </c>
      <c r="C92" s="10"/>
      <c r="D92" s="10"/>
      <c r="E92" s="367">
        <f t="shared" ref="E92:N92" si="12">+E87/E88</f>
        <v>0.30830316613443992</v>
      </c>
      <c r="F92" s="367">
        <f t="shared" si="12"/>
        <v>0.81376437907534438</v>
      </c>
      <c r="G92" s="367">
        <f t="shared" si="12"/>
        <v>0.6784723808500922</v>
      </c>
      <c r="H92" s="367">
        <f t="shared" si="12"/>
        <v>0.92164263682387437</v>
      </c>
      <c r="I92" s="367">
        <f t="shared" si="12"/>
        <v>0.941580677900826</v>
      </c>
      <c r="J92" s="367">
        <f t="shared" si="12"/>
        <v>1.4035432544303041</v>
      </c>
      <c r="K92" s="367">
        <f t="shared" si="12"/>
        <v>0.48779503716488171</v>
      </c>
      <c r="L92" s="367">
        <f t="shared" si="12"/>
        <v>0.42639728621301543</v>
      </c>
      <c r="M92" s="367">
        <f t="shared" si="12"/>
        <v>0.60910046623435876</v>
      </c>
      <c r="N92" s="367">
        <f t="shared" si="12"/>
        <v>0.89139291554932176</v>
      </c>
    </row>
    <row r="93" spans="1:23" ht="15" customHeight="1">
      <c r="A93" s="10"/>
      <c r="B93" s="10" t="s">
        <v>702</v>
      </c>
      <c r="C93" s="10"/>
      <c r="D93" s="10"/>
      <c r="E93" s="14">
        <f t="shared" ref="E93:N93" si="13">-E89/E85</f>
        <v>2.3213286863732197E-2</v>
      </c>
      <c r="F93" s="14">
        <f t="shared" si="13"/>
        <v>2.4170446407257101E-2</v>
      </c>
      <c r="G93" s="14">
        <f t="shared" si="13"/>
        <v>3.6434612882238128E-2</v>
      </c>
      <c r="H93" s="14">
        <f t="shared" si="13"/>
        <v>3.5958575720769673E-2</v>
      </c>
      <c r="I93" s="14">
        <f t="shared" si="13"/>
        <v>4.8212494059249086E-2</v>
      </c>
      <c r="J93" s="14">
        <f t="shared" si="13"/>
        <v>4.1167283766473058E-2</v>
      </c>
      <c r="K93" s="14">
        <f t="shared" si="13"/>
        <v>3.8327945871062301E-2</v>
      </c>
      <c r="L93" s="14">
        <f t="shared" si="13"/>
        <v>4.363207547169811E-2</v>
      </c>
      <c r="M93" s="14">
        <f t="shared" si="13"/>
        <v>4.3341438992990991E-2</v>
      </c>
      <c r="N93" s="14">
        <f t="shared" si="13"/>
        <v>5.4211316849053982E-2</v>
      </c>
    </row>
    <row r="94" spans="1:23" ht="15" customHeight="1">
      <c r="A94" s="10"/>
      <c r="B94" s="10"/>
      <c r="C94" s="10"/>
      <c r="D94" s="10"/>
      <c r="E94" s="10"/>
      <c r="F94" s="10"/>
      <c r="G94" s="10"/>
      <c r="H94" s="10"/>
      <c r="I94" s="10"/>
      <c r="J94" s="10"/>
      <c r="K94" s="10"/>
      <c r="L94" s="10"/>
      <c r="M94" s="10"/>
      <c r="N94" s="10"/>
    </row>
    <row r="95" spans="1:23" ht="15" customHeight="1">
      <c r="A95" s="10" t="s">
        <v>33</v>
      </c>
      <c r="B95" s="368" t="str">
        <f>+E23</f>
        <v>TSN US Equity</v>
      </c>
      <c r="C95" s="369"/>
      <c r="D95" s="369"/>
      <c r="E95" s="366">
        <f>+E84</f>
        <v>2015</v>
      </c>
      <c r="F95" s="366">
        <f>+F84</f>
        <v>2016</v>
      </c>
      <c r="G95" s="366">
        <f>+G84</f>
        <v>2017</v>
      </c>
      <c r="H95" s="366">
        <f t="shared" ref="H95:N95" si="14">+G95+1</f>
        <v>2018</v>
      </c>
      <c r="I95" s="366">
        <f t="shared" si="14"/>
        <v>2019</v>
      </c>
      <c r="J95" s="366">
        <f t="shared" si="14"/>
        <v>2020</v>
      </c>
      <c r="K95" s="366">
        <f t="shared" si="14"/>
        <v>2021</v>
      </c>
      <c r="L95" s="366">
        <f t="shared" si="14"/>
        <v>2022</v>
      </c>
      <c r="M95" s="366">
        <f t="shared" si="14"/>
        <v>2023</v>
      </c>
      <c r="N95" s="366">
        <f t="shared" si="14"/>
        <v>2024</v>
      </c>
    </row>
    <row r="96" spans="1:23" ht="15" customHeight="1">
      <c r="A96" s="10"/>
      <c r="B96" s="10" t="s">
        <v>355</v>
      </c>
      <c r="C96" s="10"/>
      <c r="D96" s="10"/>
      <c r="E96" s="11">
        <f>_xll.BDH($B$95,"SALES_REV_TURN","FY "&amp;E$62,"FY "&amp;E$62,"Currency="&amp;$D$13,"Period=FY","BEST_FPERIOD_OVERRIDE=FY","FILING_STATUS=MR","SCALING_FORMAT="&amp;$D$14,"FA_ADJUSTED=Adjusted","Sort=A","Dates=H","DateFormat=P","Fill=0","Direction=H","UseDPDF=Y")</f>
        <v>41373000</v>
      </c>
      <c r="F96" s="11">
        <f>_xll.BDH($B$95,"SALES_REV_TURN","FY "&amp;F$62,"FY "&amp;F$62,"Currency="&amp;$D$13,"Period=FY","BEST_FPERIOD_OVERRIDE=FY","FILING_STATUS=MR","SCALING_FORMAT="&amp;$D$14,"FA_ADJUSTED=Adjusted","Sort=A","Dates=H","DateFormat=P","Fill=0","Direction=H","UseDPDF=Y")</f>
        <v>36881000</v>
      </c>
      <c r="G96" s="11">
        <f>_xll.BDH($B$95,"SALES_REV_TURN","FY "&amp;G$62,"FY "&amp;G$62,"Currency="&amp;$D$13,"Period=FY","BEST_FPERIOD_OVERRIDE=FY","FILING_STATUS=MR","SCALING_FORMAT="&amp;$D$14,"FA_ADJUSTED=Adjusted","Sort=A","Dates=H","DateFormat=P","Fill=0","Direction=H","UseDPDF=Y")</f>
        <v>38260000</v>
      </c>
      <c r="H96" s="11">
        <f>_xll.BDH($B$95,"SALES_REV_TURN","FY "&amp;H$62,"FY "&amp;H$62,"Currency="&amp;$D$13,"Period=FY","BEST_FPERIOD_OVERRIDE=FY","FILING_STATUS=MR","SCALING_FORMAT="&amp;$D$14,"FA_ADJUSTED=Adjusted","Sort=A","Dates=H","DateFormat=P","Fill=0","Direction=H","UseDPDF=Y")</f>
        <v>40052000</v>
      </c>
      <c r="I96" s="11">
        <f>_xll.BDH($B$95,"SALES_REV_TURN","FY "&amp;I$62,"FY "&amp;I$62,"Currency="&amp;$D$13,"Period=FY","BEST_FPERIOD_OVERRIDE=FY","FILING_STATUS=MR","SCALING_FORMAT="&amp;$D$14,"FA_ADJUSTED=Adjusted","Sort=A","Dates=H","DateFormat=P","Fill=0","Direction=H","UseDPDF=Y")</f>
        <v>42405000</v>
      </c>
      <c r="J96" s="11">
        <f>_xll.BDH($B$95,"SALES_REV_TURN","FY "&amp;J$62,"FY "&amp;J$62,"Currency="&amp;$D$13,"Period=FY","BEST_FPERIOD_OVERRIDE=FY","FILING_STATUS=MR","SCALING_FORMAT="&amp;$D$14,"FA_ADJUSTED=Adjusted","Sort=A","Dates=H","DateFormat=P","Fill=0","Direction=H","UseDPDF=Y")</f>
        <v>43185000</v>
      </c>
      <c r="K96" s="11">
        <f>_xll.BDH($B$95,"SALES_REV_TURN","FY "&amp;K$62,"FY "&amp;K$62,"Currency="&amp;$D$13,"Period=FY","BEST_FPERIOD_OVERRIDE=FY","FILING_STATUS=MR","SCALING_FORMAT="&amp;$D$14,"FA_ADJUSTED=Adjusted","Sort=A","Dates=H","DateFormat=P","Fill=0","Direction=H","UseDPDF=Y")</f>
        <v>47049000</v>
      </c>
      <c r="L96" s="11">
        <f>_xll.BDH($B$95,"SALES_REV_TURN","FY "&amp;L$62,"FY "&amp;L$62,"Currency="&amp;$D$13,"Period=FY","BEST_FPERIOD_OVERRIDE=FY","FILING_STATUS=MR","SCALING_FORMAT="&amp;$D$14,"FA_ADJUSTED=Adjusted","Sort=A","Dates=H","DateFormat=P","Fill=0","Direction=H","UseDPDF=Y")</f>
        <v>53282000</v>
      </c>
      <c r="M96" s="11">
        <f>_xll.BDH($B$95,"SALES_REV_TURN","FY "&amp;M$62,"FY "&amp;M$62,"Currency="&amp;$D$13,"Period=FY","BEST_FPERIOD_OVERRIDE=FY","FILING_STATUS=MR","SCALING_FORMAT="&amp;$D$14,"FA_ADJUSTED=Adjusted","Sort=A","Dates=H","DateFormat=P","Fill=0","Direction=H","UseDPDF=Y")</f>
        <v>52881000</v>
      </c>
      <c r="N96" s="11">
        <f>_xll.BDH($B$95,"SALES_REV_TURN","FY "&amp;N$62,"FY "&amp;N$62,"Currency="&amp;$D$13,"Period=FY","BEST_FPERIOD_OVERRIDE=FY","FILING_STATUS=MR","SCALING_FORMAT="&amp;$D$14,"FA_ADJUSTED=Adjusted","Sort=A","Dates=H","DateFormat=P","Fill=0","Direction=H","UseDPDF=Y")</f>
        <v>53309000</v>
      </c>
    </row>
    <row r="97" spans="1:14" ht="15" customHeight="1">
      <c r="A97" s="10"/>
      <c r="B97" s="10" t="s">
        <v>697</v>
      </c>
      <c r="C97" s="10"/>
      <c r="D97" s="10"/>
      <c r="E97" s="11">
        <f>_xll.BDH($B$95,"IS_OPER_INC","FY "&amp;E$62,"FY "&amp;E$62,"Currency="&amp;$D$13,"Period=FY","BEST_FPERIOD_OVERRIDE=FY","FILING_STATUS=MR","SCALING_FORMAT="&amp;$D$14,"FA_ADJUSTED=Adjusted","Sort=A","Dates=H","DateFormat=P","Fill=0","Direction=H","UseDPDF=Y")</f>
        <v>2297000</v>
      </c>
      <c r="F97" s="11">
        <f>_xll.BDH($B$95,"IS_OPER_INC","FY "&amp;F$62,"FY "&amp;F$62,"Currency="&amp;$D$13,"Period=FY","BEST_FPERIOD_OVERRIDE=FY","FILING_STATUS=MR","SCALING_FORMAT="&amp;$D$14,"FA_ADJUSTED=Adjusted","Sort=A","Dates=H","DateFormat=P","Fill=0","Direction=H","UseDPDF=Y")</f>
        <v>2878000</v>
      </c>
      <c r="G97" s="11">
        <f>_xll.BDH($B$95,"IS_OPER_INC","FY "&amp;G$62,"FY "&amp;G$62,"Currency="&amp;$D$13,"Period=FY","BEST_FPERIOD_OVERRIDE=FY","FILING_STATUS=MR","SCALING_FORMAT="&amp;$D$14,"FA_ADJUSTED=Adjusted","Sort=A","Dates=H","DateFormat=P","Fill=0","Direction=H","UseDPDF=Y")</f>
        <v>3271000</v>
      </c>
      <c r="H97" s="11">
        <f>_xll.BDH($B$95,"IS_OPER_INC","FY "&amp;H$62,"FY "&amp;H$62,"Currency="&amp;$D$13,"Period=FY","BEST_FPERIOD_OVERRIDE=FY","FILING_STATUS=MR","SCALING_FORMAT="&amp;$D$14,"FA_ADJUSTED=Adjusted","Sort=A","Dates=H","DateFormat=P","Fill=0","Direction=H","UseDPDF=Y")</f>
        <v>3443000</v>
      </c>
      <c r="I97" s="11">
        <f>_xll.BDH($B$95,"IS_OPER_INC","FY "&amp;I$62,"FY "&amp;I$62,"Currency="&amp;$D$13,"Period=FY","BEST_FPERIOD_OVERRIDE=FY","FILING_STATUS=MR","SCALING_FORMAT="&amp;$D$14,"FA_ADJUSTED=Adjusted","Sort=A","Dates=H","DateFormat=P","Fill=0","Direction=H","UseDPDF=Y")</f>
        <v>3063000</v>
      </c>
      <c r="J97" s="11">
        <f>_xll.BDH($B$95,"IS_OPER_INC","FY "&amp;J$62,"FY "&amp;J$62,"Currency="&amp;$D$13,"Period=FY","BEST_FPERIOD_OVERRIDE=FY","FILING_STATUS=MR","SCALING_FORMAT="&amp;$D$14,"FA_ADJUSTED=Adjusted","Sort=A","Dates=H","DateFormat=P","Fill=0","Direction=H","UseDPDF=Y")</f>
        <v>2903000</v>
      </c>
      <c r="K97" s="11">
        <f>_xll.BDH($B$95,"IS_OPER_INC","FY "&amp;K$62,"FY "&amp;K$62,"Currency="&amp;$D$13,"Period=FY","BEST_FPERIOD_OVERRIDE=FY","FILING_STATUS=MR","SCALING_FORMAT="&amp;$D$14,"FA_ADJUSTED=Adjusted","Sort=A","Dates=H","DateFormat=P","Fill=0","Direction=H","UseDPDF=Y")</f>
        <v>4248000</v>
      </c>
      <c r="L97" s="11">
        <f>_xll.BDH($B$95,"IS_OPER_INC","FY "&amp;L$62,"FY "&amp;L$62,"Currency="&amp;$D$13,"Period=FY","BEST_FPERIOD_OVERRIDE=FY","FILING_STATUS=MR","SCALING_FORMAT="&amp;$D$14,"FA_ADJUSTED=Adjusted","Sort=A","Dates=H","DateFormat=P","Fill=0","Direction=H","UseDPDF=Y")</f>
        <v>4362000</v>
      </c>
      <c r="M97" s="11">
        <f>_xll.BDH($B$95,"IS_OPER_INC","FY "&amp;M$62,"FY "&amp;M$62,"Currency="&amp;$D$13,"Period=FY","BEST_FPERIOD_OVERRIDE=FY","FILING_STATUS=MR","SCALING_FORMAT="&amp;$D$14,"FA_ADJUSTED=Adjusted","Sort=A","Dates=H","DateFormat=P","Fill=0","Direction=H","UseDPDF=Y")</f>
        <v>894000</v>
      </c>
      <c r="N97" s="11">
        <f>_xll.BDH($B$95,"IS_OPER_INC","FY "&amp;N$62,"FY "&amp;N$62,"Currency="&amp;$D$13,"Period=FY","BEST_FPERIOD_OVERRIDE=FY","FILING_STATUS=MR","SCALING_FORMAT="&amp;$D$14,"FA_ADJUSTED=Adjusted","Sort=A","Dates=H","DateFormat=P","Fill=0","Direction=H","UseDPDF=Y")</f>
        <v>1786000</v>
      </c>
    </row>
    <row r="98" spans="1:14" ht="15" customHeight="1">
      <c r="A98" s="10"/>
      <c r="B98" s="10" t="s">
        <v>238</v>
      </c>
      <c r="C98" s="10"/>
      <c r="D98" s="10"/>
      <c r="E98" s="14">
        <f>_xll.BDP($B$95,"RETURN_ON_INV_CAPITAL","EQY_FUND_YEAR="&amp;E$62)/100</f>
        <v>8.2207523626320625E-2</v>
      </c>
      <c r="F98" s="14">
        <f>_xll.BDP($B$95,"RETURN_ON_INV_CAPITAL","EQY_FUND_YEAR="&amp;F$62)/100</f>
        <v>0.1195458933437098</v>
      </c>
      <c r="G98" s="14">
        <f>_xll.BDP($B$95,"RETURN_ON_INV_CAPITAL","EQY_FUND_YEAR="&amp;G$62)/100</f>
        <v>0.10841947705963854</v>
      </c>
      <c r="H98" s="14">
        <f>_xll.BDP($B$95,"RETURN_ON_INV_CAPITAL","EQY_FUND_YEAR="&amp;H$62)/100</f>
        <v>0.15318444102163267</v>
      </c>
      <c r="I98" s="14">
        <f>_xll.BDP($B$95,"RETURN_ON_INV_CAPITAL","EQY_FUND_YEAR="&amp;I$62)/100</f>
        <v>9.801126028680017E-2</v>
      </c>
      <c r="J98" s="14">
        <f>_xll.BDP($B$95,"RETURN_ON_INV_CAPITAL","EQY_FUND_YEAR="&amp;J$62)/100</f>
        <v>8.363143442363033E-2</v>
      </c>
      <c r="K98" s="14">
        <f>_xll.BDP($B$95,"RETURN_ON_INV_CAPITAL","EQY_FUND_YEAR="&amp;K$62)/100</f>
        <v>0.12138177718005203</v>
      </c>
      <c r="L98" s="14">
        <f>_xll.BDP($B$95,"RETURN_ON_INV_CAPITAL","EQY_FUND_YEAR="&amp;L$62)/100</f>
        <v>0.12280196957555091</v>
      </c>
      <c r="M98" s="14">
        <f>_xll.BDP($B$95,"RETURN_ON_INV_CAPITAL","EQY_FUND_YEAR="&amp;M$62)/100</f>
        <v>-1.4722782877301365E-2</v>
      </c>
      <c r="N98" s="14">
        <f>_xll.BDP($B$95,"RETURN_ON_INV_CAPITAL","EQY_FUND_YEAR="&amp;N$62)/100</f>
        <v>3.7264040140910108E-2</v>
      </c>
    </row>
    <row r="99" spans="1:14" ht="15" customHeight="1">
      <c r="A99" s="10"/>
      <c r="B99" s="10" t="s">
        <v>339</v>
      </c>
      <c r="C99" s="10"/>
      <c r="D99" s="10"/>
      <c r="E99" s="14">
        <f>_xll.BDP($B$95,"wacc","EQY_FUND_YEAR="&amp;E$62)/100</f>
        <v>6.3525609743070061E-2</v>
      </c>
      <c r="F99" s="14">
        <f>_xll.BDP($B$95,"wacc","EQY_FUND_YEAR="&amp;F$62)/100</f>
        <v>6.4523408272693705E-2</v>
      </c>
      <c r="G99" s="14">
        <f>_xll.BDP($B$95,"wacc","EQY_FUND_YEAR="&amp;G$62)/100</f>
        <v>5.3991057677750316E-2</v>
      </c>
      <c r="H99" s="14">
        <f>_xll.BDP($B$95,"wacc","EQY_FUND_YEAR="&amp;H$62)/100</f>
        <v>6.6301061755601104E-2</v>
      </c>
      <c r="I99" s="14">
        <f>_xll.BDP($B$95,"wacc","EQY_FUND_YEAR="&amp;I$62)/100</f>
        <v>5.7835543293221992E-2</v>
      </c>
      <c r="J99" s="14">
        <f>_xll.BDP($B$95,"wacc","EQY_FUND_YEAR="&amp;J$62)/100</f>
        <v>5.1423432723644288E-2</v>
      </c>
      <c r="K99" s="14">
        <f>_xll.BDP($B$95,"wacc","EQY_FUND_YEAR="&amp;K$62)/100</f>
        <v>7.2157411421625517E-2</v>
      </c>
      <c r="L99" s="14">
        <f>_xll.BDP($B$95,"wacc","EQY_FUND_YEAR="&amp;L$62)/100</f>
        <v>6.7181405802105645E-2</v>
      </c>
      <c r="M99" s="14">
        <f>_xll.BDP($B$95,"wacc","EQY_FUND_YEAR="&amp;M$62)/100</f>
        <v>7.8095817773147502E-2</v>
      </c>
      <c r="N99" s="14">
        <f>_xll.BDP($B$95,"wacc","EQY_FUND_YEAR="&amp;N$62)/100</f>
        <v>5.9644190703788721E-2</v>
      </c>
    </row>
    <row r="100" spans="1:14" ht="15" customHeight="1">
      <c r="A100" s="10"/>
      <c r="B100" s="10" t="s">
        <v>698</v>
      </c>
      <c r="C100" s="10"/>
      <c r="D100" s="10"/>
      <c r="E100" s="11">
        <f>_xll.BDH($B$95,"ACQUIS_OF_FIXED_INTANG","FY "&amp;E$62,"FY "&amp;E$62,"Currency="&amp;$D$13,"Period=FY","BEST_FPERIOD_OVERRIDE=FY","FILING_STATUS=MR","SCALING_FORMAT="&amp;$D$14,"FA_ADJUSTED=Adjusted","Sort=A","Dates=H","DateFormat=P","Fill=0","Direction=H","UseDPDF=Y")</f>
        <v>-854000</v>
      </c>
      <c r="F100" s="11">
        <f>_xll.BDH($B$95,"ACQUIS_OF_FIXED_INTANG","FY "&amp;F$62,"FY "&amp;F$62,"Currency="&amp;$D$13,"Period=FY","BEST_FPERIOD_OVERRIDE=FY","FILING_STATUS=MR","SCALING_FORMAT="&amp;$D$14,"FA_ADJUSTED=Adjusted","Sort=A","Dates=H","DateFormat=P","Fill=0","Direction=H","UseDPDF=Y")</f>
        <v>-695000</v>
      </c>
      <c r="G100" s="11">
        <f>_xll.BDH($B$95,"ACQUIS_OF_FIXED_INTANG","FY "&amp;G$62,"FY "&amp;G$62,"Currency="&amp;$D$13,"Period=FY","BEST_FPERIOD_OVERRIDE=FY","FILING_STATUS=MR","SCALING_FORMAT="&amp;$D$14,"FA_ADJUSTED=Adjusted","Sort=A","Dates=H","DateFormat=P","Fill=0","Direction=H","UseDPDF=Y")</f>
        <v>-1069000</v>
      </c>
      <c r="H100" s="11">
        <f>_xll.BDH($B$95,"ACQUIS_OF_FIXED_INTANG","FY "&amp;H$62,"FY "&amp;H$62,"Currency="&amp;$D$13,"Period=FY","BEST_FPERIOD_OVERRIDE=FY","FILING_STATUS=MR","SCALING_FORMAT="&amp;$D$14,"FA_ADJUSTED=Adjusted","Sort=A","Dates=H","DateFormat=P","Fill=0","Direction=H","UseDPDF=Y")</f>
        <v>-1200000</v>
      </c>
      <c r="I100" s="11">
        <f>_xll.BDH($B$95,"ACQUIS_OF_FIXED_INTANG","FY "&amp;I$62,"FY "&amp;I$62,"Currency="&amp;$D$13,"Period=FY","BEST_FPERIOD_OVERRIDE=FY","FILING_STATUS=MR","SCALING_FORMAT="&amp;$D$14,"FA_ADJUSTED=Adjusted","Sort=A","Dates=H","DateFormat=P","Fill=0","Direction=H","UseDPDF=Y")</f>
        <v>-1259000</v>
      </c>
      <c r="J100" s="11">
        <f>_xll.BDH($B$95,"ACQUIS_OF_FIXED_INTANG","FY "&amp;J$62,"FY "&amp;J$62,"Currency="&amp;$D$13,"Period=FY","BEST_FPERIOD_OVERRIDE=FY","FILING_STATUS=MR","SCALING_FORMAT="&amp;$D$14,"FA_ADJUSTED=Adjusted","Sort=A","Dates=H","DateFormat=P","Fill=0","Direction=H","UseDPDF=Y")</f>
        <v>-1199000</v>
      </c>
      <c r="K100" s="11">
        <f>_xll.BDH($B$95,"ACQUIS_OF_FIXED_INTANG","FY "&amp;K$62,"FY "&amp;K$62,"Currency="&amp;$D$13,"Period=FY","BEST_FPERIOD_OVERRIDE=FY","FILING_STATUS=MR","SCALING_FORMAT="&amp;$D$14,"FA_ADJUSTED=Adjusted","Sort=A","Dates=H","DateFormat=P","Fill=0","Direction=H","UseDPDF=Y")</f>
        <v>-1209000</v>
      </c>
      <c r="L100" s="11">
        <f>_xll.BDH($B$95,"ACQUIS_OF_FIXED_INTANG","FY "&amp;L$62,"FY "&amp;L$62,"Currency="&amp;$D$13,"Period=FY","BEST_FPERIOD_OVERRIDE=FY","FILING_STATUS=MR","SCALING_FORMAT="&amp;$D$14,"FA_ADJUSTED=Adjusted","Sort=A","Dates=H","DateFormat=P","Fill=0","Direction=H","UseDPDF=Y")</f>
        <v>-1887000</v>
      </c>
      <c r="M100" s="11">
        <f>_xll.BDH($B$95,"ACQUIS_OF_FIXED_INTANG","FY "&amp;M$62,"FY "&amp;M$62,"Currency="&amp;$D$13,"Period=FY","BEST_FPERIOD_OVERRIDE=FY","FILING_STATUS=MR","SCALING_FORMAT="&amp;$D$14,"FA_ADJUSTED=Adjusted","Sort=A","Dates=H","DateFormat=P","Fill=0","Direction=H","UseDPDF=Y")</f>
        <v>-1939000</v>
      </c>
      <c r="N100" s="11">
        <f>_xll.BDH($B$95,"ACQUIS_OF_FIXED_INTANG","FY "&amp;N$62,"FY "&amp;N$62,"Currency="&amp;$D$13,"Period=FY","BEST_FPERIOD_OVERRIDE=FY","FILING_STATUS=MR","SCALING_FORMAT="&amp;$D$14,"FA_ADJUSTED=Adjusted","Sort=A","Dates=H","DateFormat=P","Fill=0","Direction=H","UseDPDF=Y")</f>
        <v>-1132000</v>
      </c>
    </row>
    <row r="101" spans="1:14" ht="15" customHeight="1">
      <c r="A101" s="10"/>
      <c r="B101" s="10" t="s">
        <v>699</v>
      </c>
      <c r="C101" s="10"/>
      <c r="D101" s="10"/>
      <c r="E101" s="14">
        <f>_xll.BDH($B$95,"TOT_DEBT_TO_TOT_EQY","FY "&amp;E$62,"FY "&amp;E$62,"Currency="&amp;$D$13,"Period=FY","BEST_FPERIOD_OVERRIDE=FY","FILING_STATUS=MR","SCALING_FORMAT="&amp;$D$14,"FA_ADJUSTED=Adjusted","Sort=A","Dates=H","DateFormat=P","Fill=0","Direction=H","UseDPDF=Y")/100</f>
        <v>0.6928700000000001</v>
      </c>
      <c r="F101" s="14">
        <f>_xll.BDH($B$95,"TOT_DEBT_TO_TOT_EQY","FY "&amp;F$62,"FY "&amp;F$62,"Currency="&amp;$D$13,"Period=FY","BEST_FPERIOD_OVERRIDE=FY","FILING_STATUS=MR","SCALING_FORMAT="&amp;$D$14,"FA_ADJUSTED=Adjusted","Sort=A","Dates=H","DateFormat=P","Fill=0","Direction=H","UseDPDF=Y")/100</f>
        <v>0.65243099999999998</v>
      </c>
      <c r="G101" s="14">
        <f>_xll.BDH($B$95,"TOT_DEBT_TO_TOT_EQY","FY "&amp;G$62,"FY "&amp;G$62,"Currency="&amp;$D$13,"Period=FY","BEST_FPERIOD_OVERRIDE=FY","FILING_STATUS=MR","SCALING_FORMAT="&amp;$D$14,"FA_ADJUSTED=Adjusted","Sort=A","Dates=H","DateFormat=P","Fill=0","Direction=H","UseDPDF=Y")/100</f>
        <v>0.96628500000000006</v>
      </c>
      <c r="H101" s="14">
        <f>_xll.BDH($B$95,"TOT_DEBT_TO_TOT_EQY","FY "&amp;H$62,"FY "&amp;H$62,"Currency="&amp;$D$13,"Period=FY","BEST_FPERIOD_OVERRIDE=FY","FILING_STATUS=MR","SCALING_FORMAT="&amp;$D$14,"FA_ADJUSTED=Adjusted","Sort=A","Dates=H","DateFormat=P","Fill=0","Direction=H","UseDPDF=Y")/100</f>
        <v>0.77066599999999996</v>
      </c>
      <c r="I101" s="14">
        <f>_xll.BDH($B$95,"TOT_DEBT_TO_TOT_EQY","FY "&amp;I$62,"FY "&amp;I$62,"Currency="&amp;$D$13,"Period=FY","BEST_FPERIOD_OVERRIDE=FY","FILING_STATUS=MR","SCALING_FORMAT="&amp;$D$14,"FA_ADJUSTED=Adjusted","Sort=A","Dates=H","DateFormat=P","Fill=0","Direction=H","UseDPDF=Y")/100</f>
        <v>0.83874599999999999</v>
      </c>
      <c r="J101" s="14">
        <f>_xll.BDH($B$95,"TOT_DEBT_TO_TOT_EQY","FY "&amp;J$62,"FY "&amp;J$62,"Currency="&amp;$D$13,"Period=FY","BEST_FPERIOD_OVERRIDE=FY","FILING_STATUS=MR","SCALING_FORMAT="&amp;$D$14,"FA_ADJUSTED=Adjusted","Sort=A","Dates=H","DateFormat=P","Fill=0","Direction=H","UseDPDF=Y")/100</f>
        <v>0.7713509999999999</v>
      </c>
      <c r="K101" s="14">
        <f>_xll.BDH($B$95,"TOT_DEBT_TO_TOT_EQY","FY "&amp;K$62,"FY "&amp;K$62,"Currency="&amp;$D$13,"Period=FY","BEST_FPERIOD_OVERRIDE=FY","FILING_STATUS=MR","SCALING_FORMAT="&amp;$D$14,"FA_ADJUSTED=Adjusted","Sort=A","Dates=H","DateFormat=P","Fill=0","Direction=H","UseDPDF=Y")/100</f>
        <v>0.55287300000000006</v>
      </c>
      <c r="L101" s="14">
        <f>_xll.BDH($B$95,"TOT_DEBT_TO_TOT_EQY","FY "&amp;L$62,"FY "&amp;L$62,"Currency="&amp;$D$13,"Period=FY","BEST_FPERIOD_OVERRIDE=FY","FILING_STATUS=MR","SCALING_FORMAT="&amp;$D$14,"FA_ADJUSTED=Adjusted","Sort=A","Dates=H","DateFormat=P","Fill=0","Direction=H","UseDPDF=Y")/100</f>
        <v>0.44500500000000004</v>
      </c>
      <c r="M101" s="14">
        <f>_xll.BDH($B$95,"TOT_DEBT_TO_TOT_EQY","FY "&amp;M$62,"FY "&amp;M$62,"Currency="&amp;$D$13,"Period=FY","BEST_FPERIOD_OVERRIDE=FY","FILING_STATUS=MR","SCALING_FORMAT="&amp;$D$14,"FA_ADJUSTED=Adjusted","Sort=A","Dates=H","DateFormat=P","Fill=0","Direction=H","UseDPDF=Y")/100</f>
        <v>0.54971199999999998</v>
      </c>
      <c r="N101" s="14">
        <f>_xll.BDH($B$95,"TOT_DEBT_TO_TOT_EQY","FY "&amp;N$62,"FY "&amp;N$62,"Currency="&amp;$D$13,"Period=FY","BEST_FPERIOD_OVERRIDE=FY","FILING_STATUS=MR","SCALING_FORMAT="&amp;$D$14,"FA_ADJUSTED=Adjusted","Sort=A","Dates=H","DateFormat=P","Fill=0","Direction=H","UseDPDF=Y")/100</f>
        <v>0.56611199999999995</v>
      </c>
    </row>
    <row r="102" spans="1:14" ht="15" customHeight="1">
      <c r="A102" s="10"/>
      <c r="B102" s="10" t="s">
        <v>700</v>
      </c>
      <c r="C102" s="10"/>
      <c r="D102" s="10"/>
      <c r="E102" s="14">
        <f t="shared" ref="E102:N102" si="15">+E97/E96</f>
        <v>5.5519300026587386E-2</v>
      </c>
      <c r="F102" s="14">
        <f t="shared" si="15"/>
        <v>7.8034760445757981E-2</v>
      </c>
      <c r="G102" s="14">
        <f t="shared" si="15"/>
        <v>8.5493988499738632E-2</v>
      </c>
      <c r="H102" s="14">
        <f t="shared" si="15"/>
        <v>8.5963247777888746E-2</v>
      </c>
      <c r="I102" s="14">
        <f t="shared" si="15"/>
        <v>7.2232048107534488E-2</v>
      </c>
      <c r="J102" s="14">
        <f t="shared" si="15"/>
        <v>6.7222415190459656E-2</v>
      </c>
      <c r="K102" s="14">
        <f t="shared" si="15"/>
        <v>9.0288847796977614E-2</v>
      </c>
      <c r="L102" s="14">
        <f t="shared" si="15"/>
        <v>8.1866296310198566E-2</v>
      </c>
      <c r="M102" s="14">
        <f t="shared" si="15"/>
        <v>1.6905883020366483E-2</v>
      </c>
      <c r="N102" s="14">
        <f t="shared" si="15"/>
        <v>3.3502785645950967E-2</v>
      </c>
    </row>
    <row r="103" spans="1:14" ht="15" customHeight="1">
      <c r="A103" s="10"/>
      <c r="B103" s="10" t="s">
        <v>701</v>
      </c>
      <c r="C103" s="10"/>
      <c r="D103" s="10"/>
      <c r="E103" s="367">
        <f t="shared" ref="E103:N103" si="16">+E98/E99</f>
        <v>1.2940847629611072</v>
      </c>
      <c r="F103" s="367">
        <f t="shared" si="16"/>
        <v>1.8527523040704221</v>
      </c>
      <c r="G103" s="367">
        <f t="shared" si="16"/>
        <v>2.0081006322704091</v>
      </c>
      <c r="H103" s="367">
        <f t="shared" si="16"/>
        <v>2.3104372232574644</v>
      </c>
      <c r="I103" s="367">
        <f t="shared" si="16"/>
        <v>1.6946544409532081</v>
      </c>
      <c r="J103" s="367">
        <f t="shared" si="16"/>
        <v>1.6263292820818811</v>
      </c>
      <c r="K103" s="367">
        <f t="shared" si="16"/>
        <v>1.6821803164584421</v>
      </c>
      <c r="L103" s="367">
        <f t="shared" si="16"/>
        <v>1.8279160447652014</v>
      </c>
      <c r="M103" s="367">
        <f t="shared" si="16"/>
        <v>-0.18852203993904079</v>
      </c>
      <c r="N103" s="367">
        <f t="shared" si="16"/>
        <v>0.6247723324133061</v>
      </c>
    </row>
    <row r="104" spans="1:14" ht="15" customHeight="1">
      <c r="A104" s="10"/>
      <c r="B104" s="10" t="s">
        <v>702</v>
      </c>
      <c r="C104" s="10"/>
      <c r="D104" s="10"/>
      <c r="E104" s="14">
        <f t="shared" ref="E104:N104" si="17">-E100/E96</f>
        <v>2.0641481159210114E-2</v>
      </c>
      <c r="F104" s="14">
        <f t="shared" si="17"/>
        <v>1.8844391421056914E-2</v>
      </c>
      <c r="G104" s="14">
        <f t="shared" si="17"/>
        <v>2.7940407736539465E-2</v>
      </c>
      <c r="H104" s="14">
        <f t="shared" si="17"/>
        <v>2.9961050634175573E-2</v>
      </c>
      <c r="I104" s="14">
        <f t="shared" si="17"/>
        <v>2.9689895059544866E-2</v>
      </c>
      <c r="J104" s="14">
        <f t="shared" si="17"/>
        <v>2.7764270001157811E-2</v>
      </c>
      <c r="K104" s="14">
        <f t="shared" si="17"/>
        <v>2.5696614168207614E-2</v>
      </c>
      <c r="L104" s="14">
        <f t="shared" si="17"/>
        <v>3.5415337262114786E-2</v>
      </c>
      <c r="M104" s="14">
        <f t="shared" si="17"/>
        <v>3.6667233978177415E-2</v>
      </c>
      <c r="N104" s="14">
        <f t="shared" si="17"/>
        <v>2.1234688326548987E-2</v>
      </c>
    </row>
    <row r="105" spans="1:14" ht="15" customHeight="1">
      <c r="A105" s="10"/>
      <c r="B105" s="10"/>
      <c r="C105" s="10"/>
      <c r="D105" s="10"/>
      <c r="E105" s="10"/>
      <c r="F105" s="10"/>
      <c r="G105" s="10"/>
      <c r="H105" s="10"/>
      <c r="I105" s="10"/>
      <c r="J105" s="10"/>
      <c r="K105" s="10"/>
      <c r="L105" s="10"/>
      <c r="M105" s="10"/>
      <c r="N105" s="10"/>
    </row>
    <row r="106" spans="1:14" ht="15" customHeight="1">
      <c r="A106" s="10" t="s">
        <v>33</v>
      </c>
      <c r="B106" s="368" t="str">
        <f>+E24</f>
        <v>LW US Equity</v>
      </c>
      <c r="C106" s="369"/>
      <c r="D106" s="369"/>
      <c r="E106" s="366">
        <f>+E95</f>
        <v>2015</v>
      </c>
      <c r="F106" s="366">
        <f>+F95</f>
        <v>2016</v>
      </c>
      <c r="G106" s="366">
        <f>+G95</f>
        <v>2017</v>
      </c>
      <c r="H106" s="366">
        <f t="shared" ref="H106:N106" si="18">+G106+1</f>
        <v>2018</v>
      </c>
      <c r="I106" s="366">
        <f t="shared" si="18"/>
        <v>2019</v>
      </c>
      <c r="J106" s="366">
        <f t="shared" si="18"/>
        <v>2020</v>
      </c>
      <c r="K106" s="366">
        <f t="shared" si="18"/>
        <v>2021</v>
      </c>
      <c r="L106" s="366">
        <f t="shared" si="18"/>
        <v>2022</v>
      </c>
      <c r="M106" s="366">
        <f t="shared" si="18"/>
        <v>2023</v>
      </c>
      <c r="N106" s="366">
        <f t="shared" si="18"/>
        <v>2024</v>
      </c>
    </row>
    <row r="107" spans="1:14" ht="15" customHeight="1">
      <c r="A107" s="10"/>
      <c r="B107" s="10" t="s">
        <v>355</v>
      </c>
      <c r="C107" s="10"/>
      <c r="D107" s="10"/>
      <c r="E107" s="11">
        <f>_xll.BDH($B$106,"SALES_REV_TURN","FY "&amp;E$62,"FY "&amp;E$62,"Currency="&amp;$D$13,"Period=FY","BEST_FPERIOD_OVERRIDE=FY","FILING_STATUS=MR","SCALING_FORMAT="&amp;$D$14,"FA_ADJUSTED=Adjusted","Sort=A","Dates=H","DateFormat=P","Fill=0","Direction=H","UseDPDF=Y")</f>
        <v>2925000</v>
      </c>
      <c r="F107" s="11">
        <f>_xll.BDH($B$106,"SALES_REV_TURN","FY "&amp;F$62,"FY "&amp;F$62,"Currency="&amp;$D$13,"Period=FY","BEST_FPERIOD_OVERRIDE=FY","FILING_STATUS=MR","SCALING_FORMAT="&amp;$D$14,"FA_ADJUSTED=Adjusted","Sort=A","Dates=H","DateFormat=P","Fill=0","Direction=H","UseDPDF=Y")</f>
        <v>2993800</v>
      </c>
      <c r="G107" s="11">
        <f>_xll.BDH($B$106,"SALES_REV_TURN","FY "&amp;G$62,"FY "&amp;G$62,"Currency="&amp;$D$13,"Period=FY","BEST_FPERIOD_OVERRIDE=FY","FILING_STATUS=MR","SCALING_FORMAT="&amp;$D$14,"FA_ADJUSTED=Adjusted","Sort=A","Dates=H","DateFormat=P","Fill=0","Direction=H","UseDPDF=Y")</f>
        <v>3168000</v>
      </c>
      <c r="H107" s="11">
        <f>_xll.BDH($B$106,"SALES_REV_TURN","FY "&amp;H$62,"FY "&amp;H$62,"Currency="&amp;$D$13,"Period=FY","BEST_FPERIOD_OVERRIDE=FY","FILING_STATUS=MR","SCALING_FORMAT="&amp;$D$14,"FA_ADJUSTED=Adjusted","Sort=A","Dates=H","DateFormat=P","Fill=0","Direction=H","UseDPDF=Y")</f>
        <v>3423700</v>
      </c>
      <c r="I107" s="11">
        <f>_xll.BDH($B$106,"SALES_REV_TURN","FY "&amp;I$62,"FY "&amp;I$62,"Currency="&amp;$D$13,"Period=FY","BEST_FPERIOD_OVERRIDE=FY","FILING_STATUS=MR","SCALING_FORMAT="&amp;$D$14,"FA_ADJUSTED=Adjusted","Sort=A","Dates=H","DateFormat=P","Fill=0","Direction=H","UseDPDF=Y")</f>
        <v>3756500</v>
      </c>
      <c r="J107" s="11">
        <f>_xll.BDH($B$106,"SALES_REV_TURN","FY "&amp;J$62,"FY "&amp;J$62,"Currency="&amp;$D$13,"Period=FY","BEST_FPERIOD_OVERRIDE=FY","FILING_STATUS=MR","SCALING_FORMAT="&amp;$D$14,"FA_ADJUSTED=Adjusted","Sort=A","Dates=H","DateFormat=P","Fill=0","Direction=H","UseDPDF=Y")</f>
        <v>3792400</v>
      </c>
      <c r="K107" s="11">
        <f>_xll.BDH($B$106,"SALES_REV_TURN","FY "&amp;K$62,"FY "&amp;K$62,"Currency="&amp;$D$13,"Period=FY","BEST_FPERIOD_OVERRIDE=FY","FILING_STATUS=MR","SCALING_FORMAT="&amp;$D$14,"FA_ADJUSTED=Adjusted","Sort=A","Dates=H","DateFormat=P","Fill=0","Direction=H","UseDPDF=Y")</f>
        <v>3670900</v>
      </c>
      <c r="L107" s="11">
        <f>_xll.BDH($B$106,"SALES_REV_TURN","FY "&amp;L$62,"FY "&amp;L$62,"Currency="&amp;$D$13,"Period=FY","BEST_FPERIOD_OVERRIDE=FY","FILING_STATUS=MR","SCALING_FORMAT="&amp;$D$14,"FA_ADJUSTED=Adjusted","Sort=A","Dates=H","DateFormat=P","Fill=0","Direction=H","UseDPDF=Y")</f>
        <v>4098900</v>
      </c>
      <c r="M107" s="11">
        <f>_xll.BDH($B$106,"SALES_REV_TURN","FY "&amp;M$62,"FY "&amp;M$62,"Currency="&amp;$D$13,"Period=FY","BEST_FPERIOD_OVERRIDE=FY","FILING_STATUS=MR","SCALING_FORMAT="&amp;$D$14,"FA_ADJUSTED=Adjusted","Sort=A","Dates=H","DateFormat=P","Fill=0","Direction=H","UseDPDF=Y")</f>
        <v>5350600</v>
      </c>
      <c r="N107" s="11">
        <f>_xll.BDH($B$106,"SALES_REV_TURN","FY "&amp;N$62,"FY "&amp;N$62,"Currency="&amp;$D$13,"Period=FY","BEST_FPERIOD_OVERRIDE=FY","FILING_STATUS=MR","SCALING_FORMAT="&amp;$D$14,"FA_ADJUSTED=Adjusted","Sort=A","Dates=H","DateFormat=P","Fill=0","Direction=H","UseDPDF=Y")</f>
        <v>6467600</v>
      </c>
    </row>
    <row r="108" spans="1:14" ht="15" customHeight="1">
      <c r="A108" s="10"/>
      <c r="B108" s="10" t="s">
        <v>697</v>
      </c>
      <c r="C108" s="10"/>
      <c r="D108" s="10"/>
      <c r="E108" s="11">
        <f>_xll.BDH($B$106,"IS_OPER_INC","FY "&amp;E$62,"FY "&amp;E$62,"Currency="&amp;$D$13,"Period=FY","BEST_FPERIOD_OVERRIDE=FY","FILING_STATUS=MR","SCALING_FORMAT="&amp;$D$14,"FA_ADJUSTED=Adjusted","Sort=A","Dates=H","DateFormat=P","Fill=0","Direction=H","UseDPDF=Y")</f>
        <v>382100</v>
      </c>
      <c r="F108" s="11">
        <f>_xll.BDH($B$106,"IS_OPER_INC","FY "&amp;F$62,"FY "&amp;F$62,"Currency="&amp;$D$13,"Period=FY","BEST_FPERIOD_OVERRIDE=FY","FILING_STATUS=MR","SCALING_FORMAT="&amp;$D$14,"FA_ADJUSTED=Adjusted","Sort=A","Dates=H","DateFormat=P","Fill=0","Direction=H","UseDPDF=Y")</f>
        <v>438200</v>
      </c>
      <c r="G108" s="11">
        <f>_xll.BDH($B$106,"IS_OPER_INC","FY "&amp;G$62,"FY "&amp;G$62,"Currency="&amp;$D$13,"Period=FY","BEST_FPERIOD_OVERRIDE=FY","FILING_STATUS=MR","SCALING_FORMAT="&amp;$D$14,"FA_ADJUSTED=Adjusted","Sort=A","Dates=H","DateFormat=P","Fill=0","Direction=H","UseDPDF=Y")</f>
        <v>541700</v>
      </c>
      <c r="H108" s="11">
        <f>_xll.BDH($B$106,"IS_OPER_INC","FY "&amp;H$62,"FY "&amp;H$62,"Currency="&amp;$D$13,"Period=FY","BEST_FPERIOD_OVERRIDE=FY","FILING_STATUS=MR","SCALING_FORMAT="&amp;$D$14,"FA_ADJUSTED=Adjusted","Sort=A","Dates=H","DateFormat=P","Fill=0","Direction=H","UseDPDF=Y")</f>
        <v>580100</v>
      </c>
      <c r="I108" s="11">
        <f>_xll.BDH($B$106,"IS_OPER_INC","FY "&amp;I$62,"FY "&amp;I$62,"Currency="&amp;$D$13,"Period=FY","BEST_FPERIOD_OVERRIDE=FY","FILING_STATUS=MR","SCALING_FORMAT="&amp;$D$14,"FA_ADJUSTED=Adjusted","Sort=A","Dates=H","DateFormat=P","Fill=0","Direction=H","UseDPDF=Y")</f>
        <v>668400</v>
      </c>
      <c r="J108" s="11">
        <f>_xll.BDH($B$106,"IS_OPER_INC","FY "&amp;J$62,"FY "&amp;J$62,"Currency="&amp;$D$13,"Period=FY","BEST_FPERIOD_OVERRIDE=FY","FILING_STATUS=MR","SCALING_FORMAT="&amp;$D$14,"FA_ADJUSTED=Adjusted","Sort=A","Dates=H","DateFormat=P","Fill=0","Direction=H","UseDPDF=Y")</f>
        <v>560191.13919999998</v>
      </c>
      <c r="K108" s="11">
        <f>_xll.BDH($B$106,"IS_OPER_INC","FY "&amp;K$62,"FY "&amp;K$62,"Currency="&amp;$D$13,"Period=FY","BEST_FPERIOD_OVERRIDE=FY","FILING_STATUS=MR","SCALING_FORMAT="&amp;$D$14,"FA_ADJUSTED=Adjusted","Sort=A","Dates=H","DateFormat=P","Fill=0","Direction=H","UseDPDF=Y")</f>
        <v>474800</v>
      </c>
      <c r="L108" s="11">
        <f>_xll.BDH($B$106,"IS_OPER_INC","FY "&amp;L$62,"FY "&amp;L$62,"Currency="&amp;$D$13,"Period=FY","BEST_FPERIOD_OVERRIDE=FY","FILING_STATUS=MR","SCALING_FORMAT="&amp;$D$14,"FA_ADJUSTED=Adjusted","Sort=A","Dates=H","DateFormat=P","Fill=0","Direction=H","UseDPDF=Y")</f>
        <v>444400</v>
      </c>
      <c r="M108" s="11">
        <f>_xll.BDH($B$106,"IS_OPER_INC","FY "&amp;M$62,"FY "&amp;M$62,"Currency="&amp;$D$13,"Period=FY","BEST_FPERIOD_OVERRIDE=FY","FILING_STATUS=MR","SCALING_FORMAT="&amp;$D$14,"FA_ADJUSTED=Adjusted","Sort=A","Dates=H","DateFormat=P","Fill=0","Direction=H","UseDPDF=Y")</f>
        <v>532700</v>
      </c>
      <c r="N108" s="11">
        <f>_xll.BDH($B$106,"IS_OPER_INC","FY "&amp;N$62,"FY "&amp;N$62,"Currency="&amp;$D$13,"Period=FY","BEST_FPERIOD_OVERRIDE=FY","FILING_STATUS=MR","SCALING_FORMAT="&amp;$D$14,"FA_ADJUSTED=Adjusted","Sort=A","Dates=H","DateFormat=P","Fill=0","Direction=H","UseDPDF=Y")</f>
        <v>1074900</v>
      </c>
    </row>
    <row r="109" spans="1:14" ht="15" customHeight="1">
      <c r="A109" s="10"/>
      <c r="B109" s="10" t="s">
        <v>238</v>
      </c>
      <c r="C109" s="10"/>
      <c r="D109" s="10"/>
      <c r="E109" s="14">
        <f>_xll.BDP($B$106,"RETURN_ON_INV_CAPITAL","EQY_FUND_YEAR="&amp;E$62)/100</f>
        <v>0.19541558614784446</v>
      </c>
      <c r="F109" s="14">
        <f>_xll.BDP($B$106,"RETURN_ON_INV_CAPITAL","EQY_FUND_YEAR="&amp;F$62)/100</f>
        <v>0.19368593999812236</v>
      </c>
      <c r="G109" s="14">
        <f>_xll.BDP($B$106,"RETURN_ON_INV_CAPITAL","EQY_FUND_YEAR="&amp;G$62)/100</f>
        <v>0.22138483139793538</v>
      </c>
      <c r="H109" s="14">
        <f>_xll.BDP($B$106,"RETURN_ON_INV_CAPITAL","EQY_FUND_YEAR="&amp;H$62)/100</f>
        <v>0.26149004061768488</v>
      </c>
      <c r="I109" s="14">
        <f>_xll.BDP($B$106,"RETURN_ON_INV_CAPITAL","EQY_FUND_YEAR="&amp;I$62)/100</f>
        <v>0.25677051603730106</v>
      </c>
      <c r="J109" s="14">
        <f>_xll.BDP($B$106,"RETURN_ON_INV_CAPITAL","EQY_FUND_YEAR="&amp;J$62)/100</f>
        <v>0.14249867177220343</v>
      </c>
      <c r="K109" s="14">
        <f>_xll.BDP($B$106,"RETURN_ON_INV_CAPITAL","EQY_FUND_YEAR="&amp;K$62)/100</f>
        <v>0.11104339211019564</v>
      </c>
      <c r="L109" s="14">
        <f>_xll.BDP($B$106,"RETURN_ON_INV_CAPITAL","EQY_FUND_YEAR="&amp;L$62)/100</f>
        <v>9.9257844068333212E-2</v>
      </c>
      <c r="M109" s="14">
        <f>_xll.BDP($B$106,"RETURN_ON_INV_CAPITAL","EQY_FUND_YEAR="&amp;M$62)/100</f>
        <v>0.26678629920947683</v>
      </c>
      <c r="N109" s="14">
        <f>_xll.BDP($B$106,"RETURN_ON_INV_CAPITAL","EQY_FUND_YEAR="&amp;N$62)/100</f>
        <v>0.15343491692902092</v>
      </c>
    </row>
    <row r="110" spans="1:14" ht="15" customHeight="1">
      <c r="A110" s="10"/>
      <c r="B110" s="10" t="s">
        <v>339</v>
      </c>
      <c r="C110" s="10"/>
      <c r="D110" s="10"/>
      <c r="E110" s="14">
        <f>_xll.BDP($B$106,"wacc","EQY_FUND_YEAR="&amp;E$62)/100</f>
        <v>8.6043599753970579E-2</v>
      </c>
      <c r="F110" s="14">
        <f>_xll.BDP($B$106,"wacc","EQY_FUND_YEAR="&amp;F$62)/100</f>
        <v>8.6584125196740219E-2</v>
      </c>
      <c r="G110" s="14">
        <f>_xll.BDP($B$106,"wacc","EQY_FUND_YEAR="&amp;G$62)/100</f>
        <v>1.7355825692031958E-2</v>
      </c>
      <c r="H110" s="14">
        <f>_xll.BDP($B$106,"wacc","EQY_FUND_YEAR="&amp;H$62)/100</f>
        <v>7.1320566306380992E-2</v>
      </c>
      <c r="I110" s="14">
        <f>_xll.BDP($B$106,"wacc","EQY_FUND_YEAR="&amp;I$62)/100</f>
        <v>5.8923634241044034E-2</v>
      </c>
      <c r="J110" s="14">
        <f>_xll.BDP($B$106,"wacc","EQY_FUND_YEAR="&amp;J$62)/100</f>
        <v>7.0976261849267169E-2</v>
      </c>
      <c r="K110" s="14">
        <f>_xll.BDP($B$106,"wacc","EQY_FUND_YEAR="&amp;K$62)/100</f>
        <v>0.10458418431629214</v>
      </c>
      <c r="L110" s="14">
        <f>_xll.BDP($B$106,"wacc","EQY_FUND_YEAR="&amp;L$62)/100</f>
        <v>8.58594088512179E-2</v>
      </c>
      <c r="M110" s="14">
        <f>_xll.BDP($B$106,"wacc","EQY_FUND_YEAR="&amp;M$62)/100</f>
        <v>7.4865468685939116E-2</v>
      </c>
      <c r="N110" s="14">
        <f>_xll.BDP($B$106,"wacc","EQY_FUND_YEAR="&amp;N$62)/100</f>
        <v>7.3972486140016142E-2</v>
      </c>
    </row>
    <row r="111" spans="1:14" ht="15" customHeight="1">
      <c r="A111" s="10"/>
      <c r="B111" s="10" t="s">
        <v>698</v>
      </c>
      <c r="C111" s="10"/>
      <c r="D111" s="10"/>
      <c r="E111" s="11">
        <f>_xll.BDH($B$106,"ACQUIS_OF_FIXED_INTANG","FY "&amp;E$62,"FY "&amp;E$62,"Currency="&amp;$D$13,"Period=FY","BEST_FPERIOD_OVERRIDE=FY","FILING_STATUS=MR","SCALING_FORMAT="&amp;$D$14,"FA_ADJUSTED=Adjusted","Sort=A","Dates=H","DateFormat=P","Fill=0","Direction=H","UseDPDF=Y")</f>
        <v>-114700</v>
      </c>
      <c r="F111" s="11">
        <f>_xll.BDH($B$106,"ACQUIS_OF_FIXED_INTANG","FY "&amp;F$62,"FY "&amp;F$62,"Currency="&amp;$D$13,"Period=FY","BEST_FPERIOD_OVERRIDE=FY","FILING_STATUS=MR","SCALING_FORMAT="&amp;$D$14,"FA_ADJUSTED=Adjusted","Sort=A","Dates=H","DateFormat=P","Fill=0","Direction=H","UseDPDF=Y")</f>
        <v>-152300</v>
      </c>
      <c r="G111" s="11">
        <f>_xll.BDH($B$106,"ACQUIS_OF_FIXED_INTANG","FY "&amp;G$62,"FY "&amp;G$62,"Currency="&amp;$D$13,"Period=FY","BEST_FPERIOD_OVERRIDE=FY","FILING_STATUS=MR","SCALING_FORMAT="&amp;$D$14,"FA_ADJUSTED=Adjusted","Sort=A","Dates=H","DateFormat=P","Fill=0","Direction=H","UseDPDF=Y")</f>
        <v>-287400</v>
      </c>
      <c r="H111" s="11">
        <f>_xll.BDH($B$106,"ACQUIS_OF_FIXED_INTANG","FY "&amp;H$62,"FY "&amp;H$62,"Currency="&amp;$D$13,"Period=FY","BEST_FPERIOD_OVERRIDE=FY","FILING_STATUS=MR","SCALING_FORMAT="&amp;$D$14,"FA_ADJUSTED=Adjusted","Sort=A","Dates=H","DateFormat=P","Fill=0","Direction=H","UseDPDF=Y")</f>
        <v>-306800</v>
      </c>
      <c r="I111" s="11">
        <f>_xll.BDH($B$106,"ACQUIS_OF_FIXED_INTANG","FY "&amp;I$62,"FY "&amp;I$62,"Currency="&amp;$D$13,"Period=FY","BEST_FPERIOD_OVERRIDE=FY","FILING_STATUS=MR","SCALING_FORMAT="&amp;$D$14,"FA_ADJUSTED=Adjusted","Sort=A","Dates=H","DateFormat=P","Fill=0","Direction=H","UseDPDF=Y")</f>
        <v>-334200</v>
      </c>
      <c r="J111" s="11">
        <f>_xll.BDH($B$106,"ACQUIS_OF_FIXED_INTANG","FY "&amp;J$62,"FY "&amp;J$62,"Currency="&amp;$D$13,"Period=FY","BEST_FPERIOD_OVERRIDE=FY","FILING_STATUS=MR","SCALING_FORMAT="&amp;$D$14,"FA_ADJUSTED=Adjusted","Sort=A","Dates=H","DateFormat=P","Fill=0","Direction=H","UseDPDF=Y")</f>
        <v>-167700</v>
      </c>
      <c r="K111" s="11">
        <f>_xll.BDH($B$106,"ACQUIS_OF_FIXED_INTANG","FY "&amp;K$62,"FY "&amp;K$62,"Currency="&amp;$D$13,"Period=FY","BEST_FPERIOD_OVERRIDE=FY","FILING_STATUS=MR","SCALING_FORMAT="&amp;$D$14,"FA_ADJUSTED=Adjusted","Sort=A","Dates=H","DateFormat=P","Fill=0","Direction=H","UseDPDF=Y")</f>
        <v>-147200</v>
      </c>
      <c r="L111" s="11">
        <f>_xll.BDH($B$106,"ACQUIS_OF_FIXED_INTANG","FY "&amp;L$62,"FY "&amp;L$62,"Currency="&amp;$D$13,"Period=FY","BEST_FPERIOD_OVERRIDE=FY","FILING_STATUS=MR","SCALING_FORMAT="&amp;$D$14,"FA_ADJUSTED=Adjusted","Sort=A","Dates=H","DateFormat=P","Fill=0","Direction=H","UseDPDF=Y")</f>
        <v>-290100</v>
      </c>
      <c r="M111" s="11">
        <f>_xll.BDH($B$106,"ACQUIS_OF_FIXED_INTANG","FY "&amp;M$62,"FY "&amp;M$62,"Currency="&amp;$D$13,"Period=FY","BEST_FPERIOD_OVERRIDE=FY","FILING_STATUS=MR","SCALING_FORMAT="&amp;$D$14,"FA_ADJUSTED=Adjusted","Sort=A","Dates=H","DateFormat=P","Fill=0","Direction=H","UseDPDF=Y")</f>
        <v>-654000</v>
      </c>
      <c r="N111" s="11">
        <f>_xll.BDH($B$106,"ACQUIS_OF_FIXED_INTANG","FY "&amp;N$62,"FY "&amp;N$62,"Currency="&amp;$D$13,"Period=FY","BEST_FPERIOD_OVERRIDE=FY","FILING_STATUS=MR","SCALING_FORMAT="&amp;$D$14,"FA_ADJUSTED=Adjusted","Sort=A","Dates=H","DateFormat=P","Fill=0","Direction=H","UseDPDF=Y")</f>
        <v>-929500</v>
      </c>
    </row>
    <row r="112" spans="1:14" ht="15" customHeight="1">
      <c r="A112" s="10"/>
      <c r="B112" s="10" t="s">
        <v>699</v>
      </c>
      <c r="C112" s="10"/>
      <c r="D112" s="10"/>
      <c r="E112" s="14">
        <f>_xll.BDH($B$106,"TOT_DEBT_TO_TOT_EQY","FY "&amp;E$62,"FY "&amp;E$62,"Currency="&amp;$D$13,"Period=FY","BEST_FPERIOD_OVERRIDE=FY","FILING_STATUS=MR","SCALING_FORMAT="&amp;$D$14,"FA_ADJUSTED=Adjusted","Sort=A","Dates=H","DateFormat=P","Fill=0","Direction=H","UseDPDF=Y")/100</f>
        <v>9.5174999999999996E-2</v>
      </c>
      <c r="F112" s="14">
        <f>_xll.BDH($B$106,"TOT_DEBT_TO_TOT_EQY","FY "&amp;F$62,"FY "&amp;F$62,"Currency="&amp;$D$13,"Period=FY","BEST_FPERIOD_OVERRIDE=FY","FILING_STATUS=MR","SCALING_FORMAT="&amp;$D$14,"FA_ADJUSTED=Adjusted","Sort=A","Dates=H","DateFormat=P","Fill=0","Direction=H","UseDPDF=Y")/100</f>
        <v>9.8756999999999998E-2</v>
      </c>
      <c r="G112" s="14">
        <f>_xll.BDH($B$106,"TOT_DEBT_TO_TOT_EQY","FY "&amp;G$62,"FY "&amp;G$62,"Currency="&amp;$D$13,"Period=FY","BEST_FPERIOD_OVERRIDE=FY","FILING_STATUS=MR","SCALING_FORMAT="&amp;$D$14,"FA_ADJUSTED=Adjusted","Sort=A","Dates=H","DateFormat=P","Fill=0","Direction=H","UseDPDF=Y")/100</f>
        <v>0</v>
      </c>
      <c r="H112" s="14">
        <f>_xll.BDH($B$106,"TOT_DEBT_TO_TOT_EQY","FY "&amp;H$62,"FY "&amp;H$62,"Currency="&amp;$D$13,"Period=FY","BEST_FPERIOD_OVERRIDE=FY","FILING_STATUS=MR","SCALING_FORMAT="&amp;$D$14,"FA_ADJUSTED=Adjusted","Sort=A","Dates=H","DateFormat=P","Fill=0","Direction=H","UseDPDF=Y")/100</f>
        <v>0</v>
      </c>
      <c r="I112" s="14">
        <f>_xll.BDH($B$106,"TOT_DEBT_TO_TOT_EQY","FY "&amp;I$62,"FY "&amp;I$62,"Currency="&amp;$D$13,"Period=FY","BEST_FPERIOD_OVERRIDE=FY","FILING_STATUS=MR","SCALING_FORMAT="&amp;$D$14,"FA_ADJUSTED=Adjusted","Sort=A","Dates=H","DateFormat=P","Fill=0","Direction=H","UseDPDF=Y")/100</f>
        <v>0</v>
      </c>
      <c r="J112" s="14">
        <f>_xll.BDH($B$106,"TOT_DEBT_TO_TOT_EQY","FY "&amp;J$62,"FY "&amp;J$62,"Currency="&amp;$D$13,"Period=FY","BEST_FPERIOD_OVERRIDE=FY","FILING_STATUS=MR","SCALING_FORMAT="&amp;$D$14,"FA_ADJUSTED=Adjusted","Sort=A","Dates=H","DateFormat=P","Fill=0","Direction=H","UseDPDF=Y")/100</f>
        <v>15.47125</v>
      </c>
      <c r="K112" s="14">
        <f>_xll.BDH($B$106,"TOT_DEBT_TO_TOT_EQY","FY "&amp;K$62,"FY "&amp;K$62,"Currency="&amp;$D$13,"Period=FY","BEST_FPERIOD_OVERRIDE=FY","FILING_STATUS=MR","SCALING_FORMAT="&amp;$D$14,"FA_ADJUSTED=Adjusted","Sort=A","Dates=H","DateFormat=P","Fill=0","Direction=H","UseDPDF=Y")/100</f>
        <v>6.0066579999999998</v>
      </c>
      <c r="L112" s="14">
        <f>_xll.BDH($B$106,"TOT_DEBT_TO_TOT_EQY","FY "&amp;L$62,"FY "&amp;L$62,"Currency="&amp;$D$13,"Period=FY","BEST_FPERIOD_OVERRIDE=FY","FILING_STATUS=MR","SCALING_FORMAT="&amp;$D$14,"FA_ADJUSTED=Adjusted","Sort=A","Dates=H","DateFormat=P","Fill=0","Direction=H","UseDPDF=Y")/100</f>
        <v>7.6294039999999992</v>
      </c>
      <c r="M112" s="14">
        <f>_xll.BDH($B$106,"TOT_DEBT_TO_TOT_EQY","FY "&amp;M$62,"FY "&amp;M$62,"Currency="&amp;$D$13,"Period=FY","BEST_FPERIOD_OVERRIDE=FY","FILING_STATUS=MR","SCALING_FORMAT="&amp;$D$14,"FA_ADJUSTED=Adjusted","Sort=A","Dates=H","DateFormat=P","Fill=0","Direction=H","UseDPDF=Y")/100</f>
        <v>2.563736</v>
      </c>
      <c r="N112" s="14">
        <f>_xll.BDH($B$106,"TOT_DEBT_TO_TOT_EQY","FY "&amp;N$62,"FY "&amp;N$62,"Currency="&amp;$D$13,"Period=FY","BEST_FPERIOD_OVERRIDE=FY","FILING_STATUS=MR","SCALING_FORMAT="&amp;$D$14,"FA_ADJUSTED=Adjusted","Sort=A","Dates=H","DateFormat=P","Fill=0","Direction=H","UseDPDF=Y")/100</f>
        <v>2.219544</v>
      </c>
    </row>
    <row r="113" spans="1:23" ht="15" customHeight="1">
      <c r="A113" s="10"/>
      <c r="B113" s="10" t="s">
        <v>700</v>
      </c>
      <c r="C113" s="10"/>
      <c r="D113" s="10"/>
      <c r="E113" s="14">
        <f t="shared" ref="E113:N113" si="19">+E108/E107</f>
        <v>0.13063247863247862</v>
      </c>
      <c r="F113" s="14">
        <f t="shared" si="19"/>
        <v>0.14636916293673591</v>
      </c>
      <c r="G113" s="14">
        <f t="shared" si="19"/>
        <v>0.17099116161616162</v>
      </c>
      <c r="H113" s="14">
        <f t="shared" si="19"/>
        <v>0.16943657446622076</v>
      </c>
      <c r="I113" s="14">
        <f t="shared" si="19"/>
        <v>0.17793158525222946</v>
      </c>
      <c r="J113" s="14">
        <f t="shared" si="19"/>
        <v>0.14771414914038603</v>
      </c>
      <c r="K113" s="14">
        <f t="shared" si="19"/>
        <v>0.12934157835953036</v>
      </c>
      <c r="L113" s="14">
        <f t="shared" si="19"/>
        <v>0.1084193320159067</v>
      </c>
      <c r="M113" s="14">
        <f t="shared" si="19"/>
        <v>9.9558927970694877E-2</v>
      </c>
      <c r="N113" s="14">
        <f t="shared" si="19"/>
        <v>0.16619766219308554</v>
      </c>
    </row>
    <row r="114" spans="1:23" ht="15" customHeight="1">
      <c r="A114" s="10"/>
      <c r="B114" s="10" t="s">
        <v>701</v>
      </c>
      <c r="C114" s="10"/>
      <c r="D114" s="10"/>
      <c r="E114" s="367">
        <f t="shared" ref="E114:N114" si="20">+E109/E110</f>
        <v>2.2711228575583484</v>
      </c>
      <c r="F114" s="367">
        <f t="shared" si="20"/>
        <v>2.2369682613068012</v>
      </c>
      <c r="G114" s="367">
        <f t="shared" si="20"/>
        <v>12.755649620263986</v>
      </c>
      <c r="H114" s="367">
        <f t="shared" si="20"/>
        <v>3.6664044350737242</v>
      </c>
      <c r="I114" s="367">
        <f t="shared" si="20"/>
        <v>4.357682945809275</v>
      </c>
      <c r="J114" s="367">
        <f t="shared" si="20"/>
        <v>2.0076947990699896</v>
      </c>
      <c r="K114" s="367">
        <f t="shared" si="20"/>
        <v>1.0617608468826321</v>
      </c>
      <c r="L114" s="367">
        <f t="shared" si="20"/>
        <v>1.1560508673002035</v>
      </c>
      <c r="M114" s="367">
        <f t="shared" si="20"/>
        <v>3.563542764003071</v>
      </c>
      <c r="N114" s="367">
        <f t="shared" si="20"/>
        <v>2.0742160353864163</v>
      </c>
    </row>
    <row r="115" spans="1:23" ht="15" customHeight="1">
      <c r="A115" s="10"/>
      <c r="B115" s="10" t="s">
        <v>702</v>
      </c>
      <c r="C115" s="10"/>
      <c r="D115" s="10"/>
      <c r="E115" s="14">
        <f t="shared" ref="E115:N115" si="21">-E111/E107</f>
        <v>3.9213675213675213E-2</v>
      </c>
      <c r="F115" s="14">
        <f t="shared" si="21"/>
        <v>5.0871801723562031E-2</v>
      </c>
      <c r="G115" s="14">
        <f t="shared" si="21"/>
        <v>9.0719696969696964E-2</v>
      </c>
      <c r="H115" s="14">
        <f t="shared" si="21"/>
        <v>8.9610655139176917E-2</v>
      </c>
      <c r="I115" s="14">
        <f t="shared" si="21"/>
        <v>8.8965792626114731E-2</v>
      </c>
      <c r="J115" s="14">
        <f t="shared" si="21"/>
        <v>4.4220018985339102E-2</v>
      </c>
      <c r="K115" s="14">
        <f t="shared" si="21"/>
        <v>4.0099158244572178E-2</v>
      </c>
      <c r="L115" s="14">
        <f t="shared" si="21"/>
        <v>7.0775085998682569E-2</v>
      </c>
      <c r="M115" s="14">
        <f t="shared" si="21"/>
        <v>0.1222292826972676</v>
      </c>
      <c r="N115" s="14">
        <f t="shared" si="21"/>
        <v>0.14371637083307565</v>
      </c>
    </row>
    <row r="116" spans="1:23" ht="15" customHeight="1">
      <c r="A116" s="10"/>
      <c r="B116" s="10"/>
      <c r="C116" s="10"/>
      <c r="D116" s="10"/>
      <c r="E116" s="10"/>
      <c r="F116" s="10"/>
      <c r="G116" s="10"/>
      <c r="H116" s="10"/>
      <c r="I116" s="10"/>
      <c r="J116" s="10"/>
      <c r="K116" s="10"/>
      <c r="L116" s="10"/>
      <c r="M116" s="10"/>
      <c r="N116" s="10"/>
    </row>
    <row r="117" spans="1:23" ht="15" customHeight="1">
      <c r="A117" s="10" t="s">
        <v>33</v>
      </c>
      <c r="B117" s="368" t="str">
        <f>+E25</f>
        <v>HRL US Equity</v>
      </c>
      <c r="C117" s="369"/>
      <c r="D117" s="369"/>
      <c r="E117" s="366">
        <f>+E106</f>
        <v>2015</v>
      </c>
      <c r="F117" s="366">
        <f>+F106</f>
        <v>2016</v>
      </c>
      <c r="G117" s="366">
        <f>+G106</f>
        <v>2017</v>
      </c>
      <c r="H117" s="366">
        <f t="shared" ref="H117:N117" si="22">+G117+1</f>
        <v>2018</v>
      </c>
      <c r="I117" s="366">
        <f t="shared" si="22"/>
        <v>2019</v>
      </c>
      <c r="J117" s="366">
        <f t="shared" si="22"/>
        <v>2020</v>
      </c>
      <c r="K117" s="366">
        <f t="shared" si="22"/>
        <v>2021</v>
      </c>
      <c r="L117" s="366">
        <f t="shared" si="22"/>
        <v>2022</v>
      </c>
      <c r="M117" s="366">
        <f t="shared" si="22"/>
        <v>2023</v>
      </c>
      <c r="N117" s="366">
        <f t="shared" si="22"/>
        <v>2024</v>
      </c>
    </row>
    <row r="118" spans="1:23" ht="15" customHeight="1">
      <c r="A118" s="10"/>
      <c r="B118" s="10" t="s">
        <v>355</v>
      </c>
      <c r="C118" s="10"/>
      <c r="D118" s="10"/>
      <c r="E118" s="11">
        <f>_xll.BDH($B$117,"SALES_REV_TURN","FY "&amp;E$62,"FY "&amp;E$62,"Currency="&amp;$D$13,"Period=FY","BEST_FPERIOD_OVERRIDE=FY","FILING_STATUS=MR","SCALING_FORMAT="&amp;$D$14,"FA_ADJUSTED=Adjusted","Sort=A","Dates=H","DateFormat=P","Fill=0","Direction=H","UseDPDF=Y")</f>
        <v>9263863</v>
      </c>
      <c r="F118" s="11">
        <f>_xll.BDH($B$117,"SALES_REV_TURN","FY "&amp;F$62,"FY "&amp;F$62,"Currency="&amp;$D$13,"Period=FY","BEST_FPERIOD_OVERRIDE=FY","FILING_STATUS=MR","SCALING_FORMAT="&amp;$D$14,"FA_ADJUSTED=Adjusted","Sort=A","Dates=H","DateFormat=P","Fill=0","Direction=H","UseDPDF=Y")</f>
        <v>9523224</v>
      </c>
      <c r="G118" s="11">
        <f>_xll.BDH($B$117,"SALES_REV_TURN","FY "&amp;G$62,"FY "&amp;G$62,"Currency="&amp;$D$13,"Period=FY","BEST_FPERIOD_OVERRIDE=FY","FILING_STATUS=MR","SCALING_FORMAT="&amp;$D$14,"FA_ADJUSTED=Adjusted","Sort=A","Dates=H","DateFormat=P","Fill=0","Direction=H","UseDPDF=Y")</f>
        <v>9167519</v>
      </c>
      <c r="H118" s="11">
        <f>_xll.BDH($B$117,"SALES_REV_TURN","FY "&amp;H$62,"FY "&amp;H$62,"Currency="&amp;$D$13,"Period=FY","BEST_FPERIOD_OVERRIDE=FY","FILING_STATUS=MR","SCALING_FORMAT="&amp;$D$14,"FA_ADJUSTED=Adjusted","Sort=A","Dates=H","DateFormat=P","Fill=0","Direction=H","UseDPDF=Y")</f>
        <v>9545700</v>
      </c>
      <c r="I118" s="11">
        <f>_xll.BDH($B$117,"SALES_REV_TURN","FY "&amp;I$62,"FY "&amp;I$62,"Currency="&amp;$D$13,"Period=FY","BEST_FPERIOD_OVERRIDE=FY","FILING_STATUS=MR","SCALING_FORMAT="&amp;$D$14,"FA_ADJUSTED=Adjusted","Sort=A","Dates=H","DateFormat=P","Fill=0","Direction=H","UseDPDF=Y")</f>
        <v>9497317</v>
      </c>
      <c r="J118" s="11">
        <f>_xll.BDH($B$117,"SALES_REV_TURN","FY "&amp;J$62,"FY "&amp;J$62,"Currency="&amp;$D$13,"Period=FY","BEST_FPERIOD_OVERRIDE=FY","FILING_STATUS=MR","SCALING_FORMAT="&amp;$D$14,"FA_ADJUSTED=Adjusted","Sort=A","Dates=H","DateFormat=P","Fill=0","Direction=H","UseDPDF=Y")</f>
        <v>9608462</v>
      </c>
      <c r="K118" s="11">
        <f>_xll.BDH($B$117,"SALES_REV_TURN","FY "&amp;K$62,"FY "&amp;K$62,"Currency="&amp;$D$13,"Period=FY","BEST_FPERIOD_OVERRIDE=FY","FILING_STATUS=MR","SCALING_FORMAT="&amp;$D$14,"FA_ADJUSTED=Adjusted","Sort=A","Dates=H","DateFormat=P","Fill=0","Direction=H","UseDPDF=Y")</f>
        <v>11386189</v>
      </c>
      <c r="L118" s="11">
        <f>_xll.BDH($B$117,"SALES_REV_TURN","FY "&amp;L$62,"FY "&amp;L$62,"Currency="&amp;$D$13,"Period=FY","BEST_FPERIOD_OVERRIDE=FY","FILING_STATUS=MR","SCALING_FORMAT="&amp;$D$14,"FA_ADJUSTED=Adjusted","Sort=A","Dates=H","DateFormat=P","Fill=0","Direction=H","UseDPDF=Y")</f>
        <v>12458806</v>
      </c>
      <c r="M118" s="11">
        <f>_xll.BDH($B$117,"SALES_REV_TURN","FY "&amp;M$62,"FY "&amp;M$62,"Currency="&amp;$D$13,"Period=FY","BEST_FPERIOD_OVERRIDE=FY","FILING_STATUS=MR","SCALING_FORMAT="&amp;$D$14,"FA_ADJUSTED=Adjusted","Sort=A","Dates=H","DateFormat=P","Fill=0","Direction=H","UseDPDF=Y")</f>
        <v>12110010</v>
      </c>
      <c r="N118" s="11">
        <f>_xll.BDH($B$117,"SALES_REV_TURN","FY "&amp;N$62,"FY "&amp;N$62,"Currency="&amp;$D$13,"Period=FY","BEST_FPERIOD_OVERRIDE=FY","FILING_STATUS=MR","SCALING_FORMAT="&amp;$D$14,"FA_ADJUSTED=Adjusted","Sort=A","Dates=H","DateFormat=P","Fill=0","Direction=H","UseDPDF=Y")</f>
        <v>11920797</v>
      </c>
      <c r="O118" s="10"/>
      <c r="P118" s="10"/>
      <c r="Q118" s="10"/>
      <c r="R118" s="10"/>
      <c r="S118" s="10"/>
      <c r="T118" s="10"/>
      <c r="U118" s="10"/>
      <c r="V118" s="10"/>
      <c r="W118" s="10"/>
    </row>
    <row r="119" spans="1:23" ht="15" customHeight="1">
      <c r="A119" s="10"/>
      <c r="B119" s="10" t="s">
        <v>697</v>
      </c>
      <c r="C119" s="10"/>
      <c r="D119" s="10"/>
      <c r="E119" s="11">
        <f>_xll.BDH($B$117,"IS_OPER_INC","FY "&amp;E$62,"FY "&amp;E$62,"Currency="&amp;$D$13,"Period=FY","BEST_FPERIOD_OVERRIDE=FY","FILING_STATUS=MR","SCALING_FORMAT="&amp;$D$14,"FA_ADJUSTED=Adjusted","Sort=A","Dates=H","DateFormat=P","Fill=0","Direction=H","UseDPDF=Y")</f>
        <v>1099319</v>
      </c>
      <c r="F119" s="11">
        <f>_xll.BDH($B$117,"IS_OPER_INC","FY "&amp;F$62,"FY "&amp;F$62,"Currency="&amp;$D$13,"Period=FY","BEST_FPERIOD_OVERRIDE=FY","FILING_STATUS=MR","SCALING_FORMAT="&amp;$D$14,"FA_ADJUSTED=Adjusted","Sort=A","Dates=H","DateFormat=P","Fill=0","Direction=H","UseDPDF=Y")</f>
        <v>1324966</v>
      </c>
      <c r="G119" s="11">
        <f>_xll.BDH($B$117,"IS_OPER_INC","FY "&amp;G$62,"FY "&amp;G$62,"Currency="&amp;$D$13,"Period=FY","BEST_FPERIOD_OVERRIDE=FY","FILING_STATUS=MR","SCALING_FORMAT="&amp;$D$14,"FA_ADJUSTED=Adjusted","Sort=A","Dates=H","DateFormat=P","Fill=0","Direction=H","UseDPDF=Y")</f>
        <v>1286230</v>
      </c>
      <c r="H119" s="11">
        <f>_xll.BDH($B$117,"IS_OPER_INC","FY "&amp;H$62,"FY "&amp;H$62,"Currency="&amp;$D$13,"Period=FY","BEST_FPERIOD_OVERRIDE=FY","FILING_STATUS=MR","SCALING_FORMAT="&amp;$D$14,"FA_ADJUSTED=Adjusted","Sort=A","Dates=H","DateFormat=P","Fill=0","Direction=H","UseDPDF=Y")</f>
        <v>1192485</v>
      </c>
      <c r="I119" s="11">
        <f>_xll.BDH($B$117,"IS_OPER_INC","FY "&amp;I$62,"FY "&amp;I$62,"Currency="&amp;$D$13,"Period=FY","BEST_FPERIOD_OVERRIDE=FY","FILING_STATUS=MR","SCALING_FORMAT="&amp;$D$14,"FA_ADJUSTED=Adjusted","Sort=A","Dates=H","DateFormat=P","Fill=0","Direction=H","UseDPDF=Y")</f>
        <v>1198950</v>
      </c>
      <c r="J119" s="11">
        <f>_xll.BDH($B$117,"IS_OPER_INC","FY "&amp;J$62,"FY "&amp;J$62,"Currency="&amp;$D$13,"Period=FY","BEST_FPERIOD_OVERRIDE=FY","FILING_STATUS=MR","SCALING_FORMAT="&amp;$D$14,"FA_ADJUSTED=Adjusted","Sort=A","Dates=H","DateFormat=P","Fill=0","Direction=H","UseDPDF=Y")</f>
        <v>1077371</v>
      </c>
      <c r="K119" s="11">
        <f>_xll.BDH($B$117,"IS_OPER_INC","FY "&amp;K$62,"FY "&amp;K$62,"Currency="&amp;$D$13,"Period=FY","BEST_FPERIOD_OVERRIDE=FY","FILING_STATUS=MR","SCALING_FORMAT="&amp;$D$14,"FA_ADJUSTED=Adjusted","Sort=A","Dates=H","DateFormat=P","Fill=0","Direction=H","UseDPDF=Y")</f>
        <v>1200577</v>
      </c>
      <c r="L119" s="11">
        <f>_xll.BDH($B$117,"IS_OPER_INC","FY "&amp;L$62,"FY "&amp;L$62,"Currency="&amp;$D$13,"Period=FY","BEST_FPERIOD_OVERRIDE=FY","FILING_STATUS=MR","SCALING_FORMAT="&amp;$D$14,"FA_ADJUSTED=Adjusted","Sort=A","Dates=H","DateFormat=P","Fill=0","Direction=H","UseDPDF=Y")</f>
        <v>1261709</v>
      </c>
      <c r="M119" s="11">
        <f>_xll.BDH($B$117,"IS_OPER_INC","FY "&amp;M$62,"FY "&amp;M$62,"Currency="&amp;$D$13,"Period=FY","BEST_FPERIOD_OVERRIDE=FY","FILING_STATUS=MR","SCALING_FORMAT="&amp;$D$14,"FA_ADJUSTED=Adjusted","Sort=A","Dates=H","DateFormat=P","Fill=0","Direction=H","UseDPDF=Y")</f>
        <v>1100428</v>
      </c>
      <c r="N119" s="11">
        <f>_xll.BDH($B$117,"IS_OPER_INC","FY "&amp;N$62,"FY "&amp;N$62,"Currency="&amp;$D$13,"Period=FY","BEST_FPERIOD_OVERRIDE=FY","FILING_STATUS=MR","SCALING_FORMAT="&amp;$D$14,"FA_ADJUSTED=Adjusted","Sort=A","Dates=H","DateFormat=P","Fill=0","Direction=H","UseDPDF=Y")</f>
        <v>1145773</v>
      </c>
      <c r="O119" s="10"/>
      <c r="P119" s="10"/>
      <c r="Q119" s="10"/>
      <c r="R119" s="10"/>
      <c r="S119" s="10"/>
      <c r="T119" s="10"/>
      <c r="U119" s="10"/>
      <c r="V119" s="10"/>
      <c r="W119" s="10"/>
    </row>
    <row r="120" spans="1:23" ht="15" customHeight="1">
      <c r="A120" s="10"/>
      <c r="B120" s="10" t="s">
        <v>238</v>
      </c>
      <c r="C120" s="10"/>
      <c r="D120" s="10"/>
      <c r="E120" s="14">
        <f>_xll.BDP($B$117,"RETURN_ON_INV_CAPITAL","EQY_FUND_YEAR="&amp;E$62)/100</f>
        <v>0.15967928820238722</v>
      </c>
      <c r="F120" s="14">
        <f>_xll.BDP($B$117,"RETURN_ON_INV_CAPITAL","EQY_FUND_YEAR="&amp;F$62)/100</f>
        <v>0.1896581131945716</v>
      </c>
      <c r="G120" s="14">
        <f>_xll.BDP($B$117,"RETURN_ON_INV_CAPITAL","EQY_FUND_YEAR="&amp;G$62)/100</f>
        <v>0.16702038956094573</v>
      </c>
      <c r="H120" s="14">
        <f>_xll.BDP($B$117,"RETURN_ON_INV_CAPITAL","EQY_FUND_YEAR="&amp;H$62)/100</f>
        <v>0.16928766738186296</v>
      </c>
      <c r="I120" s="14">
        <f>_xll.BDP($B$117,"RETURN_ON_INV_CAPITAL","EQY_FUND_YEAR="&amp;I$62)/100</f>
        <v>0.14978985763071173</v>
      </c>
      <c r="J120" s="14">
        <f>_xll.BDP($B$117,"RETURN_ON_INV_CAPITAL","EQY_FUND_YEAR="&amp;J$62)/100</f>
        <v>0.12022459910621867</v>
      </c>
      <c r="K120" s="14">
        <f>_xll.BDP($B$117,"RETURN_ON_INV_CAPITAL","EQY_FUND_YEAR="&amp;K$62)/100</f>
        <v>9.2951663757612671E-2</v>
      </c>
      <c r="L120" s="14">
        <f>_xll.BDP($B$117,"RETURN_ON_INV_CAPITAL","EQY_FUND_YEAR="&amp;L$62)/100</f>
        <v>8.8482898481022434E-2</v>
      </c>
      <c r="M120" s="14">
        <f>_xll.BDP($B$117,"RETURN_ON_INV_CAPITAL","EQY_FUND_YEAR="&amp;M$62)/100</f>
        <v>7.2685258582067938E-2</v>
      </c>
      <c r="N120" s="14">
        <f>_xll.BDP($B$117,"RETURN_ON_INV_CAPITAL","EQY_FUND_YEAR="&amp;N$62)/100</f>
        <v>7.1853705520314504E-2</v>
      </c>
      <c r="O120" s="10"/>
      <c r="P120" s="10"/>
      <c r="Q120" s="10"/>
      <c r="R120" s="10"/>
      <c r="S120" s="10"/>
      <c r="T120" s="10"/>
      <c r="U120" s="10"/>
      <c r="V120" s="10"/>
      <c r="W120" s="10"/>
    </row>
    <row r="121" spans="1:23" ht="15" customHeight="1">
      <c r="A121" s="10"/>
      <c r="B121" s="10" t="s">
        <v>339</v>
      </c>
      <c r="C121" s="10"/>
      <c r="D121" s="10"/>
      <c r="E121" s="14">
        <f>_xll.BDP($B$117,"wacc","EQY_FUND_YEAR="&amp;E$62)/100</f>
        <v>7.8249959547249837E-2</v>
      </c>
      <c r="F121" s="14">
        <f>_xll.BDP($B$117,"wacc","EQY_FUND_YEAR="&amp;F$62)/100</f>
        <v>6.9207262367221911E-2</v>
      </c>
      <c r="G121" s="14">
        <f>_xll.BDP($B$117,"wacc","EQY_FUND_YEAR="&amp;G$62)/100</f>
        <v>6.1484301802824694E-2</v>
      </c>
      <c r="H121" s="14">
        <f>_xll.BDP($B$117,"wacc","EQY_FUND_YEAR="&amp;H$62)/100</f>
        <v>7.1929857888505686E-2</v>
      </c>
      <c r="I121" s="14">
        <f>_xll.BDP($B$117,"wacc","EQY_FUND_YEAR="&amp;I$62)/100</f>
        <v>5.7922011531716382E-2</v>
      </c>
      <c r="J121" s="14">
        <f>_xll.BDP($B$117,"wacc","EQY_FUND_YEAR="&amp;J$62)/100</f>
        <v>3.8695145357874841E-2</v>
      </c>
      <c r="K121" s="14">
        <f>_xll.BDP($B$117,"wacc","EQY_FUND_YEAR="&amp;K$62)/100</f>
        <v>4.4344440726140785E-2</v>
      </c>
      <c r="L121" s="14">
        <f>_xll.BDP($B$117,"wacc","EQY_FUND_YEAR="&amp;L$62)/100</f>
        <v>6.2533253330462599E-2</v>
      </c>
      <c r="M121" s="14">
        <f>_xll.BDP($B$117,"wacc","EQY_FUND_YEAR="&amp;M$62)/100</f>
        <v>7.6438411270781395E-2</v>
      </c>
      <c r="N121" s="14">
        <f>_xll.BDP($B$117,"wacc","EQY_FUND_YEAR="&amp;N$62)/100</f>
        <v>6.6733614104642666E-2</v>
      </c>
      <c r="O121" s="10"/>
      <c r="P121" s="10"/>
      <c r="Q121" s="10"/>
      <c r="R121" s="10"/>
      <c r="S121" s="10"/>
      <c r="T121" s="10"/>
      <c r="U121" s="10"/>
      <c r="V121" s="10"/>
      <c r="W121" s="10"/>
    </row>
    <row r="122" spans="1:23" ht="15" customHeight="1">
      <c r="A122" s="10"/>
      <c r="B122" s="10" t="s">
        <v>698</v>
      </c>
      <c r="C122" s="10"/>
      <c r="D122" s="10"/>
      <c r="E122" s="11">
        <f>_xll.BDH($B$117,"ACQUIS_OF_FIXED_INTANG","FY "&amp;E$62,"FY "&amp;E$62,"Currency="&amp;$D$13,"Period=FY","BEST_FPERIOD_OVERRIDE=FY","FILING_STATUS=MR","SCALING_FORMAT="&amp;$D$14,"FA_ADJUSTED=Adjusted","Sort=A","Dates=H","DateFormat=P","Fill=0","Direction=H","UseDPDF=Y")</f>
        <v>-144063</v>
      </c>
      <c r="F122" s="11">
        <f>_xll.BDH($B$117,"ACQUIS_OF_FIXED_INTANG","FY "&amp;F$62,"FY "&amp;F$62,"Currency="&amp;$D$13,"Period=FY","BEST_FPERIOD_OVERRIDE=FY","FILING_STATUS=MR","SCALING_FORMAT="&amp;$D$14,"FA_ADJUSTED=Adjusted","Sort=A","Dates=H","DateFormat=P","Fill=0","Direction=H","UseDPDF=Y")</f>
        <v>-255524</v>
      </c>
      <c r="G122" s="11">
        <f>_xll.BDH($B$117,"ACQUIS_OF_FIXED_INTANG","FY "&amp;G$62,"FY "&amp;G$62,"Currency="&amp;$D$13,"Period=FY","BEST_FPERIOD_OVERRIDE=FY","FILING_STATUS=MR","SCALING_FORMAT="&amp;$D$14,"FA_ADJUSTED=Adjusted","Sort=A","Dates=H","DateFormat=P","Fill=0","Direction=H","UseDPDF=Y")</f>
        <v>-221286</v>
      </c>
      <c r="H122" s="11">
        <f>_xll.BDH($B$117,"ACQUIS_OF_FIXED_INTANG","FY "&amp;H$62,"FY "&amp;H$62,"Currency="&amp;$D$13,"Period=FY","BEST_FPERIOD_OVERRIDE=FY","FILING_STATUS=MR","SCALING_FORMAT="&amp;$D$14,"FA_ADJUSTED=Adjusted","Sort=A","Dates=H","DateFormat=P","Fill=0","Direction=H","UseDPDF=Y")</f>
        <v>-389607</v>
      </c>
      <c r="I122" s="11">
        <f>_xll.BDH($B$117,"ACQUIS_OF_FIXED_INTANG","FY "&amp;I$62,"FY "&amp;I$62,"Currency="&amp;$D$13,"Period=FY","BEST_FPERIOD_OVERRIDE=FY","FILING_STATUS=MR","SCALING_FORMAT="&amp;$D$14,"FA_ADJUSTED=Adjusted","Sort=A","Dates=H","DateFormat=P","Fill=0","Direction=H","UseDPDF=Y")</f>
        <v>-293838</v>
      </c>
      <c r="J122" s="11">
        <f>_xll.BDH($B$117,"ACQUIS_OF_FIXED_INTANG","FY "&amp;J$62,"FY "&amp;J$62,"Currency="&amp;$D$13,"Period=FY","BEST_FPERIOD_OVERRIDE=FY","FILING_STATUS=MR","SCALING_FORMAT="&amp;$D$14,"FA_ADJUSTED=Adjusted","Sort=A","Dates=H","DateFormat=P","Fill=0","Direction=H","UseDPDF=Y")</f>
        <v>-367501</v>
      </c>
      <c r="K122" s="11">
        <f>_xll.BDH($B$117,"ACQUIS_OF_FIXED_INTANG","FY "&amp;K$62,"FY "&amp;K$62,"Currency="&amp;$D$13,"Period=FY","BEST_FPERIOD_OVERRIDE=FY","FILING_STATUS=MR","SCALING_FORMAT="&amp;$D$14,"FA_ADJUSTED=Adjusted","Sort=A","Dates=H","DateFormat=P","Fill=0","Direction=H","UseDPDF=Y")</f>
        <v>-232416</v>
      </c>
      <c r="L122" s="11">
        <f>_xll.BDH($B$117,"ACQUIS_OF_FIXED_INTANG","FY "&amp;L$62,"FY "&amp;L$62,"Currency="&amp;$D$13,"Period=FY","BEST_FPERIOD_OVERRIDE=FY","FILING_STATUS=MR","SCALING_FORMAT="&amp;$D$14,"FA_ADJUSTED=Adjusted","Sort=A","Dates=H","DateFormat=P","Fill=0","Direction=H","UseDPDF=Y")</f>
        <v>-278918</v>
      </c>
      <c r="M122" s="11">
        <f>_xll.BDH($B$117,"ACQUIS_OF_FIXED_INTANG","FY "&amp;M$62,"FY "&amp;M$62,"Currency="&amp;$D$13,"Period=FY","BEST_FPERIOD_OVERRIDE=FY","FILING_STATUS=MR","SCALING_FORMAT="&amp;$D$14,"FA_ADJUSTED=Adjusted","Sort=A","Dates=H","DateFormat=P","Fill=0","Direction=H","UseDPDF=Y")</f>
        <v>-270211</v>
      </c>
      <c r="N122" s="11">
        <f>_xll.BDH($B$117,"ACQUIS_OF_FIXED_INTANG","FY "&amp;N$62,"FY "&amp;N$62,"Currency="&amp;$D$13,"Period=FY","BEST_FPERIOD_OVERRIDE=FY","FILING_STATUS=MR","SCALING_FORMAT="&amp;$D$14,"FA_ADJUSTED=Adjusted","Sort=A","Dates=H","DateFormat=P","Fill=0","Direction=H","UseDPDF=Y")</f>
        <v>-256441</v>
      </c>
      <c r="O122" s="10"/>
      <c r="P122" s="10"/>
      <c r="Q122" s="10"/>
      <c r="R122" s="10"/>
      <c r="S122" s="10"/>
      <c r="T122" s="10"/>
      <c r="U122" s="10"/>
      <c r="V122" s="10"/>
      <c r="W122" s="10"/>
    </row>
    <row r="123" spans="1:23" ht="15" customHeight="1">
      <c r="A123" s="10"/>
      <c r="B123" s="10" t="s">
        <v>699</v>
      </c>
      <c r="C123" s="10"/>
      <c r="D123" s="10"/>
      <c r="E123" s="14">
        <f>_xll.BDH($B$117,"TOT_DEBT_TO_TOT_EQY","FY "&amp;E$62,"FY "&amp;E$62,"Currency="&amp;$D$13,"Period=FY","BEST_FPERIOD_OVERRIDE=FY","FILING_STATUS=MR","SCALING_FORMAT="&amp;$D$14,"FA_ADJUSTED=Adjusted","Sort=A","Dates=H","DateFormat=P","Fill=0","Direction=H","UseDPDF=Y")/100</f>
        <v>0.108712</v>
      </c>
      <c r="F123" s="14">
        <f>_xll.BDH($B$117,"TOT_DEBT_TO_TOT_EQY","FY "&amp;F$62,"FY "&amp;F$62,"Currency="&amp;$D$13,"Period=FY","BEST_FPERIOD_OVERRIDE=FY","FILING_STATUS=MR","SCALING_FORMAT="&amp;$D$14,"FA_ADJUSTED=Adjusted","Sort=A","Dates=H","DateFormat=P","Fill=0","Direction=H","UseDPDF=Y")/100</f>
        <v>5.6162000000000004E-2</v>
      </c>
      <c r="G123" s="14">
        <f>_xll.BDH($B$117,"TOT_DEBT_TO_TOT_EQY","FY "&amp;G$62,"FY "&amp;G$62,"Currency="&amp;$D$13,"Period=FY","BEST_FPERIOD_OVERRIDE=FY","FILING_STATUS=MR","SCALING_FORMAT="&amp;$D$14,"FA_ADJUSTED=Adjusted","Sort=A","Dates=H","DateFormat=P","Fill=0","Direction=H","UseDPDF=Y")/100</f>
        <v>5.0610000000000002E-2</v>
      </c>
      <c r="H123" s="14">
        <f>_xll.BDH($B$117,"TOT_DEBT_TO_TOT_EQY","FY "&amp;H$62,"FY "&amp;H$62,"Currency="&amp;$D$13,"Period=FY","BEST_FPERIOD_OVERRIDE=FY","FILING_STATUS=MR","SCALING_FORMAT="&amp;$D$14,"FA_ADJUSTED=Adjusted","Sort=A","Dates=H","DateFormat=P","Fill=0","Direction=H","UseDPDF=Y")/100</f>
        <v>0.11148300000000001</v>
      </c>
      <c r="I123" s="14">
        <f>_xll.BDH($B$117,"TOT_DEBT_TO_TOT_EQY","FY "&amp;I$62,"FY "&amp;I$62,"Currency="&amp;$D$13,"Period=FY","BEST_FPERIOD_OVERRIDE=FY","FILING_STATUS=MR","SCALING_FORMAT="&amp;$D$14,"FA_ADJUSTED=Adjusted","Sort=A","Dates=H","DateFormat=P","Fill=0","Direction=H","UseDPDF=Y")/100</f>
        <v>4.2190000000000005E-2</v>
      </c>
      <c r="J123" s="14">
        <f>_xll.BDH($B$117,"TOT_DEBT_TO_TOT_EQY","FY "&amp;J$62,"FY "&amp;J$62,"Currency="&amp;$D$13,"Period=FY","BEST_FPERIOD_OVERRIDE=FY","FILING_STATUS=MR","SCALING_FORMAT="&amp;$D$14,"FA_ADJUSTED=Adjusted","Sort=A","Dates=H","DateFormat=P","Fill=0","Direction=H","UseDPDF=Y")/100</f>
        <v>0.220799</v>
      </c>
      <c r="K123" s="14">
        <f>_xll.BDH($B$117,"TOT_DEBT_TO_TOT_EQY","FY "&amp;K$62,"FY "&amp;K$62,"Currency="&amp;$D$13,"Period=FY","BEST_FPERIOD_OVERRIDE=FY","FILING_STATUS=MR","SCALING_FORMAT="&amp;$D$14,"FA_ADJUSTED=Adjusted","Sort=A","Dates=H","DateFormat=P","Fill=0","Direction=H","UseDPDF=Y")/100</f>
        <v>0.494674</v>
      </c>
      <c r="L123" s="14">
        <f>_xll.BDH($B$117,"TOT_DEBT_TO_TOT_EQY","FY "&amp;L$62,"FY "&amp;L$62,"Currency="&amp;$D$13,"Period=FY","BEST_FPERIOD_OVERRIDE=FY","FILING_STATUS=MR","SCALING_FORMAT="&amp;$D$14,"FA_ADJUSTED=Adjusted","Sort=A","Dates=H","DateFormat=P","Fill=0","Direction=H","UseDPDF=Y")/100</f>
        <v>0.44774500000000006</v>
      </c>
      <c r="M123" s="14">
        <f>_xll.BDH($B$117,"TOT_DEBT_TO_TOT_EQY","FY "&amp;M$62,"FY "&amp;M$62,"Currency="&amp;$D$13,"Period=FY","BEST_FPERIOD_OVERRIDE=FY","FILING_STATUS=MR","SCALING_FORMAT="&amp;$D$14,"FA_ADJUSTED=Adjusted","Sort=A","Dates=H","DateFormat=P","Fill=0","Direction=H","UseDPDF=Y")/100</f>
        <v>0.44511299999999998</v>
      </c>
      <c r="N123" s="14">
        <f>_xll.BDH($B$117,"TOT_DEBT_TO_TOT_EQY","FY "&amp;N$62,"FY "&amp;N$62,"Currency="&amp;$D$13,"Period=FY","BEST_FPERIOD_OVERRIDE=FY","FILING_STATUS=MR","SCALING_FORMAT="&amp;$D$14,"FA_ADJUSTED=Adjusted","Sort=A","Dates=H","DateFormat=P","Fill=0","Direction=H","UseDPDF=Y")/100</f>
        <v>0.37632500000000002</v>
      </c>
      <c r="O123" s="10"/>
      <c r="P123" s="10"/>
      <c r="Q123" s="10"/>
      <c r="R123" s="10"/>
      <c r="S123" s="10"/>
      <c r="T123" s="10"/>
      <c r="U123" s="10"/>
      <c r="V123" s="10"/>
      <c r="W123" s="10"/>
    </row>
    <row r="124" spans="1:23" ht="15" customHeight="1">
      <c r="A124" s="10"/>
      <c r="B124" s="10" t="s">
        <v>700</v>
      </c>
      <c r="C124" s="10"/>
      <c r="D124" s="10"/>
      <c r="E124" s="14">
        <f t="shared" ref="E124:N124" si="23">+E119/E118</f>
        <v>0.11866745006915581</v>
      </c>
      <c r="F124" s="14">
        <f t="shared" si="23"/>
        <v>0.13912998371139856</v>
      </c>
      <c r="G124" s="14">
        <f t="shared" si="23"/>
        <v>0.14030295437620582</v>
      </c>
      <c r="H124" s="14">
        <f t="shared" si="23"/>
        <v>0.12492378767403124</v>
      </c>
      <c r="I124" s="14">
        <f t="shared" si="23"/>
        <v>0.12624091625034733</v>
      </c>
      <c r="J124" s="14">
        <f t="shared" si="23"/>
        <v>0.11212731028129164</v>
      </c>
      <c r="K124" s="14">
        <f t="shared" si="23"/>
        <v>0.10544151339838115</v>
      </c>
      <c r="L124" s="14">
        <f t="shared" si="23"/>
        <v>0.10127045882245859</v>
      </c>
      <c r="M124" s="14">
        <f t="shared" si="23"/>
        <v>9.086928912527735E-2</v>
      </c>
      <c r="N124" s="14">
        <f t="shared" si="23"/>
        <v>9.6115469460640923E-2</v>
      </c>
      <c r="O124" s="10"/>
      <c r="P124" s="10"/>
      <c r="Q124" s="10"/>
      <c r="R124" s="10"/>
      <c r="S124" s="10"/>
      <c r="T124" s="10"/>
      <c r="U124" s="10"/>
      <c r="V124" s="10"/>
      <c r="W124" s="10"/>
    </row>
    <row r="125" spans="1:23" ht="15" customHeight="1">
      <c r="A125" s="10"/>
      <c r="B125" s="10" t="s">
        <v>701</v>
      </c>
      <c r="C125" s="10"/>
      <c r="D125" s="10"/>
      <c r="E125" s="367">
        <f t="shared" ref="E125:N125" si="24">+E120/E121</f>
        <v>2.0406309361216697</v>
      </c>
      <c r="F125" s="367">
        <f t="shared" si="24"/>
        <v>2.7404365771358394</v>
      </c>
      <c r="G125" s="367">
        <f t="shared" si="24"/>
        <v>2.7164720857783657</v>
      </c>
      <c r="H125" s="367">
        <f t="shared" si="24"/>
        <v>2.3535103829103345</v>
      </c>
      <c r="I125" s="367">
        <f t="shared" si="24"/>
        <v>2.586061044318035</v>
      </c>
      <c r="J125" s="367">
        <f t="shared" si="24"/>
        <v>3.1069685355698446</v>
      </c>
      <c r="K125" s="367">
        <f t="shared" si="24"/>
        <v>2.0961288999371281</v>
      </c>
      <c r="L125" s="367">
        <f t="shared" si="24"/>
        <v>1.4149735343758081</v>
      </c>
      <c r="M125" s="367">
        <f t="shared" si="24"/>
        <v>0.95089965076042726</v>
      </c>
      <c r="N125" s="367">
        <f t="shared" si="24"/>
        <v>1.0767243237814634</v>
      </c>
      <c r="O125" s="10"/>
      <c r="P125" s="10"/>
      <c r="Q125" s="10"/>
      <c r="R125" s="10"/>
      <c r="S125" s="10"/>
      <c r="T125" s="10"/>
      <c r="U125" s="10"/>
      <c r="V125" s="10"/>
      <c r="W125" s="10"/>
    </row>
    <row r="126" spans="1:23" ht="15" customHeight="1">
      <c r="A126" s="10"/>
      <c r="B126" s="10" t="s">
        <v>702</v>
      </c>
      <c r="C126" s="10"/>
      <c r="D126" s="10"/>
      <c r="E126" s="14">
        <f t="shared" ref="E126:N126" si="25">-E122/E118</f>
        <v>1.5551071944824746E-2</v>
      </c>
      <c r="F126" s="14">
        <f t="shared" si="25"/>
        <v>2.6831669611047687E-2</v>
      </c>
      <c r="G126" s="14">
        <f t="shared" si="25"/>
        <v>2.4138046509639084E-2</v>
      </c>
      <c r="H126" s="14">
        <f t="shared" si="25"/>
        <v>4.0814921902008236E-2</v>
      </c>
      <c r="I126" s="14">
        <f t="shared" si="25"/>
        <v>3.093905362956717E-2</v>
      </c>
      <c r="J126" s="14">
        <f t="shared" si="25"/>
        <v>3.8247640465248235E-2</v>
      </c>
      <c r="K126" s="14">
        <f t="shared" si="25"/>
        <v>2.0412097498118113E-2</v>
      </c>
      <c r="L126" s="14">
        <f t="shared" si="25"/>
        <v>2.2387217523091699E-2</v>
      </c>
      <c r="M126" s="14">
        <f t="shared" si="25"/>
        <v>2.2313028643246371E-2</v>
      </c>
      <c r="N126" s="14">
        <f t="shared" si="25"/>
        <v>2.151206836254321E-2</v>
      </c>
      <c r="O126" s="10"/>
      <c r="P126" s="10"/>
      <c r="Q126" s="10"/>
      <c r="R126" s="10"/>
      <c r="S126" s="10"/>
      <c r="T126" s="10"/>
      <c r="U126" s="10"/>
      <c r="V126" s="10"/>
      <c r="W126" s="10"/>
    </row>
    <row r="127" spans="1:23" ht="1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c r="A128" s="10"/>
      <c r="B128" s="384" t="s">
        <v>703</v>
      </c>
      <c r="C128" s="384"/>
      <c r="D128" s="384"/>
      <c r="E128" s="32"/>
      <c r="F128" s="340"/>
      <c r="G128" s="340"/>
      <c r="H128" s="340"/>
      <c r="I128" s="340"/>
      <c r="J128" s="340"/>
      <c r="K128" s="32"/>
      <c r="L128" s="340"/>
      <c r="M128" s="340"/>
      <c r="N128" s="340"/>
      <c r="O128" s="340"/>
      <c r="P128" s="340"/>
      <c r="Q128" s="32"/>
      <c r="R128" s="340"/>
      <c r="S128" s="340"/>
      <c r="T128" s="340"/>
      <c r="U128" s="340"/>
      <c r="V128" s="32"/>
      <c r="W128" s="340"/>
    </row>
    <row r="129" spans="1:23" ht="15" customHeight="1">
      <c r="A129" s="10"/>
      <c r="B129" s="385"/>
      <c r="C129" s="385"/>
      <c r="D129" s="385"/>
      <c r="E129" s="32"/>
      <c r="F129" s="386"/>
      <c r="G129" s="386"/>
      <c r="H129" s="386"/>
      <c r="I129" s="386"/>
      <c r="J129" s="386"/>
      <c r="K129" s="387"/>
      <c r="L129" s="386"/>
      <c r="M129" s="386"/>
      <c r="N129" s="386"/>
      <c r="O129" s="386"/>
      <c r="P129" s="386"/>
      <c r="Q129" s="387"/>
      <c r="R129" s="386"/>
      <c r="S129" s="386"/>
      <c r="T129" s="386"/>
      <c r="U129" s="386"/>
      <c r="V129" s="387"/>
      <c r="W129" s="533"/>
    </row>
    <row r="130" spans="1:23" ht="15" customHeight="1">
      <c r="A130" s="10"/>
      <c r="B130" s="385"/>
      <c r="C130" s="385"/>
      <c r="D130" s="385"/>
      <c r="E130" s="32"/>
      <c r="F130" s="388"/>
      <c r="G130" s="388"/>
      <c r="H130" s="388"/>
      <c r="I130" s="388"/>
      <c r="J130" s="388"/>
      <c r="K130" s="386"/>
      <c r="L130" s="388"/>
      <c r="M130" s="388"/>
      <c r="N130" s="388"/>
      <c r="O130" s="388"/>
      <c r="P130" s="388"/>
      <c r="Q130" s="386"/>
      <c r="R130" s="388"/>
      <c r="S130" s="388"/>
      <c r="T130" s="388"/>
      <c r="U130" s="388"/>
      <c r="V130" s="386"/>
      <c r="W130" s="388"/>
    </row>
    <row r="131" spans="1:23" ht="3.95" customHeight="1">
      <c r="A131" s="10"/>
      <c r="B131" s="389"/>
      <c r="C131" s="389"/>
      <c r="D131" s="389"/>
      <c r="E131" s="390"/>
      <c r="F131" s="391"/>
      <c r="G131" s="391"/>
      <c r="H131" s="391"/>
      <c r="I131" s="391"/>
      <c r="J131" s="391"/>
      <c r="K131" s="392"/>
      <c r="L131" s="391"/>
      <c r="M131" s="391"/>
      <c r="N131" s="391"/>
      <c r="O131" s="391"/>
      <c r="P131" s="391"/>
      <c r="Q131" s="392"/>
      <c r="R131" s="391"/>
      <c r="S131" s="391"/>
      <c r="T131" s="391"/>
      <c r="U131" s="391"/>
      <c r="V131" s="392"/>
      <c r="W131" s="391"/>
    </row>
    <row r="132" spans="1:23" ht="3.95" customHeight="1">
      <c r="A132" s="10"/>
      <c r="B132" s="380"/>
      <c r="C132" s="380"/>
      <c r="D132" s="380"/>
      <c r="E132" s="381"/>
      <c r="F132" s="380"/>
      <c r="G132" s="380"/>
      <c r="H132" s="380"/>
      <c r="I132" s="380"/>
      <c r="J132" s="380"/>
      <c r="K132" s="380"/>
      <c r="L132" s="380"/>
      <c r="M132" s="380"/>
      <c r="N132" s="380"/>
      <c r="O132" s="380"/>
      <c r="P132" s="380"/>
      <c r="Q132" s="380"/>
      <c r="R132" s="380"/>
      <c r="S132" s="380"/>
      <c r="T132" s="380"/>
      <c r="U132" s="380"/>
      <c r="V132" s="380"/>
      <c r="W132" s="380"/>
    </row>
    <row r="133" spans="1:23" ht="15" customHeight="1">
      <c r="A133" s="10"/>
      <c r="B133" s="384" t="s">
        <v>73</v>
      </c>
      <c r="C133" s="538" t="s">
        <v>704</v>
      </c>
      <c r="D133" s="385"/>
      <c r="E133" s="32"/>
      <c r="F133" s="388"/>
      <c r="G133" s="388">
        <v>2017</v>
      </c>
      <c r="H133" s="388">
        <f t="shared" ref="H133:N133" si="26">+G133+1</f>
        <v>2018</v>
      </c>
      <c r="I133" s="388">
        <f t="shared" si="26"/>
        <v>2019</v>
      </c>
      <c r="J133" s="388">
        <f t="shared" si="26"/>
        <v>2020</v>
      </c>
      <c r="K133" s="388">
        <f t="shared" si="26"/>
        <v>2021</v>
      </c>
      <c r="L133" s="388">
        <f t="shared" si="26"/>
        <v>2022</v>
      </c>
      <c r="M133" s="388">
        <f t="shared" si="26"/>
        <v>2023</v>
      </c>
      <c r="N133" s="388">
        <f t="shared" si="26"/>
        <v>2024</v>
      </c>
      <c r="O133" s="380"/>
      <c r="P133" s="388">
        <v>2017</v>
      </c>
      <c r="Q133" s="388">
        <f t="shared" ref="Q133:W133" si="27">+P133+1</f>
        <v>2018</v>
      </c>
      <c r="R133" s="388">
        <f t="shared" si="27"/>
        <v>2019</v>
      </c>
      <c r="S133" s="388">
        <f t="shared" si="27"/>
        <v>2020</v>
      </c>
      <c r="T133" s="388">
        <f t="shared" si="27"/>
        <v>2021</v>
      </c>
      <c r="U133" s="388">
        <f t="shared" si="27"/>
        <v>2022</v>
      </c>
      <c r="V133" s="388">
        <f t="shared" si="27"/>
        <v>2023</v>
      </c>
      <c r="W133" s="388">
        <f t="shared" si="27"/>
        <v>2024</v>
      </c>
    </row>
    <row r="135" spans="1:23" ht="15" customHeight="1">
      <c r="B135" s="380" t="str">
        <f>+_xll.BDP(C135,"SHORT_NAME")</f>
        <v>CAL-MAINE FOODS</v>
      </c>
      <c r="C135" s="537" t="str">
        <f>Inputs!$D$15</f>
        <v>CALM US Equity</v>
      </c>
      <c r="D135" s="380"/>
      <c r="E135" s="381"/>
      <c r="F135" s="380"/>
      <c r="G135" s="380" t="str">
        <f>_xll.BDH($C$135,$C$133,"FY"&amp;G$133,"FY"&amp;G$133,"Period=FY","BEST_FPERIOD_OVERRIDE=FY","FILING_STATUS=MR","SCALING_FORMAT=K","FA_ADJUSTED=Adjusted","Sort=A","Dates=H","DateFormat=P","Fill=NA","Direction=H","UseDPDF=Y")</f>
        <v>#N/A</v>
      </c>
      <c r="H135" s="380">
        <f>_xll.BDH($C$135,$C$133,"FY"&amp;H$133,"FY"&amp;H$133,"Period=FY","BEST_FPERIOD_OVERRIDE=FY","FILING_STATUS=MR","SCALING_FORMAT=K","FA_ADJUSTED=Adjusted","Sort=A","Dates=H","DateFormat=P","Fill=NA","Direction=H","UseDPDF=Y")</f>
        <v>33.639000000000003</v>
      </c>
      <c r="I135" s="380" t="str">
        <f>_xll.BDH($C$135,$C$133,"FY"&amp;I$133,"FY"&amp;I$133,"Period=FY","BEST_FPERIOD_OVERRIDE=FY","FILING_STATUS=MR","SCALING_FORMAT=K","FA_ADJUSTED=Adjusted","Sort=A","Dates=H","DateFormat=P","Fill=NA","Direction=H","UseDPDF=Y")</f>
        <v>#N/A</v>
      </c>
      <c r="J135" s="380" t="str">
        <f>_xll.BDH($C$135,$C$133,"FY"&amp;J$133,"FY"&amp;J$133,"Period=FY","BEST_FPERIOD_OVERRIDE=FY","FILING_STATUS=MR","SCALING_FORMAT=K","FA_ADJUSTED=Adjusted","Sort=A","Dates=H","DateFormat=P","Fill=NA","Direction=H","UseDPDF=Y")</f>
        <v>#N/A</v>
      </c>
      <c r="K135" s="380" t="str">
        <f>_xll.BDH($C$135,$C$133,"FY"&amp;K$133,"FY"&amp;K$133,"Period=FY","BEST_FPERIOD_OVERRIDE=FY","FILING_STATUS=MR","SCALING_FORMAT=K","FA_ADJUSTED=Adjusted","Sort=A","Dates=H","DateFormat=P","Fill=NA","Direction=H","UseDPDF=Y")</f>
        <v>#N/A</v>
      </c>
      <c r="L135" s="380" t="str">
        <f>_xll.BDH($C$135,$C$133,"FY"&amp;L$133,"FY"&amp;L$133,"Period=FY","BEST_FPERIOD_OVERRIDE=FY","FILING_STATUS=MR","SCALING_FORMAT=K","FA_ADJUSTED=Adjusted","Sort=A","Dates=H","DateFormat=P","Fill=NA","Direction=H","UseDPDF=Y")</f>
        <v>#N/A</v>
      </c>
      <c r="M135" s="380">
        <f>_xll.BDH($C$135,$C$133,"FY"&amp;M$133,"FY"&amp;M$133,"Period=FY","BEST_FPERIOD_OVERRIDE=FY","FILING_STATUS=MR","SCALING_FORMAT=K","FA_ADJUSTED=Adjusted","Sort=A","Dates=H","DateFormat=P","Fill=NA","Direction=H","UseDPDF=Y")</f>
        <v>151.10900000000001</v>
      </c>
      <c r="N135" s="380">
        <f>_xll.BDH($C$135,$C$133,"FY"&amp;N$133,"FY"&amp;N$133,"Period=FY","BEST_FPERIOD_OVERRIDE=FY","FILING_STATUS=MR","SCALING_FORMAT=K","FA_ADJUSTED=Adjusted","Sort=A","Dates=H","DateFormat=P","Fill=NA","Direction=H","UseDPDF=Y")</f>
        <v>204.58600000000001</v>
      </c>
      <c r="O135" s="380"/>
      <c r="P135" s="380" t="e">
        <f t="shared" ref="P135:W140" si="28">+G135/G171</f>
        <v>#VALUE!</v>
      </c>
      <c r="Q135" s="380">
        <f t="shared" si="28"/>
        <v>2.2382250161683964E-5</v>
      </c>
      <c r="R135" s="380" t="e">
        <f t="shared" si="28"/>
        <v>#VALUE!</v>
      </c>
      <c r="S135" s="380" t="e">
        <f t="shared" si="28"/>
        <v>#VALUE!</v>
      </c>
      <c r="T135" s="380" t="e">
        <f t="shared" si="28"/>
        <v>#VALUE!</v>
      </c>
      <c r="U135" s="380" t="e">
        <f t="shared" si="28"/>
        <v>#VALUE!</v>
      </c>
      <c r="V135" s="380">
        <f t="shared" si="28"/>
        <v>4.8028791402500209E-5</v>
      </c>
      <c r="W135" s="380">
        <f t="shared" si="28"/>
        <v>8.793939933194151E-5</v>
      </c>
    </row>
    <row r="136" spans="1:23" ht="15" customHeight="1">
      <c r="B136" s="380" t="str">
        <f>+_xll.BDP(C136,"SHORT_NAME")</f>
        <v>VITAL FARMS INC</v>
      </c>
      <c r="C136" s="537" t="str">
        <f>+Inputs!$E$21</f>
        <v>VITL US Equity</v>
      </c>
      <c r="D136" s="380"/>
      <c r="E136" s="381"/>
      <c r="F136" s="380"/>
      <c r="G136" s="380" t="str">
        <f>_xll.BDH($C$136,$C$133,"FY"&amp;G$133,"FY"&amp;G$133,"Period=FY","BEST_FPERIOD_OVERRIDE=FY","FILING_STATUS=MR","SCALING_FORMAT=K","FA_ADJUSTED=Adjusted","Sort=A","Dates=H","DateFormat=P","Fill=NA","Direction=H","UseDPDF=Y")</f>
        <v>#N/A</v>
      </c>
      <c r="H136" s="380" t="str">
        <f>_xll.BDH($C$136,$C$133,"FY"&amp;H$133,"FY"&amp;H$133,"Period=FY","BEST_FPERIOD_OVERRIDE=FY","FILING_STATUS=MR","SCALING_FORMAT=K","FA_ADJUSTED=Adjusted","Sort=A","Dates=H","DateFormat=P","Fill=NA","Direction=H","UseDPDF=Y")</f>
        <v>#N/A</v>
      </c>
      <c r="I136" s="380" t="str">
        <f>_xll.BDH($C$136,$C$133,"FY"&amp;I$133,"FY"&amp;I$133,"Period=FY","BEST_FPERIOD_OVERRIDE=FY","FILING_STATUS=MR","SCALING_FORMAT=K","FA_ADJUSTED=Adjusted","Sort=A","Dates=H","DateFormat=P","Fill=NA","Direction=H","UseDPDF=Y")</f>
        <v>#N/A</v>
      </c>
      <c r="J136" s="380">
        <f>_xll.BDH($C$136,$C$133,"FY"&amp;J$133,"FY"&amp;J$133,"Period=FY","BEST_FPERIOD_OVERRIDE=FY","FILING_STATUS=MR","SCALING_FORMAT=K","FA_ADJUSTED=Adjusted","Sort=A","Dates=H","DateFormat=P","Fill=NA","Direction=H","UseDPDF=Y")</f>
        <v>1.208</v>
      </c>
      <c r="K136" s="380">
        <f>_xll.BDH($C$136,$C$133,"FY"&amp;K$133,"FY"&amp;K$133,"Period=FY","BEST_FPERIOD_OVERRIDE=FY","FILING_STATUS=MR","SCALING_FORMAT=K","FA_ADJUSTED=Adjusted","Sort=A","Dates=H","DateFormat=P","Fill=NA","Direction=H","UseDPDF=Y")</f>
        <v>1.179</v>
      </c>
      <c r="L136" s="380">
        <f>_xll.BDH($C$136,$C$133,"FY"&amp;L$133,"FY"&amp;L$133,"Period=FY","BEST_FPERIOD_OVERRIDE=FY","FILING_STATUS=MR","SCALING_FORMAT=K","FA_ADJUSTED=Adjusted","Sort=A","Dates=H","DateFormat=P","Fill=NA","Direction=H","UseDPDF=Y")</f>
        <v>3.9830000000000001</v>
      </c>
      <c r="M136" s="380">
        <f>_xll.BDH($C$136,$C$133,"FY"&amp;M$133,"FY"&amp;M$133,"Period=FY","BEST_FPERIOD_OVERRIDE=FY","FILING_STATUS=MR","SCALING_FORMAT=K","FA_ADJUSTED=Adjusted","Sort=A","Dates=H","DateFormat=P","Fill=NA","Direction=H","UseDPDF=Y")</f>
        <v>5.4260000000000002</v>
      </c>
      <c r="N136" s="380">
        <f>_xll.BDH($C$136,$C$133,"FY"&amp;N$133,"FY"&amp;N$133,"Period=FY","BEST_FPERIOD_OVERRIDE=FY","FILING_STATUS=MR","SCALING_FORMAT=K","FA_ADJUSTED=Adjusted","Sort=A","Dates=H","DateFormat=P","Fill=NA","Direction=H","UseDPDF=Y")</f>
        <v>5.806</v>
      </c>
      <c r="O136" s="380"/>
      <c r="P136" s="380" t="e">
        <f t="shared" si="28"/>
        <v>#VALUE!</v>
      </c>
      <c r="Q136" s="380" t="e">
        <f t="shared" si="28"/>
        <v>#VALUE!</v>
      </c>
      <c r="R136" s="380" t="e">
        <f t="shared" si="28"/>
        <v>#VALUE!</v>
      </c>
      <c r="S136" s="380">
        <f t="shared" si="28"/>
        <v>5.637483666231099E-6</v>
      </c>
      <c r="T136" s="380">
        <f t="shared" si="28"/>
        <v>4.5189554658663631E-6</v>
      </c>
      <c r="U136" s="380">
        <f t="shared" si="28"/>
        <v>1.1001242922248308E-5</v>
      </c>
      <c r="V136" s="380">
        <f t="shared" si="28"/>
        <v>1.1499246593777353E-5</v>
      </c>
      <c r="W136" s="380">
        <f t="shared" si="28"/>
        <v>9.5760068744052109E-6</v>
      </c>
    </row>
    <row r="137" spans="1:23" ht="15" customHeight="1">
      <c r="B137" s="380" t="str">
        <f>+_xll.BDP(C137,"SHORT_NAME")</f>
        <v>POST HOLDINGS IN</v>
      </c>
      <c r="C137" s="537" t="str">
        <f>+Inputs!$E$22</f>
        <v>POST US Equity</v>
      </c>
      <c r="D137" s="380"/>
      <c r="E137" s="381"/>
      <c r="F137" s="380"/>
      <c r="G137" s="380" t="str">
        <f>_xll.BDH($C$137,$C$133,"FY"&amp;G$133,"FY"&amp;G$133,"Period=FY","BEST_FPERIOD_OVERRIDE=FY","FILING_STATUS=MR","SCALING_FORMAT=K","FA_ADJUSTED=Adjusted","Sort=A","Dates=H","DateFormat=P","Fill=NA","Direction=H","UseDPDF=Y")</f>
        <v>#N/A</v>
      </c>
      <c r="H137" s="380" t="str">
        <f>_xll.BDH($C$137,$C$133,"FY"&amp;H$133,"FY"&amp;H$133,"Period=FY","BEST_FPERIOD_OVERRIDE=FY","FILING_STATUS=MR","SCALING_FORMAT=K","FA_ADJUSTED=Adjusted","Sort=A","Dates=H","DateFormat=P","Fill=NA","Direction=H","UseDPDF=Y")</f>
        <v>#N/A</v>
      </c>
      <c r="I137" s="380" t="str">
        <f>_xll.BDH($C$137,$C$133,"FY"&amp;I$133,"FY"&amp;I$133,"Period=FY","BEST_FPERIOD_OVERRIDE=FY","FILING_STATUS=MR","SCALING_FORMAT=K","FA_ADJUSTED=Adjusted","Sort=A","Dates=H","DateFormat=P","Fill=NA","Direction=H","UseDPDF=Y")</f>
        <v>#N/A</v>
      </c>
      <c r="J137" s="380">
        <f>_xll.BDH($C$137,$C$133,"FY"&amp;J$133,"FY"&amp;J$133,"Period=FY","BEST_FPERIOD_OVERRIDE=FY","FILING_STATUS=MR","SCALING_FORMAT=K","FA_ADJUSTED=Adjusted","Sort=A","Dates=H","DateFormat=P","Fill=NA","Direction=H","UseDPDF=Y")</f>
        <v>314.63900000000001</v>
      </c>
      <c r="K137" s="380">
        <f>_xll.BDH($C$137,$C$133,"FY"&amp;K$133,"FY"&amp;K$133,"Period=FY","BEST_FPERIOD_OVERRIDE=FY","FILING_STATUS=MR","SCALING_FORMAT=K","FA_ADJUSTED=Adjusted","Sort=A","Dates=H","DateFormat=P","Fill=NA","Direction=H","UseDPDF=Y")</f>
        <v>300.108</v>
      </c>
      <c r="L137" s="380">
        <f>_xll.BDH($C$137,$C$133,"FY"&amp;L$133,"FY"&amp;L$133,"Period=FY","BEST_FPERIOD_OVERRIDE=FY","FILING_STATUS=MR","SCALING_FORMAT=K","FA_ADJUSTED=Adjusted","Sort=A","Dates=H","DateFormat=P","Fill=NA","Direction=H","UseDPDF=Y")</f>
        <v>330.916</v>
      </c>
      <c r="M137" s="380">
        <f>_xll.BDH($C$137,$C$133,"FY"&amp;M$133,"FY"&amp;M$133,"Period=FY","BEST_FPERIOD_OVERRIDE=FY","FILING_STATUS=MR","SCALING_FORMAT=K","FA_ADJUSTED=Adjusted","Sort=A","Dates=H","DateFormat=P","Fill=NA","Direction=H","UseDPDF=Y")</f>
        <v>338.84800000000001</v>
      </c>
      <c r="N137" s="380">
        <f>_xll.BDH($C$137,$C$133,"FY"&amp;N$133,"FY"&amp;N$133,"Period=FY","BEST_FPERIOD_OVERRIDE=FY","FILING_STATUS=MR","SCALING_FORMAT=K","FA_ADJUSTED=Adjusted","Sort=A","Dates=H","DateFormat=P","Fill=NA","Direction=H","UseDPDF=Y")</f>
        <v>316</v>
      </c>
      <c r="O137" s="380"/>
      <c r="P137" s="380" t="e">
        <f t="shared" si="28"/>
        <v>#VALUE!</v>
      </c>
      <c r="Q137" s="380" t="e">
        <f t="shared" si="28"/>
        <v>#VALUE!</v>
      </c>
      <c r="R137" s="380" t="e">
        <f t="shared" si="28"/>
        <v>#VALUE!</v>
      </c>
      <c r="S137" s="380">
        <f t="shared" si="28"/>
        <v>5.5212416867004755E-5</v>
      </c>
      <c r="T137" s="380">
        <f t="shared" si="28"/>
        <v>6.02541811391973E-5</v>
      </c>
      <c r="U137" s="380">
        <f t="shared" si="28"/>
        <v>5.6555236532677054E-5</v>
      </c>
      <c r="V137" s="380">
        <f t="shared" si="28"/>
        <v>4.8469174653125451E-5</v>
      </c>
      <c r="W137" s="380">
        <f t="shared" si="28"/>
        <v>3.9885392606056018E-5</v>
      </c>
    </row>
    <row r="138" spans="1:23" ht="15" customHeight="1">
      <c r="B138" s="380" t="str">
        <f>+_xll.BDP(C138,"SHORT_NAME")</f>
        <v>TYSON FOODS-A</v>
      </c>
      <c r="C138" s="537" t="str">
        <f>+Inputs!$E$23</f>
        <v>TSN US Equity</v>
      </c>
      <c r="D138" s="380"/>
      <c r="E138" s="381"/>
      <c r="F138" s="380"/>
      <c r="G138" s="380">
        <f>_xll.BDH($C$138,$C$133,"FY"&amp;G$133,"FY"&amp;G$133,"Period=FY","BEST_FPERIOD_OVERRIDE=FY","FILING_STATUS=MR","SCALING_FORMAT=K","FA_ADJUSTED=Adjusted","Sort=A","Dates=H","DateFormat=P","Fill=NA","Direction=H","UseDPDF=Y")</f>
        <v>3044.7</v>
      </c>
      <c r="H138" s="380">
        <f>_xll.BDH($C$138,$C$133,"FY"&amp;H$133,"FY"&amp;H$133,"Period=FY","BEST_FPERIOD_OVERRIDE=FY","FILING_STATUS=MR","SCALING_FORMAT=K","FA_ADJUSTED=Adjusted","Sort=A","Dates=H","DateFormat=P","Fill=NA","Direction=H","UseDPDF=Y")</f>
        <v>3480</v>
      </c>
      <c r="I138" s="380">
        <f>_xll.BDH($C$138,$C$133,"FY"&amp;I$133,"FY"&amp;I$133,"Period=FY","BEST_FPERIOD_OVERRIDE=FY","FILING_STATUS=MR","SCALING_FORMAT=K","FA_ADJUSTED=Adjusted","Sort=A","Dates=H","DateFormat=P","Fill=NA","Direction=H","UseDPDF=Y")</f>
        <v>4400</v>
      </c>
      <c r="J138" s="380">
        <f>_xll.BDH($C$138,$C$133,"FY"&amp;J$133,"FY"&amp;J$133,"Period=FY","BEST_FPERIOD_OVERRIDE=FY","FILING_STATUS=MR","SCALING_FORMAT=K","FA_ADJUSTED=Adjusted","Sort=A","Dates=H","DateFormat=P","Fill=NA","Direction=H","UseDPDF=Y")</f>
        <v>3831.2</v>
      </c>
      <c r="K138" s="380">
        <f>_xll.BDH($C$138,$C$133,"FY"&amp;K$133,"FY"&amp;K$133,"Period=FY","BEST_FPERIOD_OVERRIDE=FY","FILING_STATUS=MR","SCALING_FORMAT=K","FA_ADJUSTED=Adjusted","Sort=A","Dates=H","DateFormat=P","Fill=NA","Direction=H","UseDPDF=Y")</f>
        <v>3826.29</v>
      </c>
      <c r="L138" s="380">
        <f>_xll.BDH($C$138,$C$133,"FY"&amp;L$133,"FY"&amp;L$133,"Period=FY","BEST_FPERIOD_OVERRIDE=FY","FILING_STATUS=MR","SCALING_FORMAT=K","FA_ADJUSTED=Adjusted","Sort=A","Dates=H","DateFormat=P","Fill=NA","Direction=H","UseDPDF=Y")</f>
        <v>3561.98</v>
      </c>
      <c r="M138" s="380" t="str">
        <f>_xll.BDH($C$138,$C$133,"FY"&amp;M$133,"FY"&amp;M$133,"Period=FY","BEST_FPERIOD_OVERRIDE=FY","FILING_STATUS=MR","SCALING_FORMAT=K","FA_ADJUSTED=Adjusted","Sort=A","Dates=H","DateFormat=P","Fill=NA","Direction=H","UseDPDF=Y")</f>
        <v>#N/A</v>
      </c>
      <c r="N138" s="380" t="str">
        <f>_xll.BDH($C$138,$C$133,"FY"&amp;N$133,"FY"&amp;N$133,"Period=FY","BEST_FPERIOD_OVERRIDE=FY","FILING_STATUS=MR","SCALING_FORMAT=K","FA_ADJUSTED=Adjusted","Sort=A","Dates=H","DateFormat=P","Fill=NA","Direction=H","UseDPDF=Y")</f>
        <v>#N/A</v>
      </c>
      <c r="O138" s="380"/>
      <c r="P138" s="380">
        <f t="shared" si="28"/>
        <v>7.9579194981704127E-5</v>
      </c>
      <c r="Q138" s="380">
        <f t="shared" si="28"/>
        <v>8.6887046839109153E-5</v>
      </c>
      <c r="R138" s="380">
        <f t="shared" si="28"/>
        <v>1.0376134889753567E-4</v>
      </c>
      <c r="S138" s="380">
        <f t="shared" si="28"/>
        <v>8.8715989348153295E-5</v>
      </c>
      <c r="T138" s="380">
        <f t="shared" si="28"/>
        <v>8.1325639227188676E-5</v>
      </c>
      <c r="U138" s="380">
        <f t="shared" si="28"/>
        <v>6.685146953943171E-5</v>
      </c>
      <c r="V138" s="380" t="e">
        <f t="shared" si="28"/>
        <v>#VALUE!</v>
      </c>
      <c r="W138" s="380" t="e">
        <f t="shared" si="28"/>
        <v>#VALUE!</v>
      </c>
    </row>
    <row r="139" spans="1:23" ht="15" customHeight="1">
      <c r="B139" s="380" t="str">
        <f>+_xll.BDP(C139,"SHORT_NAME")</f>
        <v>LAMB WESTON</v>
      </c>
      <c r="C139" s="537" t="str">
        <f>+Inputs!$E$24</f>
        <v>LW US Equity</v>
      </c>
      <c r="D139" s="380"/>
      <c r="E139" s="381"/>
      <c r="F139" s="380"/>
      <c r="G139" s="380" t="str">
        <f>_xll.BDH($C$139,$C$133,"FY"&amp;G$133,"FY"&amp;G$133,"Period=FY","BEST_FPERIOD_OVERRIDE=FY","FILING_STATUS=MR","SCALING_FORMAT=K","FA_ADJUSTED=Adjusted","Sort=A","Dates=H","DateFormat=P","Fill=NA","Direction=H","UseDPDF=Y")</f>
        <v>#N/A</v>
      </c>
      <c r="H139" s="380" t="str">
        <f>_xll.BDH($C$139,$C$133,"FY"&amp;H$133,"FY"&amp;H$133,"Period=FY","BEST_FPERIOD_OVERRIDE=FY","FILING_STATUS=MR","SCALING_FORMAT=K","FA_ADJUSTED=Adjusted","Sort=A","Dates=H","DateFormat=P","Fill=NA","Direction=H","UseDPDF=Y")</f>
        <v>#N/A</v>
      </c>
      <c r="I139" s="380" t="str">
        <f>_xll.BDH($C$139,$C$133,"FY"&amp;I$133,"FY"&amp;I$133,"Period=FY","BEST_FPERIOD_OVERRIDE=FY","FILING_STATUS=MR","SCALING_FORMAT=K","FA_ADJUSTED=Adjusted","Sort=A","Dates=H","DateFormat=P","Fill=NA","Direction=H","UseDPDF=Y")</f>
        <v>#N/A</v>
      </c>
      <c r="J139" s="380">
        <f>_xll.BDH($C$139,$C$133,"FY"&amp;J$133,"FY"&amp;J$133,"Period=FY","BEST_FPERIOD_OVERRIDE=FY","FILING_STATUS=MR","SCALING_FORMAT=K","FA_ADJUSTED=Adjusted","Sort=A","Dates=H","DateFormat=P","Fill=NA","Direction=H","UseDPDF=Y")</f>
        <v>688.495</v>
      </c>
      <c r="K139" s="380">
        <f>_xll.BDH($C$139,$C$133,"FY"&amp;K$133,"FY"&amp;K$133,"Period=FY","BEST_FPERIOD_OVERRIDE=FY","FILING_STATUS=MR","SCALING_FORMAT=K","FA_ADJUSTED=Adjusted","Sort=A","Dates=H","DateFormat=P","Fill=NA","Direction=H","UseDPDF=Y")</f>
        <v>780.23699999999997</v>
      </c>
      <c r="L139" s="380">
        <f>_xll.BDH($C$139,$C$133,"FY"&amp;L$133,"FY"&amp;L$133,"Period=FY","BEST_FPERIOD_OVERRIDE=FY","FILING_STATUS=MR","SCALING_FORMAT=K","FA_ADJUSTED=Adjusted","Sort=A","Dates=H","DateFormat=P","Fill=NA","Direction=H","UseDPDF=Y")</f>
        <v>700.08500000000004</v>
      </c>
      <c r="M139" s="380">
        <f>_xll.BDH($C$139,$C$133,"FY"&amp;M$133,"FY"&amp;M$133,"Period=FY","BEST_FPERIOD_OVERRIDE=FY","FILING_STATUS=MR","SCALING_FORMAT=K","FA_ADJUSTED=Adjusted","Sort=A","Dates=H","DateFormat=P","Fill=NA","Direction=H","UseDPDF=Y")</f>
        <v>741.91099999999994</v>
      </c>
      <c r="N139" s="380">
        <f>_xll.BDH($C$139,$C$133,"FY"&amp;N$133,"FY"&amp;N$133,"Period=FY","BEST_FPERIOD_OVERRIDE=FY","FILING_STATUS=MR","SCALING_FORMAT=K","FA_ADJUSTED=Adjusted","Sort=A","Dates=H","DateFormat=P","Fill=NA","Direction=H","UseDPDF=Y")</f>
        <v>736.79700000000003</v>
      </c>
      <c r="O139" s="380"/>
      <c r="P139" s="380" t="e">
        <f t="shared" si="28"/>
        <v>#VALUE!</v>
      </c>
      <c r="Q139" s="380" t="e">
        <f t="shared" si="28"/>
        <v>#VALUE!</v>
      </c>
      <c r="R139" s="380" t="e">
        <f t="shared" si="28"/>
        <v>#VALUE!</v>
      </c>
      <c r="S139" s="380">
        <f t="shared" si="28"/>
        <v>1.8154598671026262E-4</v>
      </c>
      <c r="T139" s="380">
        <f t="shared" si="28"/>
        <v>2.1254651447873818E-4</v>
      </c>
      <c r="U139" s="380">
        <f t="shared" si="28"/>
        <v>1.7079826294859598E-4</v>
      </c>
      <c r="V139" s="380">
        <f t="shared" si="28"/>
        <v>1.3865940268381114E-4</v>
      </c>
      <c r="W139" s="380">
        <f t="shared" si="28"/>
        <v>1.1392123817181026E-4</v>
      </c>
    </row>
    <row r="140" spans="1:23" ht="15" customHeight="1">
      <c r="B140" s="380" t="str">
        <f>+_xll.BDP(C140,"SHORT_NAME")</f>
        <v>HORMEL FOODS CRP</v>
      </c>
      <c r="C140" s="537" t="str">
        <f>+Inputs!$E$25</f>
        <v>HRL US Equity</v>
      </c>
      <c r="D140" s="380"/>
      <c r="E140" s="381"/>
      <c r="F140" s="380"/>
      <c r="G140" s="380">
        <f>_xll.BDH($C$140,$C$133,"FY"&amp;G$133,"FY"&amp;G$133,"Period=FY","BEST_FPERIOD_OVERRIDE=FY","FILING_STATUS=MR","SCALING_FORMAT=K","FA_ADJUSTED=Adjusted","Sort=A","Dates=H","DateFormat=P","Fill=NA","Direction=H","UseDPDF=Y")</f>
        <v>220</v>
      </c>
      <c r="H140" s="380">
        <f>_xll.BDH($C$140,$C$133,"FY"&amp;H$133,"FY"&amp;H$133,"Period=FY","BEST_FPERIOD_OVERRIDE=FY","FILING_STATUS=MR","SCALING_FORMAT=K","FA_ADJUSTED=Adjusted","Sort=A","Dates=H","DateFormat=P","Fill=NA","Direction=H","UseDPDF=Y")</f>
        <v>216</v>
      </c>
      <c r="I140" s="380">
        <f>_xll.BDH($C$140,$C$133,"FY"&amp;I$133,"FY"&amp;I$133,"Period=FY","BEST_FPERIOD_OVERRIDE=FY","FILING_STATUS=MR","SCALING_FORMAT=K","FA_ADJUSTED=Adjusted","Sort=A","Dates=H","DateFormat=P","Fill=NA","Direction=H","UseDPDF=Y")</f>
        <v>793.23</v>
      </c>
      <c r="J140" s="380">
        <f>_xll.BDH($C$140,$C$133,"FY"&amp;J$133,"FY"&amp;J$133,"Period=FY","BEST_FPERIOD_OVERRIDE=FY","FILING_STATUS=MR","SCALING_FORMAT=K","FA_ADJUSTED=Adjusted","Sort=A","Dates=H","DateFormat=P","Fill=NA","Direction=H","UseDPDF=Y")</f>
        <v>968.51499999999999</v>
      </c>
      <c r="K140" s="380">
        <f>_xll.BDH($C$140,$C$133,"FY"&amp;K$133,"FY"&amp;K$133,"Period=FY","BEST_FPERIOD_OVERRIDE=FY","FILING_STATUS=MR","SCALING_FORMAT=K","FA_ADJUSTED=Adjusted","Sort=A","Dates=H","DateFormat=P","Fill=NA","Direction=H","UseDPDF=Y")</f>
        <v>668.81700000000001</v>
      </c>
      <c r="L140" s="380">
        <f>_xll.BDH($C$140,$C$133,"FY"&amp;L$133,"FY"&amp;L$133,"Period=FY","BEST_FPERIOD_OVERRIDE=FY","FILING_STATUS=MR","SCALING_FORMAT=K","FA_ADJUSTED=Adjusted","Sort=A","Dates=H","DateFormat=P","Fill=NA","Direction=H","UseDPDF=Y")</f>
        <v>632.84</v>
      </c>
      <c r="M140" s="380">
        <f>_xll.BDH($C$140,$C$133,"FY"&amp;M$133,"FY"&amp;M$133,"Period=FY","BEST_FPERIOD_OVERRIDE=FY","FILING_STATUS=MR","SCALING_FORMAT=K","FA_ADJUSTED=Adjusted","Sort=A","Dates=H","DateFormat=P","Fill=NA","Direction=H","UseDPDF=Y")</f>
        <v>625.33799999999997</v>
      </c>
      <c r="N140" s="380" t="str">
        <f>_xll.BDH($C$140,$C$133,"FY"&amp;N$133,"FY"&amp;N$133,"Period=FY","BEST_FPERIOD_OVERRIDE=FY","FILING_STATUS=MR","SCALING_FORMAT=K","FA_ADJUSTED=Adjusted","Sort=A","Dates=H","DateFormat=P","Fill=NA","Direction=H","UseDPDF=Y")</f>
        <v>#N/A</v>
      </c>
      <c r="O140" s="380"/>
      <c r="P140" s="380">
        <f t="shared" si="28"/>
        <v>2.3997768643839188E-5</v>
      </c>
      <c r="Q140" s="380">
        <f t="shared" si="28"/>
        <v>2.2627989565982588E-5</v>
      </c>
      <c r="R140" s="380">
        <f t="shared" si="28"/>
        <v>8.3521482961977582E-5</v>
      </c>
      <c r="S140" s="380">
        <f t="shared" si="28"/>
        <v>1.0079812981515668E-4</v>
      </c>
      <c r="T140" s="380">
        <f t="shared" si="28"/>
        <v>5.8739320065739294E-5</v>
      </c>
      <c r="U140" s="380">
        <f t="shared" si="28"/>
        <v>5.079459460240412E-5</v>
      </c>
      <c r="V140" s="380">
        <f t="shared" si="28"/>
        <v>5.1638107648135715E-5</v>
      </c>
      <c r="W140" s="380" t="e">
        <f t="shared" si="28"/>
        <v>#VALUE!</v>
      </c>
    </row>
    <row r="141" spans="1:23" ht="15" customHeight="1">
      <c r="B141" s="380"/>
      <c r="C141" s="380"/>
      <c r="D141" s="380"/>
      <c r="E141" s="381"/>
      <c r="F141" s="380"/>
      <c r="G141" s="380"/>
      <c r="H141" s="380"/>
      <c r="I141" s="380"/>
      <c r="J141" s="380"/>
      <c r="K141" s="380"/>
      <c r="L141" s="380"/>
      <c r="M141" s="380"/>
      <c r="N141" s="380"/>
      <c r="O141" s="380"/>
      <c r="P141" s="380"/>
      <c r="Q141" s="380"/>
      <c r="R141" s="380"/>
      <c r="S141" s="380"/>
      <c r="T141" s="380"/>
      <c r="U141" s="380"/>
      <c r="V141" s="380"/>
      <c r="W141" s="380"/>
    </row>
    <row r="142" spans="1:23" ht="15" customHeight="1">
      <c r="B142" s="384" t="s">
        <v>86</v>
      </c>
      <c r="C142" s="538" t="s">
        <v>705</v>
      </c>
      <c r="D142" s="385"/>
      <c r="E142" s="32"/>
      <c r="F142" s="388"/>
      <c r="G142" s="388">
        <v>2017</v>
      </c>
      <c r="H142" s="388">
        <f t="shared" ref="H142:N142" si="29">+G142+1</f>
        <v>2018</v>
      </c>
      <c r="I142" s="388">
        <f t="shared" si="29"/>
        <v>2019</v>
      </c>
      <c r="J142" s="388">
        <f t="shared" si="29"/>
        <v>2020</v>
      </c>
      <c r="K142" s="388">
        <f t="shared" si="29"/>
        <v>2021</v>
      </c>
      <c r="L142" s="388">
        <f t="shared" si="29"/>
        <v>2022</v>
      </c>
      <c r="M142" s="388">
        <f t="shared" si="29"/>
        <v>2023</v>
      </c>
      <c r="N142" s="388">
        <f t="shared" si="29"/>
        <v>2024</v>
      </c>
      <c r="O142" s="380"/>
      <c r="P142" s="388">
        <v>2017</v>
      </c>
      <c r="Q142" s="388">
        <f t="shared" ref="Q142:W142" si="30">+P142+1</f>
        <v>2018</v>
      </c>
      <c r="R142" s="388">
        <f t="shared" si="30"/>
        <v>2019</v>
      </c>
      <c r="S142" s="388">
        <f t="shared" si="30"/>
        <v>2020</v>
      </c>
      <c r="T142" s="388">
        <f t="shared" si="30"/>
        <v>2021</v>
      </c>
      <c r="U142" s="388">
        <f t="shared" si="30"/>
        <v>2022</v>
      </c>
      <c r="V142" s="388">
        <f t="shared" si="30"/>
        <v>2023</v>
      </c>
      <c r="W142" s="388">
        <f t="shared" si="30"/>
        <v>2024</v>
      </c>
    </row>
    <row r="143" spans="1:23" ht="3.95" customHeight="1">
      <c r="B143" s="389"/>
      <c r="C143" s="389"/>
      <c r="D143" s="389"/>
      <c r="E143" s="390"/>
      <c r="F143" s="391"/>
      <c r="G143" s="391"/>
      <c r="H143" s="391"/>
      <c r="I143" s="391"/>
      <c r="J143" s="391"/>
      <c r="K143" s="391"/>
      <c r="L143" s="391"/>
      <c r="M143" s="391"/>
      <c r="N143" s="391"/>
      <c r="O143" s="380"/>
      <c r="P143" s="391"/>
      <c r="Q143" s="391"/>
      <c r="R143" s="391"/>
      <c r="S143" s="391"/>
      <c r="T143" s="391"/>
      <c r="U143" s="391"/>
      <c r="V143" s="391"/>
      <c r="W143" s="391"/>
    </row>
    <row r="144" spans="1:23" ht="15" customHeight="1">
      <c r="B144" s="380" t="str">
        <f>+_xll.BDP(C144,"SHORT_NAME")</f>
        <v>CAL-MAINE FOODS</v>
      </c>
      <c r="C144" s="537" t="str">
        <f>Inputs!$D$15</f>
        <v>CALM US Equity</v>
      </c>
      <c r="D144" s="380"/>
      <c r="E144" s="381"/>
      <c r="F144" s="380"/>
      <c r="G144" s="380" t="str">
        <f>_xll.BDH($C$135,$C$142,"FY"&amp;G$133,"FY"&amp;G$133,"Period=FY","BEST_FPERIOD_OVERRIDE=FY","FILING_STATUS=MR","SCALING_FORMAT=K","FA_ADJUSTED=Adjusted","Sort=A","Dates=H","DateFormat=P","Fill=NA","Direction=H","UseDPDF=Y")</f>
        <v>#N/A</v>
      </c>
      <c r="H144" s="380" t="str">
        <f>_xll.BDH($C$135,$C$142,"FY"&amp;H$133,"FY"&amp;H$133,"Period=FY","BEST_FPERIOD_OVERRIDE=FY","FILING_STATUS=MR","SCALING_FORMAT=K","FA_ADJUSTED=Adjusted","Sort=A","Dates=H","DateFormat=P","Fill=NA","Direction=H","UseDPDF=Y")</f>
        <v>#N/A</v>
      </c>
      <c r="I144" s="380" t="str">
        <f>_xll.BDH($C$135,$C$142,"FY"&amp;I$133,"FY"&amp;I$133,"Period=FY","BEST_FPERIOD_OVERRIDE=FY","FILING_STATUS=MR","SCALING_FORMAT=K","FA_ADJUSTED=Adjusted","Sort=A","Dates=H","DateFormat=P","Fill=NA","Direction=H","UseDPDF=Y")</f>
        <v>#N/A</v>
      </c>
      <c r="J144" s="380" t="str">
        <f>_xll.BDH($C$135,$C$142,"FY"&amp;J$133,"FY"&amp;J$133,"Period=FY","BEST_FPERIOD_OVERRIDE=FY","FILING_STATUS=MR","SCALING_FORMAT=K","FA_ADJUSTED=Adjusted","Sort=A","Dates=H","DateFormat=P","Fill=NA","Direction=H","UseDPDF=Y")</f>
        <v>#N/A</v>
      </c>
      <c r="K144" s="380">
        <f>_xll.BDH($C$135,$C$142,"FY"&amp;K$133,"FY"&amp;K$133,"Period=FY","BEST_FPERIOD_OVERRIDE=FY","FILING_STATUS=MR","SCALING_FORMAT=K","FA_ADJUSTED=Adjusted","Sort=A","Dates=H","DateFormat=P","Fill=NA","Direction=H","UseDPDF=Y")</f>
        <v>380.38299999999998</v>
      </c>
      <c r="L144" s="380">
        <f>_xll.BDH($C$135,$C$142,"FY"&amp;L$133,"FY"&amp;L$133,"Period=FY","BEST_FPERIOD_OVERRIDE=FY","FILING_STATUS=MR","SCALING_FORMAT=K","FA_ADJUSTED=Adjusted","Sort=A","Dates=H","DateFormat=P","Fill=NA","Direction=H","UseDPDF=Y")</f>
        <v>406.49</v>
      </c>
      <c r="M144" s="380">
        <f>_xll.BDH($C$135,$C$142,"FY"&amp;M$133,"FY"&amp;M$133,"Period=FY","BEST_FPERIOD_OVERRIDE=FY","FILING_STATUS=MR","SCALING_FORMAT=K","FA_ADJUSTED=Adjusted","Sort=A","Dates=H","DateFormat=P","Fill=NA","Direction=H","UseDPDF=Y")</f>
        <v>401.64299999999997</v>
      </c>
      <c r="N144" s="380">
        <f>_xll.BDH($C$135,$C$142,"FY"&amp;N$133,"FY"&amp;N$133,"Period=FY","BEST_FPERIOD_OVERRIDE=FY","FILING_STATUS=MR","SCALING_FORMAT=K","FA_ADJUSTED=Adjusted","Sort=A","Dates=H","DateFormat=P","Fill=NA","Direction=H","UseDPDF=Y")</f>
        <v>426.05599999999998</v>
      </c>
      <c r="O144" s="380"/>
      <c r="P144" s="380" t="e">
        <f t="shared" ref="P144:W149" si="31">+G144/G171</f>
        <v>#VALUE!</v>
      </c>
      <c r="Q144" s="380" t="e">
        <f t="shared" si="31"/>
        <v>#VALUE!</v>
      </c>
      <c r="R144" s="380" t="e">
        <f t="shared" si="31"/>
        <v>#VALUE!</v>
      </c>
      <c r="S144" s="380" t="e">
        <f t="shared" si="31"/>
        <v>#VALUE!</v>
      </c>
      <c r="T144" s="380">
        <f t="shared" si="31"/>
        <v>2.8197677220017687E-4</v>
      </c>
      <c r="U144" s="380">
        <f t="shared" si="31"/>
        <v>2.2873023741826139E-4</v>
      </c>
      <c r="V144" s="380">
        <f t="shared" si="31"/>
        <v>1.2765902669777704E-4</v>
      </c>
      <c r="W144" s="380">
        <f t="shared" si="31"/>
        <v>1.8313622985819983E-4</v>
      </c>
    </row>
    <row r="145" spans="2:23" ht="15" customHeight="1">
      <c r="B145" s="380" t="str">
        <f>+_xll.BDP(C145,"SHORT_NAME")</f>
        <v>VITAL FARMS INC</v>
      </c>
      <c r="C145" s="537" t="str">
        <f>+Inputs!$E$21</f>
        <v>VITL US Equity</v>
      </c>
      <c r="D145" s="380"/>
      <c r="E145" s="381"/>
      <c r="F145" s="380"/>
      <c r="G145" s="380" t="str">
        <f>_xll.BDH($C$136,$C$142,"FY"&amp;G$133,"FY"&amp;G$133,"Period=FY","BEST_FPERIOD_OVERRIDE=FY","FILING_STATUS=MR","SCALING_FORMAT=K","FA_ADJUSTED=Adjusted","Sort=A","Dates=H","DateFormat=P","Fill=NA","Direction=H","UseDPDF=Y")</f>
        <v>#N/A</v>
      </c>
      <c r="H145" s="380" t="str">
        <f>_xll.BDH($C$136,$C$142,"FY"&amp;H$133,"FY"&amp;H$133,"Period=FY","BEST_FPERIOD_OVERRIDE=FY","FILING_STATUS=MR","SCALING_FORMAT=K","FA_ADJUSTED=Adjusted","Sort=A","Dates=H","DateFormat=P","Fill=NA","Direction=H","UseDPDF=Y")</f>
        <v>#N/A</v>
      </c>
      <c r="I145" s="380" t="str">
        <f>_xll.BDH($C$136,$C$142,"FY"&amp;I$133,"FY"&amp;I$133,"Period=FY","BEST_FPERIOD_OVERRIDE=FY","FILING_STATUS=MR","SCALING_FORMAT=K","FA_ADJUSTED=Adjusted","Sort=A","Dates=H","DateFormat=P","Fill=NA","Direction=H","UseDPDF=Y")</f>
        <v>#N/A</v>
      </c>
      <c r="J145" s="380" t="str">
        <f>_xll.BDH($C$136,$C$142,"FY"&amp;J$133,"FY"&amp;J$133,"Period=FY","BEST_FPERIOD_OVERRIDE=FY","FILING_STATUS=MR","SCALING_FORMAT=K","FA_ADJUSTED=Adjusted","Sort=A","Dates=H","DateFormat=P","Fill=NA","Direction=H","UseDPDF=Y")</f>
        <v>#N/A</v>
      </c>
      <c r="K145" s="380">
        <f>_xll.BDH($C$136,$C$142,"FY"&amp;K$133,"FY"&amp;K$133,"Period=FY","BEST_FPERIOD_OVERRIDE=FY","FILING_STATUS=MR","SCALING_FORMAT=K","FA_ADJUSTED=Adjusted","Sort=A","Dates=H","DateFormat=P","Fill=NA","Direction=H","UseDPDF=Y")</f>
        <v>0</v>
      </c>
      <c r="L145" s="380">
        <f>_xll.BDH($C$136,$C$142,"FY"&amp;L$133,"FY"&amp;L$133,"Period=FY","BEST_FPERIOD_OVERRIDE=FY","FILING_STATUS=MR","SCALING_FORMAT=K","FA_ADJUSTED=Adjusted","Sort=A","Dates=H","DateFormat=P","Fill=NA","Direction=H","UseDPDF=Y")</f>
        <v>4.6230000000000002</v>
      </c>
      <c r="M145" s="380">
        <f>_xll.BDH($C$136,$C$142,"FY"&amp;M$133,"FY"&amp;M$133,"Period=FY","BEST_FPERIOD_OVERRIDE=FY","FILING_STATUS=MR","SCALING_FORMAT=K","FA_ADJUSTED=Adjusted","Sort=A","Dates=H","DateFormat=P","Fill=NA","Direction=H","UseDPDF=Y")</f>
        <v>12.077</v>
      </c>
      <c r="N145" s="380">
        <f>_xll.BDH($C$136,$C$142,"FY"&amp;N$133,"FY"&amp;N$133,"Period=FY","BEST_FPERIOD_OVERRIDE=FY","FILING_STATUS=MR","SCALING_FORMAT=K","FA_ADJUSTED=Adjusted","Sort=A","Dates=H","DateFormat=P","Fill=NA","Direction=H","UseDPDF=Y")</f>
        <v>28.838999999999999</v>
      </c>
      <c r="O145" s="380"/>
      <c r="P145" s="380" t="e">
        <f t="shared" si="31"/>
        <v>#VALUE!</v>
      </c>
      <c r="Q145" s="380" t="e">
        <f t="shared" si="31"/>
        <v>#VALUE!</v>
      </c>
      <c r="R145" s="380" t="e">
        <f t="shared" si="31"/>
        <v>#VALUE!</v>
      </c>
      <c r="S145" s="380" t="e">
        <f t="shared" si="31"/>
        <v>#VALUE!</v>
      </c>
      <c r="T145" s="380">
        <f t="shared" si="31"/>
        <v>0</v>
      </c>
      <c r="U145" s="380">
        <f t="shared" si="31"/>
        <v>1.2768954564286702E-5</v>
      </c>
      <c r="V145" s="380">
        <f t="shared" si="31"/>
        <v>2.5594618708634184E-5</v>
      </c>
      <c r="W145" s="380">
        <f t="shared" si="31"/>
        <v>4.7565012444190809E-5</v>
      </c>
    </row>
    <row r="146" spans="2:23" ht="15" customHeight="1">
      <c r="B146" s="380" t="str">
        <f>+_xll.BDP(C146,"SHORT_NAME")</f>
        <v>POST HOLDINGS IN</v>
      </c>
      <c r="C146" s="537" t="str">
        <f>+Inputs!$E$22</f>
        <v>POST US Equity</v>
      </c>
      <c r="D146" s="380"/>
      <c r="E146" s="381"/>
      <c r="F146" s="380"/>
      <c r="G146" s="380" t="str">
        <f>_xll.BDH($C$137,$C$142,"FY"&amp;G$133,"FY"&amp;G$133,"Period=FY","BEST_FPERIOD_OVERRIDE=FY","FILING_STATUS=MR","SCALING_FORMAT=K","FA_ADJUSTED=Adjusted","Sort=A","Dates=H","DateFormat=P","Fill=NA","Direction=H","UseDPDF=Y")</f>
        <v>#N/A</v>
      </c>
      <c r="H146" s="380" t="str">
        <f>_xll.BDH($C$137,$C$142,"FY"&amp;H$133,"FY"&amp;H$133,"Period=FY","BEST_FPERIOD_OVERRIDE=FY","FILING_STATUS=MR","SCALING_FORMAT=K","FA_ADJUSTED=Adjusted","Sort=A","Dates=H","DateFormat=P","Fill=NA","Direction=H","UseDPDF=Y")</f>
        <v>#N/A</v>
      </c>
      <c r="I146" s="380">
        <f>_xll.BDH($C$137,$C$142,"FY"&amp;I$133,"FY"&amp;I$133,"Period=FY","BEST_FPERIOD_OVERRIDE=FY","FILING_STATUS=MR","SCALING_FORMAT=K","FA_ADJUSTED=Adjusted","Sort=A","Dates=H","DateFormat=P","Fill=NA","Direction=H","UseDPDF=Y")</f>
        <v>4975.16</v>
      </c>
      <c r="J146" s="380" t="str">
        <f>_xll.BDH($C$137,$C$142,"FY"&amp;J$133,"FY"&amp;J$133,"Period=FY","BEST_FPERIOD_OVERRIDE=FY","FILING_STATUS=MR","SCALING_FORMAT=K","FA_ADJUSTED=Adjusted","Sort=A","Dates=H","DateFormat=P","Fill=NA","Direction=H","UseDPDF=Y")</f>
        <v>#N/A</v>
      </c>
      <c r="K146" s="380">
        <f>_xll.BDH($C$137,$C$142,"FY"&amp;K$133,"FY"&amp;K$133,"Period=FY","BEST_FPERIOD_OVERRIDE=FY","FILING_STATUS=MR","SCALING_FORMAT=K","FA_ADJUSTED=Adjusted","Sort=A","Dates=H","DateFormat=P","Fill=NA","Direction=H","UseDPDF=Y")</f>
        <v>2372.4699999999998</v>
      </c>
      <c r="L146" s="380">
        <f>_xll.BDH($C$137,$C$142,"FY"&amp;L$133,"FY"&amp;L$133,"Period=FY","BEST_FPERIOD_OVERRIDE=FY","FILING_STATUS=MR","SCALING_FORMAT=K","FA_ADJUSTED=Adjusted","Sort=A","Dates=H","DateFormat=P","Fill=NA","Direction=H","UseDPDF=Y")</f>
        <v>2576.71</v>
      </c>
      <c r="M146" s="380">
        <f>_xll.BDH($C$137,$C$142,"FY"&amp;M$133,"FY"&amp;M$133,"Period=FY","BEST_FPERIOD_OVERRIDE=FY","FILING_STATUS=MR","SCALING_FORMAT=K","FA_ADJUSTED=Adjusted","Sort=A","Dates=H","DateFormat=P","Fill=NA","Direction=H","UseDPDF=Y")</f>
        <v>2617.63</v>
      </c>
      <c r="N146" s="380">
        <f>_xll.BDH($C$137,$C$142,"FY"&amp;N$133,"FY"&amp;N$133,"Period=FY","BEST_FPERIOD_OVERRIDE=FY","FILING_STATUS=MR","SCALING_FORMAT=K","FA_ADJUSTED=Adjusted","Sort=A","Dates=H","DateFormat=P","Fill=NA","Direction=H","UseDPDF=Y")</f>
        <v>2445.0300000000002</v>
      </c>
      <c r="O146" s="380"/>
      <c r="P146" s="380" t="e">
        <f t="shared" si="31"/>
        <v>#VALUE!</v>
      </c>
      <c r="Q146" s="380" t="e">
        <f t="shared" si="31"/>
        <v>#VALUE!</v>
      </c>
      <c r="R146" s="380">
        <f t="shared" si="31"/>
        <v>8.7573885339106857E-4</v>
      </c>
      <c r="S146" s="380" t="e">
        <f t="shared" si="31"/>
        <v>#VALUE!</v>
      </c>
      <c r="T146" s="380">
        <f t="shared" si="31"/>
        <v>4.7633264400586257E-4</v>
      </c>
      <c r="U146" s="380">
        <f t="shared" si="31"/>
        <v>4.4037291495761555E-4</v>
      </c>
      <c r="V146" s="380">
        <f t="shared" si="31"/>
        <v>3.7442855099413535E-4</v>
      </c>
      <c r="W146" s="380">
        <f t="shared" si="31"/>
        <v>3.0861070089742133E-4</v>
      </c>
    </row>
    <row r="147" spans="2:23" ht="15" customHeight="1">
      <c r="B147" s="380" t="str">
        <f>+_xll.BDP(C147,"SHORT_NAME")</f>
        <v>TYSON FOODS-A</v>
      </c>
      <c r="C147" s="537" t="str">
        <f>+Inputs!$E$23</f>
        <v>TSN US Equity</v>
      </c>
      <c r="D147" s="380"/>
      <c r="E147" s="381"/>
      <c r="F147" s="380"/>
      <c r="G147" s="380">
        <f>_xll.BDH($C$138,$C$142,"FY"&amp;G$133,"FY"&amp;G$133,"Period=FY","BEST_FPERIOD_OVERRIDE=FY","FILING_STATUS=MR","SCALING_FORMAT=K","FA_ADJUSTED=Adjusted","Sort=A","Dates=H","DateFormat=P","Fill=NA","Direction=H","UseDPDF=Y")</f>
        <v>13071.8</v>
      </c>
      <c r="H147" s="380">
        <f>_xll.BDH($C$138,$C$142,"FY"&amp;H$133,"FY"&amp;H$133,"Period=FY","BEST_FPERIOD_OVERRIDE=FY","FILING_STATUS=MR","SCALING_FORMAT=K","FA_ADJUSTED=Adjusted","Sort=A","Dates=H","DateFormat=P","Fill=NA","Direction=H","UseDPDF=Y")</f>
        <v>16743.300999999999</v>
      </c>
      <c r="I147" s="380">
        <f>_xll.BDH($C$138,$C$142,"FY"&amp;I$133,"FY"&amp;I$133,"Period=FY","BEST_FPERIOD_OVERRIDE=FY","FILING_STATUS=MR","SCALING_FORMAT=K","FA_ADJUSTED=Adjusted","Sort=A","Dates=H","DateFormat=P","Fill=NA","Direction=H","UseDPDF=Y")</f>
        <v>17484.199000000001</v>
      </c>
      <c r="J147" s="380">
        <f>_xll.BDH($C$138,$C$142,"FY"&amp;J$133,"FY"&amp;J$133,"Period=FY","BEST_FPERIOD_OVERRIDE=FY","FILING_STATUS=MR","SCALING_FORMAT=K","FA_ADJUSTED=Adjusted","Sort=A","Dates=H","DateFormat=P","Fill=NA","Direction=H","UseDPDF=Y")</f>
        <v>17116.699000000001</v>
      </c>
      <c r="K147" s="380">
        <f>_xll.BDH($C$138,$C$142,"FY"&amp;K$133,"FY"&amp;K$133,"Period=FY","BEST_FPERIOD_OVERRIDE=FY","FILING_STATUS=MR","SCALING_FORMAT=K","FA_ADJUSTED=Adjusted","Sort=A","Dates=H","DateFormat=P","Fill=NA","Direction=H","UseDPDF=Y")</f>
        <v>17749.900000000001</v>
      </c>
      <c r="L147" s="380">
        <f>_xll.BDH($C$138,$C$142,"FY"&amp;L$133,"FY"&amp;L$133,"Period=FY","BEST_FPERIOD_OVERRIDE=FY","FILING_STATUS=MR","SCALING_FORMAT=K","FA_ADJUSTED=Adjusted","Sort=A","Dates=H","DateFormat=P","Fill=NA","Direction=H","UseDPDF=Y")</f>
        <v>16977.699000000001</v>
      </c>
      <c r="M147" s="380" t="str">
        <f>_xll.BDH($C$138,$C$142,"FY"&amp;M$133,"FY"&amp;M$133,"Period=FY","BEST_FPERIOD_OVERRIDE=FY","FILING_STATUS=MR","SCALING_FORMAT=K","FA_ADJUSTED=Adjusted","Sort=A","Dates=H","DateFormat=P","Fill=NA","Direction=H","UseDPDF=Y")</f>
        <v>#N/A</v>
      </c>
      <c r="N147" s="380" t="str">
        <f>_xll.BDH($C$138,$C$142,"FY"&amp;N$133,"FY"&amp;N$133,"Period=FY","BEST_FPERIOD_OVERRIDE=FY","FILING_STATUS=MR","SCALING_FORMAT=K","FA_ADJUSTED=Adjusted","Sort=A","Dates=H","DateFormat=P","Fill=NA","Direction=H","UseDPDF=Y")</f>
        <v>#N/A</v>
      </c>
      <c r="O147" s="380"/>
      <c r="P147" s="380">
        <f t="shared" si="31"/>
        <v>3.4165708311552535E-4</v>
      </c>
      <c r="Q147" s="380">
        <f t="shared" si="31"/>
        <v>4.1803907420353539E-4</v>
      </c>
      <c r="R147" s="380">
        <f t="shared" si="31"/>
        <v>4.1231456196203279E-4</v>
      </c>
      <c r="S147" s="380">
        <f t="shared" si="31"/>
        <v>3.9635750839411832E-4</v>
      </c>
      <c r="T147" s="380">
        <f t="shared" si="31"/>
        <v>3.7726412888690515E-4</v>
      </c>
      <c r="U147" s="380">
        <f t="shared" si="31"/>
        <v>3.18638545850381E-4</v>
      </c>
      <c r="V147" s="380" t="e">
        <f t="shared" si="31"/>
        <v>#VALUE!</v>
      </c>
      <c r="W147" s="380" t="e">
        <f t="shared" si="31"/>
        <v>#VALUE!</v>
      </c>
    </row>
    <row r="148" spans="2:23" ht="15" customHeight="1">
      <c r="B148" s="380" t="str">
        <f>+_xll.BDP(C148,"SHORT_NAME")</f>
        <v>LAMB WESTON</v>
      </c>
      <c r="C148" s="537" t="str">
        <f>+Inputs!$E$24</f>
        <v>LW US Equity</v>
      </c>
      <c r="D148" s="380"/>
      <c r="E148" s="381"/>
      <c r="F148" s="380"/>
      <c r="G148" s="380" t="str">
        <f>_xll.BDH($C$139,$C$142,"FY"&amp;G$133,"FY"&amp;G$133,"Period=FY","BEST_FPERIOD_OVERRIDE=FY","FILING_STATUS=MR","SCALING_FORMAT=K","FA_ADJUSTED=Adjusted","Sort=A","Dates=H","DateFormat=P","Fill=NA","Direction=H","UseDPDF=Y")</f>
        <v>#N/A</v>
      </c>
      <c r="H148" s="380" t="str">
        <f>_xll.BDH($C$139,$C$142,"FY"&amp;H$133,"FY"&amp;H$133,"Period=FY","BEST_FPERIOD_OVERRIDE=FY","FILING_STATUS=MR","SCALING_FORMAT=K","FA_ADJUSTED=Adjusted","Sort=A","Dates=H","DateFormat=P","Fill=NA","Direction=H","UseDPDF=Y")</f>
        <v>#N/A</v>
      </c>
      <c r="I148" s="380">
        <f>_xll.BDH($C$139,$C$142,"FY"&amp;I$133,"FY"&amp;I$133,"Period=FY","BEST_FPERIOD_OVERRIDE=FY","FILING_STATUS=MR","SCALING_FORMAT=K","FA_ADJUSTED=Adjusted","Sort=A","Dates=H","DateFormat=P","Fill=NA","Direction=H","UseDPDF=Y")</f>
        <v>3977.68</v>
      </c>
      <c r="J148" s="380">
        <f>_xll.BDH($C$139,$C$142,"FY"&amp;J$133,"FY"&amp;J$133,"Period=FY","BEST_FPERIOD_OVERRIDE=FY","FILING_STATUS=MR","SCALING_FORMAT=K","FA_ADJUSTED=Adjusted","Sort=A","Dates=H","DateFormat=P","Fill=NA","Direction=H","UseDPDF=Y")</f>
        <v>4787.1000000000004</v>
      </c>
      <c r="K148" s="380">
        <f>_xll.BDH($C$139,$C$142,"FY"&amp;K$133,"FY"&amp;K$133,"Period=FY","BEST_FPERIOD_OVERRIDE=FY","FILING_STATUS=MR","SCALING_FORMAT=K","FA_ADJUSTED=Adjusted","Sort=A","Dates=H","DateFormat=P","Fill=NA","Direction=H","UseDPDF=Y")</f>
        <v>4063.39</v>
      </c>
      <c r="L148" s="380">
        <f>_xll.BDH($C$139,$C$142,"FY"&amp;L$133,"FY"&amp;L$133,"Period=FY","BEST_FPERIOD_OVERRIDE=FY","FILING_STATUS=MR","SCALING_FORMAT=K","FA_ADJUSTED=Adjusted","Sort=A","Dates=H","DateFormat=P","Fill=NA","Direction=H","UseDPDF=Y")</f>
        <v>3955.11</v>
      </c>
      <c r="M148" s="380">
        <f>_xll.BDH($C$139,$C$142,"FY"&amp;M$133,"FY"&amp;M$133,"Period=FY","BEST_FPERIOD_OVERRIDE=FY","FILING_STATUS=MR","SCALING_FORMAT=K","FA_ADJUSTED=Adjusted","Sort=A","Dates=H","DateFormat=P","Fill=NA","Direction=H","UseDPDF=Y")</f>
        <v>5185.3999999999996</v>
      </c>
      <c r="N148" s="380" t="str">
        <f>_xll.BDH($C$139,$C$142,"FY"&amp;N$133,"FY"&amp;N$133,"Period=FY","BEST_FPERIOD_OVERRIDE=FY","FILING_STATUS=MR","SCALING_FORMAT=K","FA_ADJUSTED=Adjusted","Sort=A","Dates=H","DateFormat=P","Fill=NA","Direction=H","UseDPDF=Y")</f>
        <v>#N/A</v>
      </c>
      <c r="O148" s="380"/>
      <c r="P148" s="380" t="e">
        <f t="shared" si="31"/>
        <v>#VALUE!</v>
      </c>
      <c r="Q148" s="380" t="e">
        <f t="shared" si="31"/>
        <v>#VALUE!</v>
      </c>
      <c r="R148" s="380">
        <f t="shared" si="31"/>
        <v>1.0588792759217355E-3</v>
      </c>
      <c r="S148" s="380">
        <f t="shared" si="31"/>
        <v>1.2622877333614598E-3</v>
      </c>
      <c r="T148" s="380">
        <f t="shared" si="31"/>
        <v>1.1069192840992672E-3</v>
      </c>
      <c r="U148" s="380">
        <f t="shared" si="31"/>
        <v>9.6491985654687841E-4</v>
      </c>
      <c r="V148" s="380">
        <f t="shared" si="31"/>
        <v>9.6912495794864123E-4</v>
      </c>
      <c r="W148" s="380" t="e">
        <f t="shared" si="31"/>
        <v>#VALUE!</v>
      </c>
    </row>
    <row r="149" spans="2:23" ht="15" customHeight="1">
      <c r="B149" s="380" t="str">
        <f>+_xll.BDP(C149,"SHORT_NAME")</f>
        <v>HORMEL FOODS CRP</v>
      </c>
      <c r="C149" s="537" t="str">
        <f>+Inputs!$E$25</f>
        <v>HRL US Equity</v>
      </c>
      <c r="D149" s="380"/>
      <c r="E149" s="381"/>
      <c r="F149" s="380"/>
      <c r="G149" s="380" t="str">
        <f>_xll.BDH($C$140,$C$142,"FY"&amp;G$133,"FY"&amp;G$133,"Period=FY","BEST_FPERIOD_OVERRIDE=FY","FILING_STATUS=MR","SCALING_FORMAT=K","FA_ADJUSTED=Adjusted","Sort=A","Dates=H","DateFormat=P","Fill=NA","Direction=H","UseDPDF=Y")</f>
        <v>#N/A</v>
      </c>
      <c r="H149" s="380" t="str">
        <f>_xll.BDH($C$140,$C$142,"FY"&amp;H$133,"FY"&amp;H$133,"Period=FY","BEST_FPERIOD_OVERRIDE=FY","FILING_STATUS=MR","SCALING_FORMAT=K","FA_ADJUSTED=Adjusted","Sort=A","Dates=H","DateFormat=P","Fill=NA","Direction=H","UseDPDF=Y")</f>
        <v>#N/A</v>
      </c>
      <c r="I149" s="380" t="str">
        <f>_xll.BDH($C$140,$C$142,"FY"&amp;I$133,"FY"&amp;I$133,"Period=FY","BEST_FPERIOD_OVERRIDE=FY","FILING_STATUS=MR","SCALING_FORMAT=K","FA_ADJUSTED=Adjusted","Sort=A","Dates=H","DateFormat=P","Fill=NA","Direction=H","UseDPDF=Y")</f>
        <v>#N/A</v>
      </c>
      <c r="J149" s="380">
        <f>_xll.BDH($C$140,$C$142,"FY"&amp;J$133,"FY"&amp;J$133,"Period=FY","BEST_FPERIOD_OVERRIDE=FY","FILING_STATUS=MR","SCALING_FORMAT=K","FA_ADJUSTED=Adjusted","Sort=A","Dates=H","DateFormat=P","Fill=NA","Direction=H","UseDPDF=Y")</f>
        <v>3461.99</v>
      </c>
      <c r="K149" s="380">
        <f>_xll.BDH($C$140,$C$142,"FY"&amp;K$133,"FY"&amp;K$133,"Period=FY","BEST_FPERIOD_OVERRIDE=FY","FILING_STATUS=MR","SCALING_FORMAT=K","FA_ADJUSTED=Adjusted","Sort=A","Dates=H","DateFormat=P","Fill=NA","Direction=H","UseDPDF=Y")</f>
        <v>2250.92</v>
      </c>
      <c r="L149" s="380">
        <f>_xll.BDH($C$140,$C$142,"FY"&amp;L$133,"FY"&amp;L$133,"Period=FY","BEST_FPERIOD_OVERRIDE=FY","FILING_STATUS=MR","SCALING_FORMAT=K","FA_ADJUSTED=Adjusted","Sort=A","Dates=H","DateFormat=P","Fill=NA","Direction=H","UseDPDF=Y")</f>
        <v>3637.83</v>
      </c>
      <c r="M149" s="380">
        <f>_xll.BDH($C$140,$C$142,"FY"&amp;M$133,"FY"&amp;M$133,"Period=FY","BEST_FPERIOD_OVERRIDE=FY","FILING_STATUS=MR","SCALING_FORMAT=K","FA_ADJUSTED=Adjusted","Sort=A","Dates=H","DateFormat=P","Fill=NA","Direction=H","UseDPDF=Y")</f>
        <v>3524.67</v>
      </c>
      <c r="N149" s="380">
        <f>_xll.BDH($C$140,$C$142,"FY"&amp;N$133,"FY"&amp;N$133,"Period=FY","BEST_FPERIOD_OVERRIDE=FY","FILING_STATUS=MR","SCALING_FORMAT=K","FA_ADJUSTED=Adjusted","Sort=A","Dates=H","DateFormat=P","Fill=NA","Direction=H","UseDPDF=Y")</f>
        <v>3075.78</v>
      </c>
      <c r="O149" s="380"/>
      <c r="P149" s="380" t="e">
        <f t="shared" si="31"/>
        <v>#VALUE!</v>
      </c>
      <c r="Q149" s="380" t="e">
        <f t="shared" si="31"/>
        <v>#VALUE!</v>
      </c>
      <c r="R149" s="380" t="e">
        <f t="shared" si="31"/>
        <v>#VALUE!</v>
      </c>
      <c r="S149" s="380">
        <f t="shared" si="31"/>
        <v>3.6030636328686106E-4</v>
      </c>
      <c r="T149" s="380">
        <f t="shared" si="31"/>
        <v>1.9768862083705094E-4</v>
      </c>
      <c r="U149" s="380">
        <f t="shared" si="31"/>
        <v>2.9198865445051475E-4</v>
      </c>
      <c r="V149" s="380">
        <f t="shared" si="31"/>
        <v>2.9105426007080095E-4</v>
      </c>
      <c r="W149" s="380">
        <f t="shared" si="31"/>
        <v>2.5801798319357341E-4</v>
      </c>
    </row>
    <row r="151" spans="2:23" ht="15" customHeight="1">
      <c r="B151" s="384" t="s">
        <v>81</v>
      </c>
      <c r="C151" s="538" t="s">
        <v>706</v>
      </c>
      <c r="D151" s="385"/>
      <c r="E151" s="32"/>
      <c r="F151" s="388"/>
      <c r="G151" s="388">
        <v>2017</v>
      </c>
      <c r="H151" s="388">
        <f t="shared" ref="H151:N151" si="32">+G151+1</f>
        <v>2018</v>
      </c>
      <c r="I151" s="388">
        <f t="shared" si="32"/>
        <v>2019</v>
      </c>
      <c r="J151" s="388">
        <f t="shared" si="32"/>
        <v>2020</v>
      </c>
      <c r="K151" s="388">
        <f t="shared" si="32"/>
        <v>2021</v>
      </c>
      <c r="L151" s="388">
        <f t="shared" si="32"/>
        <v>2022</v>
      </c>
      <c r="M151" s="388">
        <f t="shared" si="32"/>
        <v>2023</v>
      </c>
      <c r="N151" s="388">
        <f t="shared" si="32"/>
        <v>2024</v>
      </c>
      <c r="O151" s="380"/>
      <c r="P151" s="388">
        <v>2017</v>
      </c>
      <c r="Q151" s="388">
        <f t="shared" ref="Q151:W151" si="33">+P151+1</f>
        <v>2018</v>
      </c>
      <c r="R151" s="388">
        <f t="shared" si="33"/>
        <v>2019</v>
      </c>
      <c r="S151" s="388">
        <f t="shared" si="33"/>
        <v>2020</v>
      </c>
      <c r="T151" s="388">
        <f t="shared" si="33"/>
        <v>2021</v>
      </c>
      <c r="U151" s="388">
        <f t="shared" si="33"/>
        <v>2022</v>
      </c>
      <c r="V151" s="388">
        <f t="shared" si="33"/>
        <v>2023</v>
      </c>
      <c r="W151" s="388">
        <f t="shared" si="33"/>
        <v>2024</v>
      </c>
    </row>
    <row r="152" spans="2:23" ht="3.95" customHeight="1">
      <c r="B152" s="389"/>
      <c r="C152" s="389"/>
      <c r="D152" s="389"/>
      <c r="E152" s="390"/>
      <c r="F152" s="391"/>
      <c r="G152" s="391"/>
      <c r="H152" s="391"/>
      <c r="I152" s="391"/>
      <c r="J152" s="391"/>
      <c r="K152" s="391"/>
      <c r="L152" s="391"/>
      <c r="M152" s="391"/>
      <c r="N152" s="391"/>
      <c r="O152" s="380"/>
      <c r="P152" s="391"/>
      <c r="Q152" s="391"/>
      <c r="R152" s="391"/>
      <c r="S152" s="391"/>
      <c r="T152" s="391"/>
      <c r="U152" s="391"/>
      <c r="V152" s="391"/>
      <c r="W152" s="391"/>
    </row>
    <row r="153" spans="2:23" ht="15" customHeight="1">
      <c r="B153" s="380" t="str">
        <f>+_xll.BDP(C153,"SHORT_NAME")</f>
        <v>CAL-MAINE FOODS</v>
      </c>
      <c r="C153" s="537" t="str">
        <f>Inputs!$D$15</f>
        <v>CALM US Equity</v>
      </c>
      <c r="D153" s="380"/>
      <c r="E153" s="381"/>
      <c r="F153" s="380"/>
      <c r="G153" s="380" t="str">
        <f>_xll.BDH($C$135,$C$151,"FY"&amp;G$133,"FY"&amp;G$133,"Period=FY","BEST_FPERIOD_OVERRIDE=FY","FILING_STATUS=MR","SCALING_FORMAT=K","FA_ADJUSTED=Adjusted","Sort=A","Dates=H","DateFormat=P","Fill=NA","Direction=H","UseDPDF=Y")</f>
        <v>#N/A</v>
      </c>
      <c r="H153" s="380" t="str">
        <f>_xll.BDH($C$135,$C$151,"FY"&amp;H$133,"FY"&amp;H$133,"Period=FY","BEST_FPERIOD_OVERRIDE=FY","FILING_STATUS=MR","SCALING_FORMAT=K","FA_ADJUSTED=Adjusted","Sort=A","Dates=H","DateFormat=P","Fill=NA","Direction=H","UseDPDF=Y")</f>
        <v>#N/A</v>
      </c>
      <c r="I153" s="380" t="str">
        <f>_xll.BDH($C$135,$C$151,"FY"&amp;I$133,"FY"&amp;I$133,"Period=FY","BEST_FPERIOD_OVERRIDE=FY","FILING_STATUS=MR","SCALING_FORMAT=K","FA_ADJUSTED=Adjusted","Sort=A","Dates=H","DateFormat=P","Fill=NA","Direction=H","UseDPDF=Y")</f>
        <v>#N/A</v>
      </c>
      <c r="J153" s="380" t="str">
        <f>_xll.BDH($C$135,$C$151,"FY"&amp;J$133,"FY"&amp;J$133,"Period=FY","BEST_FPERIOD_OVERRIDE=FY","FILING_STATUS=MR","SCALING_FORMAT=K","FA_ADJUSTED=Adjusted","Sort=A","Dates=H","DateFormat=P","Fill=NA","Direction=H","UseDPDF=Y")</f>
        <v>#N/A</v>
      </c>
      <c r="K153" s="380" t="str">
        <f>_xll.BDH($C$135,$C$151,"FY"&amp;K$133,"FY"&amp;K$133,"Period=FY","BEST_FPERIOD_OVERRIDE=FY","FILING_STATUS=MR","SCALING_FORMAT=K","FA_ADJUSTED=Adjusted","Sort=A","Dates=H","DateFormat=P","Fill=NA","Direction=H","UseDPDF=Y")</f>
        <v>#N/A</v>
      </c>
      <c r="L153" s="380" t="str">
        <f>_xll.BDH($C$135,$C$151,"FY"&amp;L$133,"FY"&amp;L$133,"Period=FY","BEST_FPERIOD_OVERRIDE=FY","FILING_STATUS=MR","SCALING_FORMAT=K","FA_ADJUSTED=Adjusted","Sort=A","Dates=H","DateFormat=P","Fill=NA","Direction=H","UseDPDF=Y")</f>
        <v>#N/A</v>
      </c>
      <c r="M153" s="380" t="str">
        <f>_xll.BDH($C$135,$C$151,"FY"&amp;M$133,"FY"&amp;M$133,"Period=FY","BEST_FPERIOD_OVERRIDE=FY","FILING_STATUS=MR","SCALING_FORMAT=K","FA_ADJUSTED=Adjusted","Sort=A","Dates=H","DateFormat=P","Fill=NA","Direction=H","UseDPDF=Y")</f>
        <v>#N/A</v>
      </c>
      <c r="N153" s="380" t="str">
        <f>_xll.BDH($C$135,$C$151,"FY"&amp;N$133,"FY"&amp;N$133,"Period=FY","BEST_FPERIOD_OVERRIDE=FY","FILING_STATUS=MR","SCALING_FORMAT=K","FA_ADJUSTED=Adjusted","Sort=A","Dates=H","DateFormat=P","Fill=NA","Direction=H","UseDPDF=Y")</f>
        <v>#N/A</v>
      </c>
      <c r="O153" s="380"/>
      <c r="P153" s="380" t="e">
        <f t="shared" ref="P153:W158" si="34">+G153/G171</f>
        <v>#VALUE!</v>
      </c>
      <c r="Q153" s="380" t="e">
        <f t="shared" si="34"/>
        <v>#VALUE!</v>
      </c>
      <c r="R153" s="380" t="e">
        <f t="shared" si="34"/>
        <v>#VALUE!</v>
      </c>
      <c r="S153" s="380" t="e">
        <f t="shared" si="34"/>
        <v>#VALUE!</v>
      </c>
      <c r="T153" s="380" t="e">
        <f t="shared" si="34"/>
        <v>#VALUE!</v>
      </c>
      <c r="U153" s="380" t="e">
        <f t="shared" si="34"/>
        <v>#VALUE!</v>
      </c>
      <c r="V153" s="380" t="e">
        <f t="shared" si="34"/>
        <v>#VALUE!</v>
      </c>
      <c r="W153" s="380" t="e">
        <f t="shared" si="34"/>
        <v>#VALUE!</v>
      </c>
    </row>
    <row r="154" spans="2:23" ht="15" customHeight="1">
      <c r="B154" s="380" t="str">
        <f>+_xll.BDP(C154,"SHORT_NAME")</f>
        <v>VITAL FARMS INC</v>
      </c>
      <c r="C154" s="537" t="str">
        <f>+Inputs!$E$21</f>
        <v>VITL US Equity</v>
      </c>
      <c r="D154" s="380"/>
      <c r="E154" s="381"/>
      <c r="F154" s="380"/>
      <c r="G154" s="380" t="str">
        <f>_xll.BDH($C$136,$C$151,"FY"&amp;G$133,"FY"&amp;G$133,"Period=FY","BEST_FPERIOD_OVERRIDE=FY","FILING_STATUS=MR","SCALING_FORMAT=K","FA_ADJUSTED=Adjusted","Sort=A","Dates=H","DateFormat=P","Fill=NA","Direction=H","UseDPDF=Y")</f>
        <v>#N/A</v>
      </c>
      <c r="H154" s="380" t="str">
        <f>_xll.BDH($C$136,$C$151,"FY"&amp;H$133,"FY"&amp;H$133,"Period=FY","BEST_FPERIOD_OVERRIDE=FY","FILING_STATUS=MR","SCALING_FORMAT=K","FA_ADJUSTED=Adjusted","Sort=A","Dates=H","DateFormat=P","Fill=NA","Direction=H","UseDPDF=Y")</f>
        <v>#N/A</v>
      </c>
      <c r="I154" s="380" t="str">
        <f>_xll.BDH($C$136,$C$151,"FY"&amp;I$133,"FY"&amp;I$133,"Period=FY","BEST_FPERIOD_OVERRIDE=FY","FILING_STATUS=MR","SCALING_FORMAT=K","FA_ADJUSTED=Adjusted","Sort=A","Dates=H","DateFormat=P","Fill=NA","Direction=H","UseDPDF=Y")</f>
        <v>#N/A</v>
      </c>
      <c r="J154" s="380" t="str">
        <f>_xll.BDH($C$136,$C$151,"FY"&amp;J$133,"FY"&amp;J$133,"Period=FY","BEST_FPERIOD_OVERRIDE=FY","FILING_STATUS=MR","SCALING_FORMAT=K","FA_ADJUSTED=Adjusted","Sort=A","Dates=H","DateFormat=P","Fill=NA","Direction=H","UseDPDF=Y")</f>
        <v>#N/A</v>
      </c>
      <c r="K154" s="380">
        <f>_xll.BDH($C$136,$C$151,"FY"&amp;K$133,"FY"&amp;K$133,"Period=FY","BEST_FPERIOD_OVERRIDE=FY","FILING_STATUS=MR","SCALING_FORMAT=K","FA_ADJUSTED=Adjusted","Sort=A","Dates=H","DateFormat=P","Fill=NA","Direction=H","UseDPDF=Y")</f>
        <v>5.6</v>
      </c>
      <c r="L154" s="380">
        <f>_xll.BDH($C$136,$C$151,"FY"&amp;L$133,"FY"&amp;L$133,"Period=FY","BEST_FPERIOD_OVERRIDE=FY","FILING_STATUS=MR","SCALING_FORMAT=K","FA_ADJUSTED=Adjusted","Sort=A","Dates=H","DateFormat=P","Fill=NA","Direction=H","UseDPDF=Y")</f>
        <v>10.951000000000001</v>
      </c>
      <c r="M154" s="380">
        <f>_xll.BDH($C$136,$C$151,"FY"&amp;M$133,"FY"&amp;M$133,"Period=FY","BEST_FPERIOD_OVERRIDE=FY","FILING_STATUS=MR","SCALING_FORMAT=K","FA_ADJUSTED=Adjusted","Sort=A","Dates=H","DateFormat=P","Fill=NA","Direction=H","UseDPDF=Y")</f>
        <v>0.51</v>
      </c>
      <c r="N154" s="380">
        <f>_xll.BDH($C$136,$C$151,"FY"&amp;N$133,"FY"&amp;N$133,"Period=FY","BEST_FPERIOD_OVERRIDE=FY","FILING_STATUS=MR","SCALING_FORMAT=K","FA_ADJUSTED=Adjusted","Sort=A","Dates=H","DateFormat=P","Fill=NA","Direction=H","UseDPDF=Y")</f>
        <v>0.34799999999999998</v>
      </c>
      <c r="O154" s="380"/>
      <c r="P154" s="380" t="e">
        <f t="shared" si="34"/>
        <v>#VALUE!</v>
      </c>
      <c r="Q154" s="380" t="e">
        <f t="shared" si="34"/>
        <v>#VALUE!</v>
      </c>
      <c r="R154" s="380" t="e">
        <f t="shared" si="34"/>
        <v>#VALUE!</v>
      </c>
      <c r="S154" s="380" t="e">
        <f t="shared" si="34"/>
        <v>#VALUE!</v>
      </c>
      <c r="T154" s="380">
        <f t="shared" si="34"/>
        <v>2.1464080244997143E-5</v>
      </c>
      <c r="U154" s="380">
        <f t="shared" si="34"/>
        <v>3.0247203424941307E-5</v>
      </c>
      <c r="V154" s="380">
        <f t="shared" si="34"/>
        <v>1.0808359312249263E-6</v>
      </c>
      <c r="W154" s="380">
        <f t="shared" si="34"/>
        <v>5.739666538568745E-7</v>
      </c>
    </row>
    <row r="155" spans="2:23" ht="15" customHeight="1">
      <c r="B155" s="380" t="str">
        <f>+_xll.BDP(C155,"SHORT_NAME")</f>
        <v>POST HOLDINGS IN</v>
      </c>
      <c r="C155" s="537" t="str">
        <f>+Inputs!$E$22</f>
        <v>POST US Equity</v>
      </c>
      <c r="D155" s="380"/>
      <c r="E155" s="381"/>
      <c r="F155" s="380"/>
      <c r="G155" s="380" t="str">
        <f>_xll.BDH($C$137,$C$151,"FY"&amp;G$133,"FY"&amp;G$133,"Period=FY","BEST_FPERIOD_OVERRIDE=FY","FILING_STATUS=MR","SCALING_FORMAT=K","FA_ADJUSTED=Adjusted","Sort=A","Dates=H","DateFormat=P","Fill=NA","Direction=H","UseDPDF=Y")</f>
        <v>#N/A</v>
      </c>
      <c r="H155" s="380" t="str">
        <f>_xll.BDH($C$137,$C$151,"FY"&amp;H$133,"FY"&amp;H$133,"Period=FY","BEST_FPERIOD_OVERRIDE=FY","FILING_STATUS=MR","SCALING_FORMAT=K","FA_ADJUSTED=Adjusted","Sort=A","Dates=H","DateFormat=P","Fill=NA","Direction=H","UseDPDF=Y")</f>
        <v>#N/A</v>
      </c>
      <c r="I155" s="380" t="str">
        <f>_xll.BDH($C$137,$C$151,"FY"&amp;I$133,"FY"&amp;I$133,"Period=FY","BEST_FPERIOD_OVERRIDE=FY","FILING_STATUS=MR","SCALING_FORMAT=K","FA_ADJUSTED=Adjusted","Sort=A","Dates=H","DateFormat=P","Fill=NA","Direction=H","UseDPDF=Y")</f>
        <v>#N/A</v>
      </c>
      <c r="J155" s="380" t="str">
        <f>_xll.BDH($C$137,$C$151,"FY"&amp;J$133,"FY"&amp;J$133,"Period=FY","BEST_FPERIOD_OVERRIDE=FY","FILING_STATUS=MR","SCALING_FORMAT=K","FA_ADJUSTED=Adjusted","Sort=A","Dates=H","DateFormat=P","Fill=NA","Direction=H","UseDPDF=Y")</f>
        <v>#N/A</v>
      </c>
      <c r="K155" s="380" t="str">
        <f>_xll.BDH($C$137,$C$151,"FY"&amp;K$133,"FY"&amp;K$133,"Period=FY","BEST_FPERIOD_OVERRIDE=FY","FILING_STATUS=MR","SCALING_FORMAT=K","FA_ADJUSTED=Adjusted","Sort=A","Dates=H","DateFormat=P","Fill=NA","Direction=H","UseDPDF=Y")</f>
        <v>#N/A</v>
      </c>
      <c r="L155" s="380" t="str">
        <f>_xll.BDH($C$137,$C$151,"FY"&amp;L$133,"FY"&amp;L$133,"Period=FY","BEST_FPERIOD_OVERRIDE=FY","FILING_STATUS=MR","SCALING_FORMAT=K","FA_ADJUSTED=Adjusted","Sort=A","Dates=H","DateFormat=P","Fill=NA","Direction=H","UseDPDF=Y")</f>
        <v>#N/A</v>
      </c>
      <c r="M155" s="380" t="str">
        <f>_xll.BDH($C$137,$C$151,"FY"&amp;M$133,"FY"&amp;M$133,"Period=FY","BEST_FPERIOD_OVERRIDE=FY","FILING_STATUS=MR","SCALING_FORMAT=K","FA_ADJUSTED=Adjusted","Sort=A","Dates=H","DateFormat=P","Fill=NA","Direction=H","UseDPDF=Y")</f>
        <v>#N/A</v>
      </c>
      <c r="N155" s="380" t="str">
        <f>_xll.BDH($C$137,$C$151,"FY"&amp;N$133,"FY"&amp;N$133,"Period=FY","BEST_FPERIOD_OVERRIDE=FY","FILING_STATUS=MR","SCALING_FORMAT=K","FA_ADJUSTED=Adjusted","Sort=A","Dates=H","DateFormat=P","Fill=NA","Direction=H","UseDPDF=Y")</f>
        <v>#N/A</v>
      </c>
      <c r="O155" s="380"/>
      <c r="P155" s="380" t="e">
        <f t="shared" si="34"/>
        <v>#VALUE!</v>
      </c>
      <c r="Q155" s="380" t="e">
        <f t="shared" si="34"/>
        <v>#VALUE!</v>
      </c>
      <c r="R155" s="380" t="e">
        <f t="shared" si="34"/>
        <v>#VALUE!</v>
      </c>
      <c r="S155" s="380" t="e">
        <f t="shared" si="34"/>
        <v>#VALUE!</v>
      </c>
      <c r="T155" s="380" t="e">
        <f t="shared" si="34"/>
        <v>#VALUE!</v>
      </c>
      <c r="U155" s="380" t="e">
        <f t="shared" si="34"/>
        <v>#VALUE!</v>
      </c>
      <c r="V155" s="380" t="e">
        <f t="shared" si="34"/>
        <v>#VALUE!</v>
      </c>
      <c r="W155" s="380" t="e">
        <f t="shared" si="34"/>
        <v>#VALUE!</v>
      </c>
    </row>
    <row r="156" spans="2:23" ht="15" customHeight="1">
      <c r="B156" s="380" t="str">
        <f>+_xll.BDP(C156,"SHORT_NAME")</f>
        <v>TYSON FOODS-A</v>
      </c>
      <c r="C156" s="537" t="str">
        <f>+Inputs!$E$23</f>
        <v>TSN US Equity</v>
      </c>
      <c r="D156" s="380"/>
      <c r="E156" s="381"/>
      <c r="F156" s="380"/>
      <c r="G156" s="380">
        <f>_xll.BDH($C$138,$C$151,"FY"&amp;G$133,"FY"&amp;G$133,"Period=FY","BEST_FPERIOD_OVERRIDE=FY","FILING_STATUS=MR","SCALING_FORMAT=K","FA_ADJUSTED=Adjusted","Sort=A","Dates=H","DateFormat=P","Fill=NA","Direction=H","UseDPDF=Y")</f>
        <v>3559</v>
      </c>
      <c r="H156" s="380">
        <f>_xll.BDH($C$138,$C$151,"FY"&amp;H$133,"FY"&amp;H$133,"Period=FY","BEST_FPERIOD_OVERRIDE=FY","FILING_STATUS=MR","SCALING_FORMAT=K","FA_ADJUSTED=Adjusted","Sort=A","Dates=H","DateFormat=P","Fill=NA","Direction=H","UseDPDF=Y")</f>
        <v>6410</v>
      </c>
      <c r="I156" s="380">
        <f>_xll.BDH($C$138,$C$151,"FY"&amp;I$133,"FY"&amp;I$133,"Period=FY","BEST_FPERIOD_OVERRIDE=FY","FILING_STATUS=MR","SCALING_FORMAT=K","FA_ADJUSTED=Adjusted","Sort=A","Dates=H","DateFormat=P","Fill=NA","Direction=H","UseDPDF=Y")</f>
        <v>5661</v>
      </c>
      <c r="J156" s="380">
        <f>_xll.BDH($C$138,$C$151,"FY"&amp;J$133,"FY"&amp;J$133,"Period=FY","BEST_FPERIOD_OVERRIDE=FY","FILING_STATUS=MR","SCALING_FORMAT=K","FA_ADJUSTED=Adjusted","Sort=A","Dates=H","DateFormat=P","Fill=NA","Direction=H","UseDPDF=Y")</f>
        <v>10000</v>
      </c>
      <c r="K156" s="380">
        <f>_xll.BDH($C$138,$C$151,"FY"&amp;K$133,"FY"&amp;K$133,"Period=FY","BEST_FPERIOD_OVERRIDE=FY","FILING_STATUS=MR","SCALING_FORMAT=K","FA_ADJUSTED=Adjusted","Sort=A","Dates=H","DateFormat=P","Fill=NA","Direction=H","UseDPDF=Y")</f>
        <v>14568.799800000001</v>
      </c>
      <c r="L156" s="380">
        <f>_xll.BDH($C$138,$C$151,"FY"&amp;L$133,"FY"&amp;L$133,"Period=FY","BEST_FPERIOD_OVERRIDE=FY","FILING_STATUS=MR","SCALING_FORMAT=K","FA_ADJUSTED=Adjusted","Sort=A","Dates=H","DateFormat=P","Fill=NA","Direction=H","UseDPDF=Y")</f>
        <v>121669</v>
      </c>
      <c r="M156" s="380" t="str">
        <f>_xll.BDH($C$138,$C$151,"FY"&amp;M$133,"FY"&amp;M$133,"Period=FY","BEST_FPERIOD_OVERRIDE=FY","FILING_STATUS=MR","SCALING_FORMAT=K","FA_ADJUSTED=Adjusted","Sort=A","Dates=H","DateFormat=P","Fill=NA","Direction=H","UseDPDF=Y")</f>
        <v>#N/A</v>
      </c>
      <c r="N156" s="380" t="str">
        <f>_xll.BDH($C$138,$C$151,"FY"&amp;N$133,"FY"&amp;N$133,"Period=FY","BEST_FPERIOD_OVERRIDE=FY","FILING_STATUS=MR","SCALING_FORMAT=K","FA_ADJUSTED=Adjusted","Sort=A","Dates=H","DateFormat=P","Fill=NA","Direction=H","UseDPDF=Y")</f>
        <v>#N/A</v>
      </c>
      <c r="O156" s="380"/>
      <c r="P156" s="380">
        <f t="shared" si="34"/>
        <v>9.3021432305279671E-5</v>
      </c>
      <c r="Q156" s="380">
        <f t="shared" si="34"/>
        <v>1.6004194547088784E-4</v>
      </c>
      <c r="R156" s="380">
        <f t="shared" si="34"/>
        <v>1.3349840820657942E-4</v>
      </c>
      <c r="S156" s="380">
        <f t="shared" si="34"/>
        <v>2.3156188491374319E-4</v>
      </c>
      <c r="T156" s="380">
        <f t="shared" si="34"/>
        <v>3.0965163552891669E-4</v>
      </c>
      <c r="U156" s="380">
        <f t="shared" si="34"/>
        <v>2.283491610675275E-3</v>
      </c>
      <c r="V156" s="380" t="e">
        <f t="shared" si="34"/>
        <v>#VALUE!</v>
      </c>
      <c r="W156" s="380" t="e">
        <f t="shared" si="34"/>
        <v>#VALUE!</v>
      </c>
    </row>
    <row r="157" spans="2:23" ht="15" customHeight="1">
      <c r="B157" s="380" t="str">
        <f>+_xll.BDP(C157,"SHORT_NAME")</f>
        <v>LAMB WESTON</v>
      </c>
      <c r="C157" s="537" t="str">
        <f>+Inputs!$E$24</f>
        <v>LW US Equity</v>
      </c>
      <c r="D157" s="380"/>
      <c r="E157" s="381"/>
      <c r="F157" s="380"/>
      <c r="G157" s="380" t="str">
        <f>_xll.BDH($C$139,$C$151,"FY"&amp;G$133,"FY"&amp;G$133,"Period=FY","BEST_FPERIOD_OVERRIDE=FY","FILING_STATUS=MR","SCALING_FORMAT=K","FA_ADJUSTED=Adjusted","Sort=A","Dates=H","DateFormat=P","Fill=NA","Direction=H","UseDPDF=Y")</f>
        <v>#N/A</v>
      </c>
      <c r="H157" s="380" t="str">
        <f>_xll.BDH($C$139,$C$151,"FY"&amp;H$133,"FY"&amp;H$133,"Period=FY","BEST_FPERIOD_OVERRIDE=FY","FILING_STATUS=MR","SCALING_FORMAT=K","FA_ADJUSTED=Adjusted","Sort=A","Dates=H","DateFormat=P","Fill=NA","Direction=H","UseDPDF=Y")</f>
        <v>#N/A</v>
      </c>
      <c r="I157" s="380">
        <f>_xll.BDH($C$139,$C$151,"FY"&amp;I$133,"FY"&amp;I$133,"Period=FY","BEST_FPERIOD_OVERRIDE=FY","FILING_STATUS=MR","SCALING_FORMAT=K","FA_ADJUSTED=Adjusted","Sort=A","Dates=H","DateFormat=P","Fill=NA","Direction=H","UseDPDF=Y")</f>
        <v>5131</v>
      </c>
      <c r="J157" s="380">
        <f>_xll.BDH($C$139,$C$151,"FY"&amp;J$133,"FY"&amp;J$133,"Period=FY","BEST_FPERIOD_OVERRIDE=FY","FILING_STATUS=MR","SCALING_FORMAT=K","FA_ADJUSTED=Adjusted","Sort=A","Dates=H","DateFormat=P","Fill=NA","Direction=H","UseDPDF=Y")</f>
        <v>895.11</v>
      </c>
      <c r="K157" s="380">
        <f>_xll.BDH($C$139,$C$151,"FY"&amp;K$133,"FY"&amp;K$133,"Period=FY","BEST_FPERIOD_OVERRIDE=FY","FILING_STATUS=MR","SCALING_FORMAT=K","FA_ADJUSTED=Adjusted","Sort=A","Dates=H","DateFormat=P","Fill=NA","Direction=H","UseDPDF=Y")</f>
        <v>1801</v>
      </c>
      <c r="L157" s="380">
        <f>_xll.BDH($C$139,$C$151,"FY"&amp;L$133,"FY"&amp;L$133,"Period=FY","BEST_FPERIOD_OVERRIDE=FY","FILING_STATUS=MR","SCALING_FORMAT=K","FA_ADJUSTED=Adjusted","Sort=A","Dates=H","DateFormat=P","Fill=NA","Direction=H","UseDPDF=Y")</f>
        <v>2904</v>
      </c>
      <c r="M157" s="380">
        <f>_xll.BDH($C$139,$C$151,"FY"&amp;M$133,"FY"&amp;M$133,"Period=FY","BEST_FPERIOD_OVERRIDE=FY","FILING_STATUS=MR","SCALING_FORMAT=K","FA_ADJUSTED=Adjusted","Sort=A","Dates=H","DateFormat=P","Fill=NA","Direction=H","UseDPDF=Y")</f>
        <v>3936</v>
      </c>
      <c r="N157" s="380">
        <f>_xll.BDH($C$139,$C$151,"FY"&amp;N$133,"FY"&amp;N$133,"Period=FY","BEST_FPERIOD_OVERRIDE=FY","FILING_STATUS=MR","SCALING_FORMAT=K","FA_ADJUSTED=Adjusted","Sort=A","Dates=H","DateFormat=P","Fill=NA","Direction=H","UseDPDF=Y")</f>
        <v>1376</v>
      </c>
      <c r="O157" s="380"/>
      <c r="P157" s="380" t="e">
        <f t="shared" si="34"/>
        <v>#VALUE!</v>
      </c>
      <c r="Q157" s="380" t="e">
        <f t="shared" si="34"/>
        <v>#VALUE!</v>
      </c>
      <c r="R157" s="380">
        <f t="shared" si="34"/>
        <v>1.3658991082124317E-3</v>
      </c>
      <c r="S157" s="380">
        <f t="shared" si="34"/>
        <v>2.360273177934817E-4</v>
      </c>
      <c r="T157" s="380">
        <f t="shared" si="34"/>
        <v>4.9061538042441909E-4</v>
      </c>
      <c r="U157" s="380">
        <f t="shared" si="34"/>
        <v>7.084827636683012E-4</v>
      </c>
      <c r="V157" s="380">
        <f t="shared" si="34"/>
        <v>7.3561843531566552E-4</v>
      </c>
      <c r="W157" s="380">
        <f t="shared" si="34"/>
        <v>2.1275279856515554E-4</v>
      </c>
    </row>
    <row r="158" spans="2:23" ht="15" customHeight="1">
      <c r="B158" s="380" t="str">
        <f>+_xll.BDP(C158,"SHORT_NAME")</f>
        <v>HORMEL FOODS CRP</v>
      </c>
      <c r="C158" s="537" t="str">
        <f>+Inputs!$E$25</f>
        <v>HRL US Equity</v>
      </c>
      <c r="D158" s="380"/>
      <c r="E158" s="381"/>
      <c r="F158" s="380"/>
      <c r="G158" s="380" t="str">
        <f>_xll.BDH($C$140,$C$151,"FY"&amp;G$133,"FY"&amp;G$133,"Period=FY","BEST_FPERIOD_OVERRIDE=FY","FILING_STATUS=MR","SCALING_FORMAT=K","FA_ADJUSTED=Adjusted","Sort=A","Dates=H","DateFormat=P","Fill=NA","Direction=H","UseDPDF=Y")</f>
        <v>#N/A</v>
      </c>
      <c r="H158" s="380" t="str">
        <f>_xll.BDH($C$140,$C$151,"FY"&amp;H$133,"FY"&amp;H$133,"Period=FY","BEST_FPERIOD_OVERRIDE=FY","FILING_STATUS=MR","SCALING_FORMAT=K","FA_ADJUSTED=Adjusted","Sort=A","Dates=H","DateFormat=P","Fill=NA","Direction=H","UseDPDF=Y")</f>
        <v>#N/A</v>
      </c>
      <c r="I158" s="380" t="str">
        <f>_xll.BDH($C$140,$C$151,"FY"&amp;I$133,"FY"&amp;I$133,"Period=FY","BEST_FPERIOD_OVERRIDE=FY","FILING_STATUS=MR","SCALING_FORMAT=K","FA_ADJUSTED=Adjusted","Sort=A","Dates=H","DateFormat=P","Fill=NA","Direction=H","UseDPDF=Y")</f>
        <v>#N/A</v>
      </c>
      <c r="J158" s="380" t="str">
        <f>_xll.BDH($C$140,$C$151,"FY"&amp;J$133,"FY"&amp;J$133,"Period=FY","BEST_FPERIOD_OVERRIDE=FY","FILING_STATUS=MR","SCALING_FORMAT=K","FA_ADJUSTED=Adjusted","Sort=A","Dates=H","DateFormat=P","Fill=NA","Direction=H","UseDPDF=Y")</f>
        <v>#N/A</v>
      </c>
      <c r="K158" s="380" t="str">
        <f>_xll.BDH($C$140,$C$151,"FY"&amp;K$133,"FY"&amp;K$133,"Period=FY","BEST_FPERIOD_OVERRIDE=FY","FILING_STATUS=MR","SCALING_FORMAT=K","FA_ADJUSTED=Adjusted","Sort=A","Dates=H","DateFormat=P","Fill=NA","Direction=H","UseDPDF=Y")</f>
        <v>#N/A</v>
      </c>
      <c r="L158" s="380" t="str">
        <f>_xll.BDH($C$140,$C$151,"FY"&amp;L$133,"FY"&amp;L$133,"Period=FY","BEST_FPERIOD_OVERRIDE=FY","FILING_STATUS=MR","SCALING_FORMAT=K","FA_ADJUSTED=Adjusted","Sort=A","Dates=H","DateFormat=P","Fill=NA","Direction=H","UseDPDF=Y")</f>
        <v>#N/A</v>
      </c>
      <c r="M158" s="380" t="str">
        <f>_xll.BDH($C$140,$C$151,"FY"&amp;M$133,"FY"&amp;M$133,"Period=FY","BEST_FPERIOD_OVERRIDE=FY","FILING_STATUS=MR","SCALING_FORMAT=K","FA_ADJUSTED=Adjusted","Sort=A","Dates=H","DateFormat=P","Fill=NA","Direction=H","UseDPDF=Y")</f>
        <v>#N/A</v>
      </c>
      <c r="N158" s="380" t="str">
        <f>_xll.BDH($C$140,$C$151,"FY"&amp;N$133,"FY"&amp;N$133,"Period=FY","BEST_FPERIOD_OVERRIDE=FY","FILING_STATUS=MR","SCALING_FORMAT=K","FA_ADJUSTED=Adjusted","Sort=A","Dates=H","DateFormat=P","Fill=NA","Direction=H","UseDPDF=Y")</f>
        <v>#N/A</v>
      </c>
      <c r="O158" s="380"/>
      <c r="P158" s="380" t="e">
        <f t="shared" si="34"/>
        <v>#VALUE!</v>
      </c>
      <c r="Q158" s="380" t="e">
        <f t="shared" si="34"/>
        <v>#VALUE!</v>
      </c>
      <c r="R158" s="380" t="e">
        <f t="shared" si="34"/>
        <v>#VALUE!</v>
      </c>
      <c r="S158" s="380" t="e">
        <f t="shared" si="34"/>
        <v>#VALUE!</v>
      </c>
      <c r="T158" s="380" t="e">
        <f t="shared" si="34"/>
        <v>#VALUE!</v>
      </c>
      <c r="U158" s="380" t="e">
        <f t="shared" si="34"/>
        <v>#VALUE!</v>
      </c>
      <c r="V158" s="380" t="e">
        <f t="shared" si="34"/>
        <v>#VALUE!</v>
      </c>
      <c r="W158" s="380" t="e">
        <f t="shared" si="34"/>
        <v>#VALUE!</v>
      </c>
    </row>
    <row r="159" spans="2:23" ht="15" customHeight="1">
      <c r="B159" s="380"/>
      <c r="C159" s="380"/>
      <c r="D159" s="380"/>
      <c r="E159" s="381"/>
      <c r="F159" s="380"/>
      <c r="G159" s="380"/>
      <c r="H159" s="380"/>
      <c r="I159" s="380"/>
      <c r="J159" s="380"/>
      <c r="K159" s="380"/>
      <c r="L159" s="380"/>
      <c r="M159" s="380"/>
      <c r="N159" s="380"/>
      <c r="O159" s="380"/>
      <c r="P159" s="380"/>
      <c r="Q159" s="380"/>
      <c r="R159" s="380"/>
      <c r="S159" s="380"/>
      <c r="T159" s="380"/>
      <c r="U159" s="380"/>
      <c r="V159" s="380"/>
      <c r="W159" s="380"/>
    </row>
    <row r="160" spans="2:23" ht="15" customHeight="1">
      <c r="B160" s="384" t="s">
        <v>707</v>
      </c>
      <c r="C160" s="538" t="s">
        <v>708</v>
      </c>
      <c r="D160" s="385"/>
      <c r="E160" s="32"/>
      <c r="F160" s="388"/>
      <c r="G160" s="388">
        <v>2017</v>
      </c>
      <c r="H160" s="388">
        <f t="shared" ref="H160:N160" si="35">+G160+1</f>
        <v>2018</v>
      </c>
      <c r="I160" s="388">
        <f t="shared" si="35"/>
        <v>2019</v>
      </c>
      <c r="J160" s="388">
        <f t="shared" si="35"/>
        <v>2020</v>
      </c>
      <c r="K160" s="388">
        <f t="shared" si="35"/>
        <v>2021</v>
      </c>
      <c r="L160" s="388">
        <f t="shared" si="35"/>
        <v>2022</v>
      </c>
      <c r="M160" s="388">
        <f t="shared" si="35"/>
        <v>2023</v>
      </c>
      <c r="N160" s="388">
        <f t="shared" si="35"/>
        <v>2024</v>
      </c>
      <c r="O160" s="380"/>
      <c r="P160" s="388">
        <v>2017</v>
      </c>
      <c r="Q160" s="388">
        <f t="shared" ref="Q160:W160" si="36">+P160+1</f>
        <v>2018</v>
      </c>
      <c r="R160" s="388">
        <f t="shared" si="36"/>
        <v>2019</v>
      </c>
      <c r="S160" s="388">
        <f t="shared" si="36"/>
        <v>2020</v>
      </c>
      <c r="T160" s="388">
        <f t="shared" si="36"/>
        <v>2021</v>
      </c>
      <c r="U160" s="388">
        <f t="shared" si="36"/>
        <v>2022</v>
      </c>
      <c r="V160" s="388">
        <f t="shared" si="36"/>
        <v>2023</v>
      </c>
      <c r="W160" s="388">
        <f t="shared" si="36"/>
        <v>2024</v>
      </c>
    </row>
    <row r="161" spans="2:23" ht="3.95" customHeight="1">
      <c r="B161" s="389"/>
      <c r="C161" s="389"/>
      <c r="D161" s="389"/>
      <c r="E161" s="390"/>
      <c r="F161" s="391"/>
      <c r="G161" s="391"/>
      <c r="H161" s="391"/>
      <c r="I161" s="391"/>
      <c r="J161" s="391"/>
      <c r="K161" s="391"/>
      <c r="L161" s="391"/>
      <c r="M161" s="391"/>
      <c r="N161" s="391"/>
      <c r="O161" s="380"/>
      <c r="P161" s="391"/>
      <c r="Q161" s="391"/>
      <c r="R161" s="391"/>
      <c r="S161" s="391"/>
      <c r="T161" s="391"/>
      <c r="U161" s="391"/>
      <c r="V161" s="391"/>
      <c r="W161" s="391"/>
    </row>
    <row r="162" spans="2:23" ht="15" customHeight="1">
      <c r="B162" s="380" t="str">
        <f>+_xll.BDP(C162,"SHORT_NAME")</f>
        <v>CAL-MAINE FOODS</v>
      </c>
      <c r="C162" s="537" t="str">
        <f>Inputs!$D$15</f>
        <v>CALM US Equity</v>
      </c>
      <c r="D162" s="380"/>
      <c r="E162" s="381"/>
      <c r="F162" s="380"/>
      <c r="G162" s="380" t="str">
        <f>_xll.BDH($C$135,$C$160,"FY"&amp;G$133,"FY"&amp;G$133,"Period=FY","BEST_FPERIOD_OVERRIDE=FY","FILING_STATUS=MR","SCALING_FORMAT=K","FA_ADJUSTED=Adjusted","Sort=A","Dates=H","DateFormat=P","Fill=NA","Direction=H","UseDPDF=Y")</f>
        <v>#N/A</v>
      </c>
      <c r="H162" s="380" t="str">
        <f>_xll.BDH($C$135,$C$160,"FY"&amp;H$133,"FY"&amp;H$133,"Period=FY","BEST_FPERIOD_OVERRIDE=FY","FILING_STATUS=MR","SCALING_FORMAT=K","FA_ADJUSTED=Adjusted","Sort=A","Dates=H","DateFormat=P","Fill=NA","Direction=H","UseDPDF=Y")</f>
        <v>#N/A</v>
      </c>
      <c r="I162" s="380" t="str">
        <f>_xll.BDH($C$135,$C$160,"FY"&amp;I$133,"FY"&amp;I$133,"Period=FY","BEST_FPERIOD_OVERRIDE=FY","FILING_STATUS=MR","SCALING_FORMAT=K","FA_ADJUSTED=Adjusted","Sort=A","Dates=H","DateFormat=P","Fill=NA","Direction=H","UseDPDF=Y")</f>
        <v>#N/A</v>
      </c>
      <c r="J162" s="380" t="str">
        <f>_xll.BDH($C$135,$C$160,"FY"&amp;J$133,"FY"&amp;J$133,"Period=FY","BEST_FPERIOD_OVERRIDE=FY","FILING_STATUS=MR","SCALING_FORMAT=K","FA_ADJUSTED=Adjusted","Sort=A","Dates=H","DateFormat=P","Fill=NA","Direction=H","UseDPDF=Y")</f>
        <v>#N/A</v>
      </c>
      <c r="K162" s="380" t="str">
        <f>_xll.BDH($C$135,$C$160,"FY"&amp;K$133,"FY"&amp;K$133,"Period=FY","BEST_FPERIOD_OVERRIDE=FY","FILING_STATUS=MR","SCALING_FORMAT=K","FA_ADJUSTED=Adjusted","Sort=A","Dates=H","DateFormat=P","Fill=NA","Direction=H","UseDPDF=Y")</f>
        <v>#N/A</v>
      </c>
      <c r="L162" s="380">
        <f>_xll.BDH($C$135,$C$160,"FY"&amp;L$133,"FY"&amp;L$133,"Period=FY","BEST_FPERIOD_OVERRIDE=FY","FILING_STATUS=MR","SCALING_FORMAT=K","FA_ADJUSTED=Adjusted","Sort=A","Dates=H","DateFormat=P","Fill=NA","Direction=H","UseDPDF=Y")</f>
        <v>294.21600000000001</v>
      </c>
      <c r="M162" s="380">
        <f>_xll.BDH($C$135,$C$160,"FY"&amp;M$133,"FY"&amp;M$133,"Period=FY","BEST_FPERIOD_OVERRIDE=FY","FILING_STATUS=MR","SCALING_FORMAT=K","FA_ADJUSTED=Adjusted","Sort=A","Dates=H","DateFormat=P","Fill=NA","Direction=H","UseDPDF=Y")</f>
        <v>328.30399999999997</v>
      </c>
      <c r="N162" s="380">
        <f>_xll.BDH($C$135,$C$160,"FY"&amp;N$133,"FY"&amp;N$133,"Period=FY","BEST_FPERIOD_OVERRIDE=FY","FILING_STATUS=MR","SCALING_FORMAT=K","FA_ADJUSTED=Adjusted","Sort=A","Dates=H","DateFormat=P","Fill=NA","Direction=H","UseDPDF=Y")</f>
        <v>370.37299999999999</v>
      </c>
      <c r="O162" s="380"/>
      <c r="P162" s="380" t="e">
        <f t="shared" ref="P162:W167" si="37">+G162/G171</f>
        <v>#VALUE!</v>
      </c>
      <c r="Q162" s="380" t="e">
        <f t="shared" si="37"/>
        <v>#VALUE!</v>
      </c>
      <c r="R162" s="380" t="e">
        <f t="shared" si="37"/>
        <v>#VALUE!</v>
      </c>
      <c r="S162" s="380" t="e">
        <f t="shared" si="37"/>
        <v>#VALUE!</v>
      </c>
      <c r="T162" s="380" t="e">
        <f t="shared" si="37"/>
        <v>#VALUE!</v>
      </c>
      <c r="U162" s="380">
        <f t="shared" si="37"/>
        <v>1.6555412318200005E-4</v>
      </c>
      <c r="V162" s="380">
        <f t="shared" si="37"/>
        <v>1.0434881001532951E-4</v>
      </c>
      <c r="W162" s="380">
        <f t="shared" si="37"/>
        <v>1.5920140747054625E-4</v>
      </c>
    </row>
    <row r="163" spans="2:23" ht="15" customHeight="1">
      <c r="B163" s="380" t="str">
        <f>+_xll.BDP(C163,"SHORT_NAME")</f>
        <v>VITAL FARMS INC</v>
      </c>
      <c r="C163" s="537" t="str">
        <f>+Inputs!$E$21</f>
        <v>VITL US Equity</v>
      </c>
      <c r="D163" s="380"/>
      <c r="E163" s="381"/>
      <c r="F163" s="380"/>
      <c r="G163" s="380" t="str">
        <f>_xll.BDH($C$136,$C$160,"FY"&amp;G$133,"FY"&amp;G$133,"Period=FY","BEST_FPERIOD_OVERRIDE=FY","FILING_STATUS=MR","SCALING_FORMAT=K","FA_ADJUSTED=Adjusted","Sort=A","Dates=H","DateFormat=P","Fill=NA","Direction=H","UseDPDF=Y")</f>
        <v>#N/A</v>
      </c>
      <c r="H163" s="380" t="str">
        <f>_xll.BDH($C$136,$C$160,"FY"&amp;H$133,"FY"&amp;H$133,"Period=FY","BEST_FPERIOD_OVERRIDE=FY","FILING_STATUS=MR","SCALING_FORMAT=K","FA_ADJUSTED=Adjusted","Sort=A","Dates=H","DateFormat=P","Fill=NA","Direction=H","UseDPDF=Y")</f>
        <v>#N/A</v>
      </c>
      <c r="I163" s="380" t="str">
        <f>_xll.BDH($C$136,$C$160,"FY"&amp;I$133,"FY"&amp;I$133,"Period=FY","BEST_FPERIOD_OVERRIDE=FY","FILING_STATUS=MR","SCALING_FORMAT=K","FA_ADJUSTED=Adjusted","Sort=A","Dates=H","DateFormat=P","Fill=NA","Direction=H","UseDPDF=Y")</f>
        <v>#N/A</v>
      </c>
      <c r="J163" s="380" t="str">
        <f>_xll.BDH($C$136,$C$160,"FY"&amp;J$133,"FY"&amp;J$133,"Period=FY","BEST_FPERIOD_OVERRIDE=FY","FILING_STATUS=MR","SCALING_FORMAT=K","FA_ADJUSTED=Adjusted","Sort=A","Dates=H","DateFormat=P","Fill=NA","Direction=H","UseDPDF=Y")</f>
        <v>#N/A</v>
      </c>
      <c r="K163" s="380" t="str">
        <f>_xll.BDH($C$136,$C$160,"FY"&amp;K$133,"FY"&amp;K$133,"Period=FY","BEST_FPERIOD_OVERRIDE=FY","FILING_STATUS=MR","SCALING_FORMAT=K","FA_ADJUSTED=Adjusted","Sort=A","Dates=H","DateFormat=P","Fill=NA","Direction=H","UseDPDF=Y")</f>
        <v>#N/A</v>
      </c>
      <c r="L163" s="380" t="str">
        <f>_xll.BDH($C$136,$C$160,"FY"&amp;L$133,"FY"&amp;L$133,"Period=FY","BEST_FPERIOD_OVERRIDE=FY","FILING_STATUS=MR","SCALING_FORMAT=K","FA_ADJUSTED=Adjusted","Sort=A","Dates=H","DateFormat=P","Fill=NA","Direction=H","UseDPDF=Y")</f>
        <v>#N/A</v>
      </c>
      <c r="M163" s="380" t="str">
        <f>_xll.BDH($C$136,$C$160,"FY"&amp;M$133,"FY"&amp;M$133,"Period=FY","BEST_FPERIOD_OVERRIDE=FY","FILING_STATUS=MR","SCALING_FORMAT=K","FA_ADJUSTED=Adjusted","Sort=A","Dates=H","DateFormat=P","Fill=NA","Direction=H","UseDPDF=Y")</f>
        <v>#N/A</v>
      </c>
      <c r="N163" s="380" t="str">
        <f>_xll.BDH($C$136,$C$160,"FY"&amp;N$133,"FY"&amp;N$133,"Period=FY","BEST_FPERIOD_OVERRIDE=FY","FILING_STATUS=MR","SCALING_FORMAT=K","FA_ADJUSTED=Adjusted","Sort=A","Dates=H","DateFormat=P","Fill=NA","Direction=H","UseDPDF=Y")</f>
        <v>#N/A</v>
      </c>
      <c r="O163" s="380"/>
      <c r="P163" s="380" t="e">
        <f t="shared" si="37"/>
        <v>#VALUE!</v>
      </c>
      <c r="Q163" s="380" t="e">
        <f t="shared" si="37"/>
        <v>#VALUE!</v>
      </c>
      <c r="R163" s="380" t="e">
        <f t="shared" si="37"/>
        <v>#VALUE!</v>
      </c>
      <c r="S163" s="380" t="e">
        <f t="shared" si="37"/>
        <v>#VALUE!</v>
      </c>
      <c r="T163" s="380" t="e">
        <f t="shared" si="37"/>
        <v>#VALUE!</v>
      </c>
      <c r="U163" s="380" t="e">
        <f t="shared" si="37"/>
        <v>#VALUE!</v>
      </c>
      <c r="V163" s="380" t="e">
        <f t="shared" si="37"/>
        <v>#VALUE!</v>
      </c>
      <c r="W163" s="380" t="e">
        <f t="shared" si="37"/>
        <v>#VALUE!</v>
      </c>
    </row>
    <row r="164" spans="2:23" ht="15" customHeight="1">
      <c r="B164" s="380" t="str">
        <f>+_xll.BDP(C164,"SHORT_NAME")</f>
        <v>POST HOLDINGS IN</v>
      </c>
      <c r="C164" s="537" t="str">
        <f>+Inputs!$E$22</f>
        <v>POST US Equity</v>
      </c>
      <c r="D164" s="380"/>
      <c r="E164" s="381"/>
      <c r="F164" s="380"/>
      <c r="G164" s="380" t="str">
        <f>_xll.BDH($C$137,$C$160,"FY"&amp;G$133,"FY"&amp;G$133,"Period=FY","BEST_FPERIOD_OVERRIDE=FY","FILING_STATUS=MR","SCALING_FORMAT=K","FA_ADJUSTED=Adjusted","Sort=A","Dates=H","DateFormat=P","Fill=NA","Direction=H","UseDPDF=Y")</f>
        <v>#N/A</v>
      </c>
      <c r="H164" s="380" t="str">
        <f>_xll.BDH($C$137,$C$160,"FY"&amp;H$133,"FY"&amp;H$133,"Period=FY","BEST_FPERIOD_OVERRIDE=FY","FILING_STATUS=MR","SCALING_FORMAT=K","FA_ADJUSTED=Adjusted","Sort=A","Dates=H","DateFormat=P","Fill=NA","Direction=H","UseDPDF=Y")</f>
        <v>#N/A</v>
      </c>
      <c r="I164" s="380">
        <f>_xll.BDH($C$137,$C$160,"FY"&amp;I$133,"FY"&amp;I$133,"Period=FY","BEST_FPERIOD_OVERRIDE=FY","FILING_STATUS=MR","SCALING_FORMAT=K","FA_ADJUSTED=Adjusted","Sort=A","Dates=H","DateFormat=P","Fill=NA","Direction=H","UseDPDF=Y")</f>
        <v>120</v>
      </c>
      <c r="J164" s="380">
        <f>_xll.BDH($C$137,$C$160,"FY"&amp;J$133,"FY"&amp;J$133,"Period=FY","BEST_FPERIOD_OVERRIDE=FY","FILING_STATUS=MR","SCALING_FORMAT=K","FA_ADJUSTED=Adjusted","Sort=A","Dates=H","DateFormat=P","Fill=NA","Direction=H","UseDPDF=Y")</f>
        <v>449.02499999999998</v>
      </c>
      <c r="K164" s="380">
        <f>_xll.BDH($C$137,$C$160,"FY"&amp;K$133,"FY"&amp;K$133,"Period=FY","BEST_FPERIOD_OVERRIDE=FY","FILING_STATUS=MR","SCALING_FORMAT=K","FA_ADJUSTED=Adjusted","Sort=A","Dates=H","DateFormat=P","Fill=NA","Direction=H","UseDPDF=Y")</f>
        <v>448.34500000000003</v>
      </c>
      <c r="L164" s="380">
        <f>_xll.BDH($C$137,$C$160,"FY"&amp;L$133,"FY"&amp;L$133,"Period=FY","BEST_FPERIOD_OVERRIDE=FY","FILING_STATUS=MR","SCALING_FORMAT=K","FA_ADJUSTED=Adjusted","Sort=A","Dates=H","DateFormat=P","Fill=NA","Direction=H","UseDPDF=Y")</f>
        <v>393.06099999999998</v>
      </c>
      <c r="M164" s="380" t="str">
        <f>_xll.BDH($C$137,$C$160,"FY"&amp;M$133,"FY"&amp;M$133,"Period=FY","BEST_FPERIOD_OVERRIDE=FY","FILING_STATUS=MR","SCALING_FORMAT=K","FA_ADJUSTED=Adjusted","Sort=A","Dates=H","DateFormat=P","Fill=NA","Direction=H","UseDPDF=Y")</f>
        <v>#N/A</v>
      </c>
      <c r="N164" s="380" t="str">
        <f>_xll.BDH($C$137,$C$160,"FY"&amp;N$133,"FY"&amp;N$133,"Period=FY","BEST_FPERIOD_OVERRIDE=FY","FILING_STATUS=MR","SCALING_FORMAT=K","FA_ADJUSTED=Adjusted","Sort=A","Dates=H","DateFormat=P","Fill=NA","Direction=H","UseDPDF=Y")</f>
        <v>#N/A</v>
      </c>
      <c r="O164" s="380"/>
      <c r="P164" s="380" t="e">
        <f t="shared" si="37"/>
        <v>#VALUE!</v>
      </c>
      <c r="Q164" s="380" t="e">
        <f t="shared" si="37"/>
        <v>#VALUE!</v>
      </c>
      <c r="R164" s="380">
        <f t="shared" si="37"/>
        <v>2.1122669905476051E-5</v>
      </c>
      <c r="S164" s="380">
        <f t="shared" si="37"/>
        <v>7.8794286416200183E-5</v>
      </c>
      <c r="T164" s="380">
        <f t="shared" si="37"/>
        <v>9.0016463549300304E-5</v>
      </c>
      <c r="U164" s="380">
        <f t="shared" si="37"/>
        <v>6.7176134809953506E-5</v>
      </c>
      <c r="V164" s="380" t="e">
        <f t="shared" si="37"/>
        <v>#VALUE!</v>
      </c>
      <c r="W164" s="380" t="e">
        <f t="shared" si="37"/>
        <v>#VALUE!</v>
      </c>
    </row>
    <row r="165" spans="2:23" ht="15" customHeight="1">
      <c r="B165" s="380" t="str">
        <f>+_xll.BDP(C165,"SHORT_NAME")</f>
        <v>TYSON FOODS-A</v>
      </c>
      <c r="C165" s="537" t="str">
        <f>+Inputs!$E$23</f>
        <v>TSN US Equity</v>
      </c>
      <c r="D165" s="380"/>
      <c r="E165" s="381"/>
      <c r="F165" s="380"/>
      <c r="G165" s="380">
        <f>_xll.BDH($C$138,$C$160,"FY"&amp;G$133,"FY"&amp;G$133,"Period=FY","BEST_FPERIOD_OVERRIDE=FY","FILING_STATUS=MR","SCALING_FORMAT=K","FA_ADJUSTED=Adjusted","Sort=A","Dates=H","DateFormat=P","Fill=NA","Direction=H","UseDPDF=Y")</f>
        <v>1351.43</v>
      </c>
      <c r="H165" s="380">
        <f>_xll.BDH($C$138,$C$160,"FY"&amp;H$133,"FY"&amp;H$133,"Period=FY","BEST_FPERIOD_OVERRIDE=FY","FILING_STATUS=MR","SCALING_FORMAT=K","FA_ADJUSTED=Adjusted","Sort=A","Dates=H","DateFormat=P","Fill=NA","Direction=H","UseDPDF=Y")</f>
        <v>1956.92</v>
      </c>
      <c r="I165" s="380">
        <f>_xll.BDH($C$138,$C$160,"FY"&amp;I$133,"FY"&amp;I$133,"Period=FY","BEST_FPERIOD_OVERRIDE=FY","FILING_STATUS=MR","SCALING_FORMAT=K","FA_ADJUSTED=Adjusted","Sort=A","Dates=H","DateFormat=P","Fill=NA","Direction=H","UseDPDF=Y")</f>
        <v>1098.8699999999999</v>
      </c>
      <c r="J165" s="380">
        <f>_xll.BDH($C$138,$C$160,"FY"&amp;J$133,"FY"&amp;J$133,"Period=FY","BEST_FPERIOD_OVERRIDE=FY","FILING_STATUS=MR","SCALING_FORMAT=K","FA_ADJUSTED=Adjusted","Sort=A","Dates=H","DateFormat=P","Fill=NA","Direction=H","UseDPDF=Y")</f>
        <v>2939.68</v>
      </c>
      <c r="K165" s="380">
        <f>_xll.BDH($C$138,$C$160,"FY"&amp;K$133,"FY"&amp;K$133,"Period=FY","BEST_FPERIOD_OVERRIDE=FY","FILING_STATUS=MR","SCALING_FORMAT=K","FA_ADJUSTED=Adjusted","Sort=A","Dates=H","DateFormat=P","Fill=NA","Direction=H","UseDPDF=Y")</f>
        <v>1336.51</v>
      </c>
      <c r="L165" s="380">
        <f>_xll.BDH($C$138,$C$160,"FY"&amp;L$133,"FY"&amp;L$133,"Period=FY","BEST_FPERIOD_OVERRIDE=FY","FILING_STATUS=MR","SCALING_FORMAT=K","FA_ADJUSTED=Adjusted","Sort=A","Dates=H","DateFormat=P","Fill=NA","Direction=H","UseDPDF=Y")</f>
        <v>1360.09</v>
      </c>
      <c r="M165" s="380" t="str">
        <f>_xll.BDH($C$138,$C$160,"FY"&amp;M$133,"FY"&amp;M$133,"Period=FY","BEST_FPERIOD_OVERRIDE=FY","FILING_STATUS=MR","SCALING_FORMAT=K","FA_ADJUSTED=Adjusted","Sort=A","Dates=H","DateFormat=P","Fill=NA","Direction=H","UseDPDF=Y")</f>
        <v>#N/A</v>
      </c>
      <c r="N165" s="380" t="str">
        <f>_xll.BDH($C$138,$C$160,"FY"&amp;N$133,"FY"&amp;N$133,"Period=FY","BEST_FPERIOD_OVERRIDE=FY","FILING_STATUS=MR","SCALING_FORMAT=K","FA_ADJUSTED=Adjusted","Sort=A","Dates=H","DateFormat=P","Fill=NA","Direction=H","UseDPDF=Y")</f>
        <v>#N/A</v>
      </c>
      <c r="O165" s="380"/>
      <c r="P165" s="380">
        <f t="shared" si="37"/>
        <v>3.5322268687924725E-5</v>
      </c>
      <c r="Q165" s="380">
        <f t="shared" si="37"/>
        <v>4.8859482672525721E-5</v>
      </c>
      <c r="R165" s="380">
        <f t="shared" si="37"/>
        <v>2.5913689423417048E-5</v>
      </c>
      <c r="S165" s="380">
        <f t="shared" si="37"/>
        <v>6.807178418432325E-5</v>
      </c>
      <c r="T165" s="380">
        <f t="shared" si="37"/>
        <v>2.84067674126974E-5</v>
      </c>
      <c r="U165" s="380">
        <f t="shared" si="37"/>
        <v>2.5526256521902328E-5</v>
      </c>
      <c r="V165" s="380" t="e">
        <f t="shared" si="37"/>
        <v>#VALUE!</v>
      </c>
      <c r="W165" s="380" t="e">
        <f t="shared" si="37"/>
        <v>#VALUE!</v>
      </c>
    </row>
    <row r="166" spans="2:23" ht="15" customHeight="1">
      <c r="B166" s="380" t="str">
        <f>+_xll.BDP(C166,"SHORT_NAME")</f>
        <v>LAMB WESTON</v>
      </c>
      <c r="C166" s="537" t="str">
        <f>+Inputs!$E$24</f>
        <v>LW US Equity</v>
      </c>
      <c r="D166" s="380"/>
      <c r="E166" s="381"/>
      <c r="F166" s="380"/>
      <c r="G166" s="380" t="str">
        <f>_xll.BDH($C$139,$C$160,"FY"&amp;G$133,"FY"&amp;G$133,"Period=FY","BEST_FPERIOD_OVERRIDE=FY","FILING_STATUS=MR","SCALING_FORMAT=K","FA_ADJUSTED=Adjusted","Sort=A","Dates=H","DateFormat=P","Fill=NA","Direction=H","UseDPDF=Y")</f>
        <v>#N/A</v>
      </c>
      <c r="H166" s="380" t="str">
        <f>_xll.BDH($C$139,$C$160,"FY"&amp;H$133,"FY"&amp;H$133,"Period=FY","BEST_FPERIOD_OVERRIDE=FY","FILING_STATUS=MR","SCALING_FORMAT=K","FA_ADJUSTED=Adjusted","Sort=A","Dates=H","DateFormat=P","Fill=NA","Direction=H","UseDPDF=Y")</f>
        <v>#N/A</v>
      </c>
      <c r="I166" s="380" t="str">
        <f>_xll.BDH($C$139,$C$160,"FY"&amp;I$133,"FY"&amp;I$133,"Period=FY","BEST_FPERIOD_OVERRIDE=FY","FILING_STATUS=MR","SCALING_FORMAT=K","FA_ADJUSTED=Adjusted","Sort=A","Dates=H","DateFormat=P","Fill=NA","Direction=H","UseDPDF=Y")</f>
        <v>#N/A</v>
      </c>
      <c r="J166" s="380">
        <f>_xll.BDH($C$139,$C$160,"FY"&amp;J$133,"FY"&amp;J$133,"Period=FY","BEST_FPERIOD_OVERRIDE=FY","FILING_STATUS=MR","SCALING_FORMAT=K","FA_ADJUSTED=Adjusted","Sort=A","Dates=H","DateFormat=P","Fill=NA","Direction=H","UseDPDF=Y")</f>
        <v>301.47899999999998</v>
      </c>
      <c r="K166" s="380">
        <f>_xll.BDH($C$139,$C$160,"FY"&amp;K$133,"FY"&amp;K$133,"Period=FY","BEST_FPERIOD_OVERRIDE=FY","FILING_STATUS=MR","SCALING_FORMAT=K","FA_ADJUSTED=Adjusted","Sort=A","Dates=H","DateFormat=P","Fill=NA","Direction=H","UseDPDF=Y")</f>
        <v>313.38799999999998</v>
      </c>
      <c r="L166" s="380">
        <f>_xll.BDH($C$139,$C$160,"FY"&amp;L$133,"FY"&amp;L$133,"Period=FY","BEST_FPERIOD_OVERRIDE=FY","FILING_STATUS=MR","SCALING_FORMAT=K","FA_ADJUSTED=Adjusted","Sort=A","Dates=H","DateFormat=P","Fill=NA","Direction=H","UseDPDF=Y")</f>
        <v>306.91699999999997</v>
      </c>
      <c r="M166" s="380">
        <f>_xll.BDH($C$139,$C$160,"FY"&amp;M$133,"FY"&amp;M$133,"Period=FY","BEST_FPERIOD_OVERRIDE=FY","FILING_STATUS=MR","SCALING_FORMAT=K","FA_ADJUSTED=Adjusted","Sort=A","Dates=H","DateFormat=P","Fill=NA","Direction=H","UseDPDF=Y")</f>
        <v>257.57600000000002</v>
      </c>
      <c r="N166" s="380">
        <f>_xll.BDH($C$139,$C$160,"FY"&amp;N$133,"FY"&amp;N$133,"Period=FY","BEST_FPERIOD_OVERRIDE=FY","FILING_STATUS=MR","SCALING_FORMAT=K","FA_ADJUSTED=Adjusted","Sort=A","Dates=H","DateFormat=P","Fill=NA","Direction=H","UseDPDF=Y")</f>
        <v>261.26799999999997</v>
      </c>
      <c r="O166" s="380"/>
      <c r="P166" s="380" t="e">
        <f t="shared" si="37"/>
        <v>#VALUE!</v>
      </c>
      <c r="Q166" s="380" t="e">
        <f t="shared" si="37"/>
        <v>#VALUE!</v>
      </c>
      <c r="R166" s="380" t="e">
        <f t="shared" si="37"/>
        <v>#VALUE!</v>
      </c>
      <c r="S166" s="380">
        <f t="shared" si="37"/>
        <v>7.9495570087543508E-5</v>
      </c>
      <c r="T166" s="380">
        <f t="shared" si="37"/>
        <v>8.5370889972486309E-5</v>
      </c>
      <c r="U166" s="380">
        <f t="shared" si="37"/>
        <v>7.4877894069140495E-5</v>
      </c>
      <c r="V166" s="380">
        <f t="shared" si="37"/>
        <v>4.8139647889956272E-5</v>
      </c>
      <c r="W166" s="380">
        <f t="shared" si="37"/>
        <v>4.0396437627558904E-5</v>
      </c>
    </row>
    <row r="167" spans="2:23" ht="15" customHeight="1">
      <c r="B167" s="380" t="str">
        <f>+_xll.BDP(C167,"SHORT_NAME")</f>
        <v>HORMEL FOODS CRP</v>
      </c>
      <c r="C167" s="537" t="str">
        <f>+Inputs!$E$25</f>
        <v>HRL US Equity</v>
      </c>
      <c r="D167" s="380"/>
      <c r="E167" s="381"/>
      <c r="F167" s="380"/>
      <c r="G167" s="380" t="str">
        <f>_xll.BDH($C$140,$C$160,"FY"&amp;G$133,"FY"&amp;G$133,"Period=FY","BEST_FPERIOD_OVERRIDE=FY","FILING_STATUS=MR","SCALING_FORMAT=K","FA_ADJUSTED=Adjusted","Sort=A","Dates=H","DateFormat=P","Fill=NA","Direction=H","UseDPDF=Y")</f>
        <v>#N/A</v>
      </c>
      <c r="H167" s="380" t="str">
        <f>_xll.BDH($C$140,$C$160,"FY"&amp;H$133,"FY"&amp;H$133,"Period=FY","BEST_FPERIOD_OVERRIDE=FY","FILING_STATUS=MR","SCALING_FORMAT=K","FA_ADJUSTED=Adjusted","Sort=A","Dates=H","DateFormat=P","Fill=NA","Direction=H","UseDPDF=Y")</f>
        <v>#N/A</v>
      </c>
      <c r="I167" s="380" t="str">
        <f>_xll.BDH($C$140,$C$160,"FY"&amp;I$133,"FY"&amp;I$133,"Period=FY","BEST_FPERIOD_OVERRIDE=FY","FILING_STATUS=MR","SCALING_FORMAT=K","FA_ADJUSTED=Adjusted","Sort=A","Dates=H","DateFormat=P","Fill=NA","Direction=H","UseDPDF=Y")</f>
        <v>#N/A</v>
      </c>
      <c r="J167" s="380" t="str">
        <f>_xll.BDH($C$140,$C$160,"FY"&amp;J$133,"FY"&amp;J$133,"Period=FY","BEST_FPERIOD_OVERRIDE=FY","FILING_STATUS=MR","SCALING_FORMAT=K","FA_ADJUSTED=Adjusted","Sort=A","Dates=H","DateFormat=P","Fill=NA","Direction=H","UseDPDF=Y")</f>
        <v>#N/A</v>
      </c>
      <c r="K167" s="380">
        <f>_xll.BDH($C$140,$C$160,"FY"&amp;K$133,"FY"&amp;K$133,"Period=FY","BEST_FPERIOD_OVERRIDE=FY","FILING_STATUS=MR","SCALING_FORMAT=K","FA_ADJUSTED=Adjusted","Sort=A","Dates=H","DateFormat=P","Fill=NA","Direction=H","UseDPDF=Y")</f>
        <v>90.897999999999996</v>
      </c>
      <c r="L167" s="380">
        <f>_xll.BDH($C$140,$C$160,"FY"&amp;L$133,"FY"&amp;L$133,"Period=FY","BEST_FPERIOD_OVERRIDE=FY","FILING_STATUS=MR","SCALING_FORMAT=K","FA_ADJUSTED=Adjusted","Sort=A","Dates=H","DateFormat=P","Fill=NA","Direction=H","UseDPDF=Y")</f>
        <v>83.448999999999998</v>
      </c>
      <c r="M167" s="380">
        <f>_xll.BDH($C$140,$C$160,"FY"&amp;M$133,"FY"&amp;M$133,"Period=FY","BEST_FPERIOD_OVERRIDE=FY","FILING_STATUS=MR","SCALING_FORMAT=K","FA_ADJUSTED=Adjusted","Sort=A","Dates=H","DateFormat=P","Fill=NA","Direction=H","UseDPDF=Y")</f>
        <v>77.281999999999996</v>
      </c>
      <c r="N167" s="380" t="str">
        <f>_xll.BDH($C$140,$C$160,"FY"&amp;N$133,"FY"&amp;N$133,"Period=FY","BEST_FPERIOD_OVERRIDE=FY","FILING_STATUS=MR","SCALING_FORMAT=K","FA_ADJUSTED=Adjusted","Sort=A","Dates=H","DateFormat=P","Fill=NA","Direction=H","UseDPDF=Y")</f>
        <v>#N/A</v>
      </c>
      <c r="O167" s="380"/>
      <c r="P167" s="380" t="e">
        <f t="shared" si="37"/>
        <v>#VALUE!</v>
      </c>
      <c r="Q167" s="380" t="e">
        <f t="shared" si="37"/>
        <v>#VALUE!</v>
      </c>
      <c r="R167" s="380" t="e">
        <f t="shared" si="37"/>
        <v>#VALUE!</v>
      </c>
      <c r="S167" s="380" t="e">
        <f t="shared" si="37"/>
        <v>#VALUE!</v>
      </c>
      <c r="T167" s="380">
        <f t="shared" si="37"/>
        <v>7.9831803248655011E-6</v>
      </c>
      <c r="U167" s="380">
        <f t="shared" si="37"/>
        <v>6.6979933711143747E-6</v>
      </c>
      <c r="V167" s="380">
        <f t="shared" si="37"/>
        <v>6.3816627731934155E-6</v>
      </c>
      <c r="W167" s="380" t="e">
        <f t="shared" si="37"/>
        <v>#VALUE!</v>
      </c>
    </row>
    <row r="168" spans="2:23" ht="15" customHeight="1">
      <c r="B168" s="380"/>
      <c r="C168" s="380"/>
      <c r="D168" s="380"/>
      <c r="E168" s="381"/>
      <c r="F168" s="380"/>
      <c r="G168" s="380"/>
      <c r="H168" s="380"/>
      <c r="I168" s="380"/>
      <c r="J168" s="380"/>
      <c r="K168" s="380"/>
      <c r="L168" s="380"/>
      <c r="M168" s="380"/>
      <c r="N168" s="380"/>
      <c r="O168" s="380"/>
      <c r="P168" s="380"/>
      <c r="Q168" s="380"/>
      <c r="R168" s="380"/>
      <c r="S168" s="380"/>
      <c r="T168" s="380"/>
      <c r="U168" s="380"/>
      <c r="V168" s="380"/>
      <c r="W168" s="380"/>
    </row>
    <row r="169" spans="2:23" ht="15" customHeight="1">
      <c r="B169" s="384" t="s">
        <v>304</v>
      </c>
      <c r="C169" s="538" t="s">
        <v>709</v>
      </c>
      <c r="D169" s="385"/>
      <c r="E169" s="32"/>
      <c r="F169" s="388"/>
      <c r="G169" s="388">
        <v>2017</v>
      </c>
      <c r="H169" s="388">
        <f t="shared" ref="H169:N169" si="38">+G169+1</f>
        <v>2018</v>
      </c>
      <c r="I169" s="388">
        <f t="shared" si="38"/>
        <v>2019</v>
      </c>
      <c r="J169" s="388">
        <f t="shared" si="38"/>
        <v>2020</v>
      </c>
      <c r="K169" s="388">
        <f t="shared" si="38"/>
        <v>2021</v>
      </c>
      <c r="L169" s="388">
        <f t="shared" si="38"/>
        <v>2022</v>
      </c>
      <c r="M169" s="388">
        <f t="shared" si="38"/>
        <v>2023</v>
      </c>
      <c r="N169" s="388">
        <f t="shared" si="38"/>
        <v>2024</v>
      </c>
      <c r="O169" s="380"/>
      <c r="P169" s="380"/>
      <c r="Q169" s="380"/>
      <c r="R169" s="380"/>
      <c r="S169" s="380"/>
      <c r="T169" s="380"/>
      <c r="U169" s="380"/>
      <c r="V169" s="380"/>
      <c r="W169" s="380"/>
    </row>
    <row r="170" spans="2:23" ht="3.95" customHeight="1">
      <c r="B170" s="389"/>
      <c r="C170" s="389"/>
      <c r="D170" s="389"/>
      <c r="E170" s="390"/>
      <c r="F170" s="391"/>
      <c r="G170" s="391"/>
      <c r="H170" s="391"/>
      <c r="I170" s="391"/>
      <c r="J170" s="391"/>
      <c r="K170" s="391"/>
      <c r="L170" s="391"/>
      <c r="M170" s="391"/>
      <c r="N170" s="391"/>
      <c r="O170" s="380"/>
      <c r="P170" s="380"/>
      <c r="Q170" s="380"/>
      <c r="R170" s="380"/>
      <c r="S170" s="380"/>
      <c r="T170" s="380"/>
      <c r="U170" s="380"/>
      <c r="V170" s="380"/>
      <c r="W170" s="380"/>
    </row>
    <row r="171" spans="2:23" ht="15" customHeight="1">
      <c r="B171" s="380" t="str">
        <f>+_xll.BDP(C171,"SHORT_NAME")</f>
        <v>CAL-MAINE FOODS</v>
      </c>
      <c r="C171" s="537" t="str">
        <f>Inputs!$D$15</f>
        <v>CALM US Equity</v>
      </c>
      <c r="D171" s="380"/>
      <c r="E171" s="381"/>
      <c r="F171" s="380"/>
      <c r="G171" s="380">
        <f>_xll.BDH($C$135,$C$169,"FY"&amp;G$133,"FY"&amp;G$133,"Period=FY","CURRENCY= "&amp;Inputs!$D$13,"BEST_FPERIOD_OVERRIDE=FY","FILING_STATUS=MR","SCALING_FORMAT= " &amp;Inputs!$R$18,"FA_ADJUSTED=Adjusted","Sort=A","Dates=H","DateFormat=P","Fill=NA","Direction=H","UseDPDF=Y")</f>
        <v>1074513</v>
      </c>
      <c r="H171" s="380">
        <f>_xll.BDH($C$135,$C$169,"FY"&amp;H$133,"FY"&amp;H$133,"Period=FY","CURRENCY= "&amp;Inputs!$D$13,"BEST_FPERIOD_OVERRIDE=FY","FILING_STATUS=MR","SCALING_FORMAT= " &amp;Inputs!$R$18,"FA_ADJUSTED=Adjusted","Sort=A","Dates=H","DateFormat=P","Fill=NA","Direction=H","UseDPDF=Y")</f>
        <v>1502932</v>
      </c>
      <c r="I171" s="380">
        <f>_xll.BDH($C$135,$C$169,"FY"&amp;I$133,"FY"&amp;I$133,"Period=FY","CURRENCY= "&amp;Inputs!$D$13,"BEST_FPERIOD_OVERRIDE=FY","FILING_STATUS=MR","SCALING_FORMAT= " &amp;Inputs!$R$18,"FA_ADJUSTED=Adjusted","Sort=A","Dates=H","DateFormat=P","Fill=NA","Direction=H","UseDPDF=Y")</f>
        <v>1361188</v>
      </c>
      <c r="J171" s="380">
        <f>_xll.BDH($C$135,$C$169,"FY"&amp;J$133,"FY"&amp;J$133,"Period=FY","CURRENCY= "&amp;Inputs!$D$13,"BEST_FPERIOD_OVERRIDE=FY","FILING_STATUS=MR","SCALING_FORMAT= " &amp;Inputs!$R$18,"FA_ADJUSTED=Adjusted","Sort=A","Dates=H","DateFormat=P","Fill=NA","Direction=H","UseDPDF=Y")</f>
        <v>1351609</v>
      </c>
      <c r="K171" s="380">
        <f>_xll.BDH($C$135,$C$169,"FY"&amp;K$133,"FY"&amp;K$133,"Period=FY","CURRENCY= "&amp;Inputs!$D$13,"BEST_FPERIOD_OVERRIDE=FY","FILING_STATUS=MR","SCALING_FORMAT= " &amp;Inputs!$R$18,"FA_ADJUSTED=Adjusted","Sort=A","Dates=H","DateFormat=P","Fill=NA","Direction=H","UseDPDF=Y")</f>
        <v>1348987</v>
      </c>
      <c r="L171" s="380">
        <f>_xll.BDH($C$135,$C$169,"FY"&amp;L$133,"FY"&amp;L$133,"Period=FY","CURRENCY= "&amp;Inputs!$D$13,"BEST_FPERIOD_OVERRIDE=FY","FILING_STATUS=MR","SCALING_FORMAT= " &amp;Inputs!$R$18,"FA_ADJUSTED=Adjusted","Sort=A","Dates=H","DateFormat=P","Fill=NA","Direction=H","UseDPDF=Y")</f>
        <v>1777159</v>
      </c>
      <c r="M171" s="380">
        <f>_xll.BDH($C$135,$C$169,"FY"&amp;M$133,"FY"&amp;M$133,"Period=FY","CURRENCY= "&amp;Inputs!$D$13,"BEST_FPERIOD_OVERRIDE=FY","FILING_STATUS=MR","SCALING_FORMAT= " &amp;Inputs!$R$18,"FA_ADJUSTED=Adjusted","Sort=A","Dates=H","DateFormat=P","Fill=NA","Direction=H","UseDPDF=Y")</f>
        <v>3146217</v>
      </c>
      <c r="N171" s="380">
        <f>_xll.BDH($C$135,$C$169,"FY"&amp;N$133,"FY"&amp;N$133,"Period=FY","CURRENCY= "&amp;Inputs!$D$13,"BEST_FPERIOD_OVERRIDE=FY","FILING_STATUS=MR","SCALING_FORMAT= " &amp;Inputs!$R$18,"FA_ADJUSTED=Adjusted","Sort=A","Dates=H","DateFormat=P","Fill=NA","Direction=H","UseDPDF=Y")</f>
        <v>2326443</v>
      </c>
      <c r="O171" s="380"/>
      <c r="P171" s="380"/>
      <c r="Q171" s="380"/>
      <c r="R171" s="380"/>
      <c r="S171" s="380"/>
      <c r="T171" s="380"/>
      <c r="U171" s="380"/>
      <c r="V171" s="380"/>
      <c r="W171" s="380"/>
    </row>
    <row r="172" spans="2:23" ht="15" customHeight="1">
      <c r="B172" s="380" t="str">
        <f>+_xll.BDP(C172,"SHORT_NAME")</f>
        <v>VITAL FARMS INC</v>
      </c>
      <c r="C172" s="537" t="str">
        <f>+Inputs!$E$21</f>
        <v>VITL US Equity</v>
      </c>
      <c r="D172" s="380"/>
      <c r="E172" s="381"/>
      <c r="F172" s="380"/>
      <c r="G172" s="380">
        <f>_xll.BDH($C$136,$C$169,"FY"&amp;G$133,"FY"&amp;G$133,"Period=FY","CURRENCY= "&amp;Inputs!$D$13,"BEST_FPERIOD_OVERRIDE=FY","FILING_STATUS=MR","SCALING_FORMAT= " &amp;Inputs!$R$18,"FA_ADJUSTED=Adjusted","Sort=A","Dates=H","DateFormat=P","Fill=NA","Direction=H","UseDPDF=Y")</f>
        <v>74000</v>
      </c>
      <c r="H172" s="380">
        <f>_xll.BDH($C$136,$C$169,"FY"&amp;H$133,"FY"&amp;H$133,"Period=FY","CURRENCY= "&amp;Inputs!$D$13,"BEST_FPERIOD_OVERRIDE=FY","FILING_STATUS=MR","SCALING_FORMAT= " &amp;Inputs!$R$18,"FA_ADJUSTED=Adjusted","Sort=A","Dates=H","DateFormat=P","Fill=NA","Direction=H","UseDPDF=Y")</f>
        <v>106713</v>
      </c>
      <c r="I172" s="380">
        <f>_xll.BDH($C$136,$C$169,"FY"&amp;I$133,"FY"&amp;I$133,"Period=FY","CURRENCY= "&amp;Inputs!$D$13,"BEST_FPERIOD_OVERRIDE=FY","FILING_STATUS=MR","SCALING_FORMAT= " &amp;Inputs!$R$18,"FA_ADJUSTED=Adjusted","Sort=A","Dates=H","DateFormat=P","Fill=NA","Direction=H","UseDPDF=Y")</f>
        <v>140733</v>
      </c>
      <c r="J172" s="380">
        <f>_xll.BDH($C$136,$C$169,"FY"&amp;J$133,"FY"&amp;J$133,"Period=FY","CURRENCY= "&amp;Inputs!$D$13,"BEST_FPERIOD_OVERRIDE=FY","FILING_STATUS=MR","SCALING_FORMAT= " &amp;Inputs!$R$18,"FA_ADJUSTED=Adjusted","Sort=A","Dates=H","DateFormat=P","Fill=NA","Direction=H","UseDPDF=Y")</f>
        <v>214280</v>
      </c>
      <c r="K172" s="380">
        <f>_xll.BDH($C$136,$C$169,"FY"&amp;K$133,"FY"&amp;K$133,"Period=FY","CURRENCY= "&amp;Inputs!$D$13,"BEST_FPERIOD_OVERRIDE=FY","FILING_STATUS=MR","SCALING_FORMAT= " &amp;Inputs!$R$18,"FA_ADJUSTED=Adjusted","Sort=A","Dates=H","DateFormat=P","Fill=NA","Direction=H","UseDPDF=Y")</f>
        <v>260901</v>
      </c>
      <c r="L172" s="380">
        <f>_xll.BDH($C$136,$C$169,"FY"&amp;L$133,"FY"&amp;L$133,"Period=FY","CURRENCY= "&amp;Inputs!$D$13,"BEST_FPERIOD_OVERRIDE=FY","FILING_STATUS=MR","SCALING_FORMAT= " &amp;Inputs!$R$18,"FA_ADJUSTED=Adjusted","Sort=A","Dates=H","DateFormat=P","Fill=NA","Direction=H","UseDPDF=Y")</f>
        <v>362050</v>
      </c>
      <c r="M172" s="380">
        <f>_xll.BDH($C$136,$C$169,"FY"&amp;M$133,"FY"&amp;M$133,"Period=FY","CURRENCY= "&amp;Inputs!$D$13,"BEST_FPERIOD_OVERRIDE=FY","FILING_STATUS=MR","SCALING_FORMAT= " &amp;Inputs!$R$18,"FA_ADJUSTED=Adjusted","Sort=A","Dates=H","DateFormat=P","Fill=NA","Direction=H","UseDPDF=Y")</f>
        <v>471857</v>
      </c>
      <c r="N172" s="380">
        <f>_xll.BDH($C$136,$C$169,"FY"&amp;N$133,"FY"&amp;N$133,"Period=FY","CURRENCY= "&amp;Inputs!$D$13,"BEST_FPERIOD_OVERRIDE=FY","FILING_STATUS=MR","SCALING_FORMAT= " &amp;Inputs!$R$18,"FA_ADJUSTED=Adjusted","Sort=A","Dates=H","DateFormat=P","Fill=NA","Direction=H","UseDPDF=Y")</f>
        <v>606307</v>
      </c>
      <c r="O172" s="380"/>
      <c r="P172" s="380"/>
      <c r="Q172" s="380"/>
      <c r="R172" s="380"/>
      <c r="S172" s="380"/>
      <c r="T172" s="380"/>
      <c r="U172" s="380"/>
      <c r="V172" s="380"/>
      <c r="W172" s="380"/>
    </row>
    <row r="173" spans="2:23" ht="15" customHeight="1">
      <c r="B173" s="380" t="str">
        <f>+_xll.BDP(C173,"SHORT_NAME")</f>
        <v>POST HOLDINGS IN</v>
      </c>
      <c r="C173" s="537" t="str">
        <f>+Inputs!$E$22</f>
        <v>POST US Equity</v>
      </c>
      <c r="D173" s="380"/>
      <c r="E173" s="381"/>
      <c r="F173" s="380"/>
      <c r="G173" s="380">
        <f>_xll.BDH($C$137,$C$169,"FY"&amp;G$133,"FY"&amp;G$133,"Period=FY","CURRENCY= "&amp;Inputs!$D$13,"BEST_FPERIOD_OVERRIDE=FY","FILING_STATUS=MR","SCALING_FORMAT= " &amp;Inputs!$R$18,"FA_ADJUSTED=Adjusted","Sort=A","Dates=H","DateFormat=P","Fill=NA","Direction=H","UseDPDF=Y")</f>
        <v>5225800</v>
      </c>
      <c r="H173" s="380">
        <f>_xll.BDH($C$137,$C$169,"FY"&amp;H$133,"FY"&amp;H$133,"Period=FY","CURRENCY= "&amp;Inputs!$D$13,"BEST_FPERIOD_OVERRIDE=FY","FILING_STATUS=MR","SCALING_FORMAT= " &amp;Inputs!$R$18,"FA_ADJUSTED=Adjusted","Sort=A","Dates=H","DateFormat=P","Fill=NA","Direction=H","UseDPDF=Y")</f>
        <v>6257200</v>
      </c>
      <c r="I173" s="380">
        <f>_xll.BDH($C$137,$C$169,"FY"&amp;I$133,"FY"&amp;I$133,"Period=FY","CURRENCY= "&amp;Inputs!$D$13,"BEST_FPERIOD_OVERRIDE=FY","FILING_STATUS=MR","SCALING_FORMAT= " &amp;Inputs!$R$18,"FA_ADJUSTED=Adjusted","Sort=A","Dates=H","DateFormat=P","Fill=NA","Direction=H","UseDPDF=Y")</f>
        <v>5681100</v>
      </c>
      <c r="J173" s="380">
        <f>_xll.BDH($C$137,$C$169,"FY"&amp;J$133,"FY"&amp;J$133,"Period=FY","CURRENCY= "&amp;Inputs!$D$13,"BEST_FPERIOD_OVERRIDE=FY","FILING_STATUS=MR","SCALING_FORMAT= " &amp;Inputs!$R$18,"FA_ADJUSTED=Adjusted","Sort=A","Dates=H","DateFormat=P","Fill=NA","Direction=H","UseDPDF=Y")</f>
        <v>5698700</v>
      </c>
      <c r="K173" s="380">
        <f>_xll.BDH($C$137,$C$169,"FY"&amp;K$133,"FY"&amp;K$133,"Period=FY","CURRENCY= "&amp;Inputs!$D$13,"BEST_FPERIOD_OVERRIDE=FY","FILING_STATUS=MR","SCALING_FORMAT= " &amp;Inputs!$R$18,"FA_ADJUSTED=Adjusted","Sort=A","Dates=H","DateFormat=P","Fill=NA","Direction=H","UseDPDF=Y")</f>
        <v>4980700</v>
      </c>
      <c r="L173" s="380">
        <f>_xll.BDH($C$137,$C$169,"FY"&amp;L$133,"FY"&amp;L$133,"Period=FY","CURRENCY= "&amp;Inputs!$D$13,"BEST_FPERIOD_OVERRIDE=FY","FILING_STATUS=MR","SCALING_FORMAT= " &amp;Inputs!$R$18,"FA_ADJUSTED=Adjusted","Sort=A","Dates=H","DateFormat=P","Fill=NA","Direction=H","UseDPDF=Y")</f>
        <v>5851200</v>
      </c>
      <c r="M173" s="380">
        <f>_xll.BDH($C$137,$C$169,"FY"&amp;M$133,"FY"&amp;M$133,"Period=FY","CURRENCY= "&amp;Inputs!$D$13,"BEST_FPERIOD_OVERRIDE=FY","FILING_STATUS=MR","SCALING_FORMAT= " &amp;Inputs!$R$18,"FA_ADJUSTED=Adjusted","Sort=A","Dates=H","DateFormat=P","Fill=NA","Direction=H","UseDPDF=Y")</f>
        <v>6991000</v>
      </c>
      <c r="N173" s="380">
        <f>_xll.BDH($C$137,$C$169,"FY"&amp;N$133,"FY"&amp;N$133,"Period=FY","CURRENCY= "&amp;Inputs!$D$13,"BEST_FPERIOD_OVERRIDE=FY","FILING_STATUS=MR","SCALING_FORMAT= " &amp;Inputs!$R$18,"FA_ADJUSTED=Adjusted","Sort=A","Dates=H","DateFormat=P","Fill=NA","Direction=H","UseDPDF=Y")</f>
        <v>7922700</v>
      </c>
      <c r="O173" s="380"/>
      <c r="P173" s="380"/>
      <c r="Q173" s="380"/>
      <c r="R173" s="380"/>
      <c r="S173" s="380"/>
      <c r="T173" s="380"/>
      <c r="U173" s="380"/>
      <c r="V173" s="380"/>
      <c r="W173" s="380"/>
    </row>
    <row r="174" spans="2:23" ht="15" customHeight="1">
      <c r="B174" s="380" t="str">
        <f>+_xll.BDP(C174,"SHORT_NAME")</f>
        <v>TYSON FOODS-A</v>
      </c>
      <c r="C174" s="537" t="str">
        <f>+Inputs!$E$23</f>
        <v>TSN US Equity</v>
      </c>
      <c r="D174" s="380"/>
      <c r="E174" s="381"/>
      <c r="F174" s="380"/>
      <c r="G174" s="380">
        <f>_xll.BDH($C$138,$C$169,"FY"&amp;G$133,"FY"&amp;G$133,"Period=FY","CURRENCY= "&amp;Inputs!$D$13,"BEST_FPERIOD_OVERRIDE=FY","FILING_STATUS=MR","SCALING_FORMAT= " &amp;Inputs!$R$18,"FA_ADJUSTED=Adjusted","Sort=A","Dates=H","DateFormat=P","Fill=NA","Direction=H","UseDPDF=Y")</f>
        <v>38260000</v>
      </c>
      <c r="H174" s="380">
        <f>_xll.BDH($C$138,$C$169,"FY"&amp;H$133,"FY"&amp;H$133,"Period=FY","CURRENCY= "&amp;Inputs!$D$13,"BEST_FPERIOD_OVERRIDE=FY","FILING_STATUS=MR","SCALING_FORMAT= " &amp;Inputs!$R$18,"FA_ADJUSTED=Adjusted","Sort=A","Dates=H","DateFormat=P","Fill=NA","Direction=H","UseDPDF=Y")</f>
        <v>40052000</v>
      </c>
      <c r="I174" s="380">
        <f>_xll.BDH($C$138,$C$169,"FY"&amp;I$133,"FY"&amp;I$133,"Period=FY","CURRENCY= "&amp;Inputs!$D$13,"BEST_FPERIOD_OVERRIDE=FY","FILING_STATUS=MR","SCALING_FORMAT= " &amp;Inputs!$R$18,"FA_ADJUSTED=Adjusted","Sort=A","Dates=H","DateFormat=P","Fill=NA","Direction=H","UseDPDF=Y")</f>
        <v>42405000</v>
      </c>
      <c r="J174" s="380">
        <f>_xll.BDH($C$138,$C$169,"FY"&amp;J$133,"FY"&amp;J$133,"Period=FY","CURRENCY= "&amp;Inputs!$D$13,"BEST_FPERIOD_OVERRIDE=FY","FILING_STATUS=MR","SCALING_FORMAT= " &amp;Inputs!$R$18,"FA_ADJUSTED=Adjusted","Sort=A","Dates=H","DateFormat=P","Fill=NA","Direction=H","UseDPDF=Y")</f>
        <v>43185000</v>
      </c>
      <c r="K174" s="380">
        <f>_xll.BDH($C$138,$C$169,"FY"&amp;K$133,"FY"&amp;K$133,"Period=FY","CURRENCY= "&amp;Inputs!$D$13,"BEST_FPERIOD_OVERRIDE=FY","FILING_STATUS=MR","SCALING_FORMAT= " &amp;Inputs!$R$18,"FA_ADJUSTED=Adjusted","Sort=A","Dates=H","DateFormat=P","Fill=NA","Direction=H","UseDPDF=Y")</f>
        <v>47049000</v>
      </c>
      <c r="L174" s="380">
        <f>_xll.BDH($C$138,$C$169,"FY"&amp;L$133,"FY"&amp;L$133,"Period=FY","CURRENCY= "&amp;Inputs!$D$13,"BEST_FPERIOD_OVERRIDE=FY","FILING_STATUS=MR","SCALING_FORMAT= " &amp;Inputs!$R$18,"FA_ADJUSTED=Adjusted","Sort=A","Dates=H","DateFormat=P","Fill=NA","Direction=H","UseDPDF=Y")</f>
        <v>53282000</v>
      </c>
      <c r="M174" s="380">
        <f>_xll.BDH($C$138,$C$169,"FY"&amp;M$133,"FY"&amp;M$133,"Period=FY","CURRENCY= "&amp;Inputs!$D$13,"BEST_FPERIOD_OVERRIDE=FY","FILING_STATUS=MR","SCALING_FORMAT= " &amp;Inputs!$R$18,"FA_ADJUSTED=Adjusted","Sort=A","Dates=H","DateFormat=P","Fill=NA","Direction=H","UseDPDF=Y")</f>
        <v>52881000</v>
      </c>
      <c r="N174" s="380">
        <f>_xll.BDH($C$138,$C$169,"FY"&amp;N$133,"FY"&amp;N$133,"Period=FY","CURRENCY= "&amp;Inputs!$D$13,"BEST_FPERIOD_OVERRIDE=FY","FILING_STATUS=MR","SCALING_FORMAT= " &amp;Inputs!$R$18,"FA_ADJUSTED=Adjusted","Sort=A","Dates=H","DateFormat=P","Fill=NA","Direction=H","UseDPDF=Y")</f>
        <v>53309000</v>
      </c>
      <c r="O174" s="380"/>
      <c r="P174" s="380"/>
      <c r="Q174" s="380"/>
      <c r="R174" s="380"/>
      <c r="S174" s="380"/>
      <c r="T174" s="380"/>
      <c r="U174" s="380"/>
      <c r="V174" s="380"/>
      <c r="W174" s="380"/>
    </row>
    <row r="175" spans="2:23" ht="15" customHeight="1">
      <c r="B175" s="380" t="str">
        <f>+_xll.BDP(C175,"SHORT_NAME")</f>
        <v>LAMB WESTON</v>
      </c>
      <c r="C175" s="537" t="str">
        <f>+Inputs!$E$24</f>
        <v>LW US Equity</v>
      </c>
      <c r="D175" s="380"/>
      <c r="E175" s="381"/>
      <c r="F175" s="380"/>
      <c r="G175" s="380">
        <f>_xll.BDH($C$139,$C$169,"FY"&amp;G$133,"FY"&amp;G$133,"Period=FY","CURRENCY= "&amp;Inputs!$D$13,"BEST_FPERIOD_OVERRIDE=FY","FILING_STATUS=MR","SCALING_FORMAT= " &amp;Inputs!$R$18,"FA_ADJUSTED=Adjusted","Sort=A","Dates=H","DateFormat=P","Fill=NA","Direction=H","UseDPDF=Y")</f>
        <v>3168000</v>
      </c>
      <c r="H175" s="380">
        <f>_xll.BDH($C$139,$C$169,"FY"&amp;H$133,"FY"&amp;H$133,"Period=FY","CURRENCY= "&amp;Inputs!$D$13,"BEST_FPERIOD_OVERRIDE=FY","FILING_STATUS=MR","SCALING_FORMAT= " &amp;Inputs!$R$18,"FA_ADJUSTED=Adjusted","Sort=A","Dates=H","DateFormat=P","Fill=NA","Direction=H","UseDPDF=Y")</f>
        <v>3423700</v>
      </c>
      <c r="I175" s="380">
        <f>_xll.BDH($C$139,$C$169,"FY"&amp;I$133,"FY"&amp;I$133,"Period=FY","CURRENCY= "&amp;Inputs!$D$13,"BEST_FPERIOD_OVERRIDE=FY","FILING_STATUS=MR","SCALING_FORMAT= " &amp;Inputs!$R$18,"FA_ADJUSTED=Adjusted","Sort=A","Dates=H","DateFormat=P","Fill=NA","Direction=H","UseDPDF=Y")</f>
        <v>3756500</v>
      </c>
      <c r="J175" s="380">
        <f>_xll.BDH($C$139,$C$169,"FY"&amp;J$133,"FY"&amp;J$133,"Period=FY","CURRENCY= "&amp;Inputs!$D$13,"BEST_FPERIOD_OVERRIDE=FY","FILING_STATUS=MR","SCALING_FORMAT= " &amp;Inputs!$R$18,"FA_ADJUSTED=Adjusted","Sort=A","Dates=H","DateFormat=P","Fill=NA","Direction=H","UseDPDF=Y")</f>
        <v>3792400</v>
      </c>
      <c r="K175" s="380">
        <f>_xll.BDH($C$139,$C$169,"FY"&amp;K$133,"FY"&amp;K$133,"Period=FY","CURRENCY= "&amp;Inputs!$D$13,"BEST_FPERIOD_OVERRIDE=FY","FILING_STATUS=MR","SCALING_FORMAT= " &amp;Inputs!$R$18,"FA_ADJUSTED=Adjusted","Sort=A","Dates=H","DateFormat=P","Fill=NA","Direction=H","UseDPDF=Y")</f>
        <v>3670900</v>
      </c>
      <c r="L175" s="380">
        <f>_xll.BDH($C$139,$C$169,"FY"&amp;L$133,"FY"&amp;L$133,"Period=FY","CURRENCY= "&amp;Inputs!$D$13,"BEST_FPERIOD_OVERRIDE=FY","FILING_STATUS=MR","SCALING_FORMAT= " &amp;Inputs!$R$18,"FA_ADJUSTED=Adjusted","Sort=A","Dates=H","DateFormat=P","Fill=NA","Direction=H","UseDPDF=Y")</f>
        <v>4098900</v>
      </c>
      <c r="M175" s="380">
        <f>_xll.BDH($C$139,$C$169,"FY"&amp;M$133,"FY"&amp;M$133,"Period=FY","CURRENCY= "&amp;Inputs!$D$13,"BEST_FPERIOD_OVERRIDE=FY","FILING_STATUS=MR","SCALING_FORMAT= " &amp;Inputs!$R$18,"FA_ADJUSTED=Adjusted","Sort=A","Dates=H","DateFormat=P","Fill=NA","Direction=H","UseDPDF=Y")</f>
        <v>5350600</v>
      </c>
      <c r="N175" s="380">
        <f>_xll.BDH($C$139,$C$169,"FY"&amp;N$133,"FY"&amp;N$133,"Period=FY","CURRENCY= "&amp;Inputs!$D$13,"BEST_FPERIOD_OVERRIDE=FY","FILING_STATUS=MR","SCALING_FORMAT= " &amp;Inputs!$R$18,"FA_ADJUSTED=Adjusted","Sort=A","Dates=H","DateFormat=P","Fill=NA","Direction=H","UseDPDF=Y")</f>
        <v>6467600</v>
      </c>
      <c r="O175" s="380"/>
      <c r="P175" s="380"/>
      <c r="Q175" s="380"/>
      <c r="R175" s="380"/>
      <c r="S175" s="380"/>
      <c r="T175" s="380"/>
      <c r="U175" s="380"/>
      <c r="V175" s="380"/>
      <c r="W175" s="380"/>
    </row>
    <row r="176" spans="2:23" ht="15" customHeight="1">
      <c r="B176" s="380" t="str">
        <f>+_xll.BDP(C176,"SHORT_NAME")</f>
        <v>HORMEL FOODS CRP</v>
      </c>
      <c r="C176" s="537" t="str">
        <f>+Inputs!$E$25</f>
        <v>HRL US Equity</v>
      </c>
      <c r="D176" s="380"/>
      <c r="E176" s="381"/>
      <c r="F176" s="380"/>
      <c r="G176" s="380">
        <f>_xll.BDH($C$140,$C$169,"FY"&amp;G$133,"FY"&amp;G$133,"Period=FY","CURRENCY= "&amp;Inputs!$D$13,"BEST_FPERIOD_OVERRIDE=FY","FILING_STATUS=MR","SCALING_FORMAT= " &amp;Inputs!$R$18,"FA_ADJUSTED=Adjusted","Sort=A","Dates=H","DateFormat=P","Fill=NA","Direction=H","UseDPDF=Y")</f>
        <v>9167519</v>
      </c>
      <c r="H176" s="380">
        <f>_xll.BDH($C$140,$C$169,"FY"&amp;H$133,"FY"&amp;H$133,"Period=FY","CURRENCY= "&amp;Inputs!$D$13,"BEST_FPERIOD_OVERRIDE=FY","FILING_STATUS=MR","SCALING_FORMAT= " &amp;Inputs!$R$18,"FA_ADJUSTED=Adjusted","Sort=A","Dates=H","DateFormat=P","Fill=NA","Direction=H","UseDPDF=Y")</f>
        <v>9545700</v>
      </c>
      <c r="I176" s="380">
        <f>_xll.BDH($C$140,$C$169,"FY"&amp;I$133,"FY"&amp;I$133,"Period=FY","CURRENCY= "&amp;Inputs!$D$13,"BEST_FPERIOD_OVERRIDE=FY","FILING_STATUS=MR","SCALING_FORMAT= " &amp;Inputs!$R$18,"FA_ADJUSTED=Adjusted","Sort=A","Dates=H","DateFormat=P","Fill=NA","Direction=H","UseDPDF=Y")</f>
        <v>9497317</v>
      </c>
      <c r="J176" s="380">
        <f>_xll.BDH($C$140,$C$169,"FY"&amp;J$133,"FY"&amp;J$133,"Period=FY","CURRENCY= "&amp;Inputs!$D$13,"BEST_FPERIOD_OVERRIDE=FY","FILING_STATUS=MR","SCALING_FORMAT= " &amp;Inputs!$R$18,"FA_ADJUSTED=Adjusted","Sort=A","Dates=H","DateFormat=P","Fill=NA","Direction=H","UseDPDF=Y")</f>
        <v>9608462</v>
      </c>
      <c r="K176" s="380">
        <f>_xll.BDH($C$140,$C$169,"FY"&amp;K$133,"FY"&amp;K$133,"Period=FY","CURRENCY= "&amp;Inputs!$D$13,"BEST_FPERIOD_OVERRIDE=FY","FILING_STATUS=MR","SCALING_FORMAT= " &amp;Inputs!$R$18,"FA_ADJUSTED=Adjusted","Sort=A","Dates=H","DateFormat=P","Fill=NA","Direction=H","UseDPDF=Y")</f>
        <v>11386189</v>
      </c>
      <c r="L176" s="380">
        <f>_xll.BDH($C$140,$C$169,"FY"&amp;L$133,"FY"&amp;L$133,"Period=FY","CURRENCY= "&amp;Inputs!$D$13,"BEST_FPERIOD_OVERRIDE=FY","FILING_STATUS=MR","SCALING_FORMAT= " &amp;Inputs!$R$18,"FA_ADJUSTED=Adjusted","Sort=A","Dates=H","DateFormat=P","Fill=NA","Direction=H","UseDPDF=Y")</f>
        <v>12458806</v>
      </c>
      <c r="M176" s="380">
        <f>_xll.BDH($C$140,$C$169,"FY"&amp;M$133,"FY"&amp;M$133,"Period=FY","CURRENCY= "&amp;Inputs!$D$13,"BEST_FPERIOD_OVERRIDE=FY","FILING_STATUS=MR","SCALING_FORMAT= " &amp;Inputs!$R$18,"FA_ADJUSTED=Adjusted","Sort=A","Dates=H","DateFormat=P","Fill=NA","Direction=H","UseDPDF=Y")</f>
        <v>12110010</v>
      </c>
      <c r="N176" s="380">
        <f>_xll.BDH($C$140,$C$169,"FY"&amp;N$133,"FY"&amp;N$133,"Period=FY","CURRENCY= "&amp;Inputs!$D$13,"BEST_FPERIOD_OVERRIDE=FY","FILING_STATUS=MR","SCALING_FORMAT= " &amp;Inputs!$R$18,"FA_ADJUSTED=Adjusted","Sort=A","Dates=H","DateFormat=P","Fill=NA","Direction=H","UseDPDF=Y")</f>
        <v>11920797</v>
      </c>
      <c r="O176" s="380"/>
      <c r="P176" s="380"/>
      <c r="Q176" s="380"/>
      <c r="R176" s="380"/>
      <c r="S176" s="380"/>
      <c r="T176" s="380"/>
      <c r="U176" s="380"/>
      <c r="V176" s="380"/>
      <c r="W176" s="380"/>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topLeftCell="A36" zoomScale="70" zoomScaleNormal="70" workbookViewId="0">
      <selection activeCell="AN4" sqref="AN4"/>
    </sheetView>
  </sheetViews>
  <sheetFormatPr defaultColWidth="9" defaultRowHeight="13.9"/>
  <cols>
    <col min="1" max="1" width="9" style="4"/>
    <col min="2" max="2" width="10.5" style="4" bestFit="1" customWidth="1"/>
    <col min="3" max="8" width="9.125" style="4" bestFit="1" customWidth="1"/>
    <col min="9" max="9" width="10.5" style="4" bestFit="1" customWidth="1"/>
    <col min="10" max="15" width="9.125" style="4" bestFit="1" customWidth="1"/>
    <col min="16" max="16" width="9" style="4"/>
    <col min="17" max="17" width="11.5" style="4" bestFit="1" customWidth="1"/>
    <col min="18" max="23" width="9.125" style="4" bestFit="1" customWidth="1"/>
    <col min="24" max="24" width="9" style="4"/>
    <col min="25" max="30" width="9.125" style="4" bestFit="1" customWidth="1"/>
    <col min="31" max="31" width="9" style="4"/>
    <col min="32" max="37" width="9.125" style="4" bestFit="1" customWidth="1"/>
    <col min="38" max="38" width="9" style="4"/>
    <col min="39" max="39" width="9.125" style="4" bestFit="1" customWidth="1"/>
    <col min="40" max="40" width="11" style="4" bestFit="1" customWidth="1"/>
    <col min="41" max="41" width="12.125" style="4" bestFit="1" customWidth="1"/>
    <col min="42" max="42" width="13.375" style="4" bestFit="1" customWidth="1"/>
    <col min="43" max="43" width="12.625" style="4" bestFit="1" customWidth="1"/>
    <col min="44" max="44" width="9.125" style="4" bestFit="1" customWidth="1"/>
    <col min="45" max="16384" width="9" style="4"/>
  </cols>
  <sheetData>
    <row r="3" spans="2:44">
      <c r="B3" s="561"/>
      <c r="C3" s="745" t="s">
        <v>664</v>
      </c>
      <c r="D3" s="745"/>
      <c r="E3" s="745"/>
      <c r="F3" s="745"/>
      <c r="G3" s="745"/>
      <c r="H3" s="745"/>
      <c r="I3" s="561"/>
      <c r="J3" s="745" t="s">
        <v>669</v>
      </c>
      <c r="K3" s="745"/>
      <c r="L3" s="745"/>
      <c r="M3" s="745"/>
      <c r="N3" s="745"/>
      <c r="O3" s="745"/>
      <c r="P3" s="561"/>
      <c r="R3" s="746" t="s">
        <v>710</v>
      </c>
      <c r="S3" s="746"/>
      <c r="T3" s="746"/>
      <c r="U3" s="746"/>
      <c r="V3" s="746"/>
      <c r="W3" s="746"/>
      <c r="Y3" s="745" t="s">
        <v>711</v>
      </c>
      <c r="Z3" s="745"/>
      <c r="AA3" s="745"/>
      <c r="AB3" s="745"/>
      <c r="AC3" s="745"/>
      <c r="AD3" s="745"/>
      <c r="AF3" s="745" t="s">
        <v>712</v>
      </c>
      <c r="AG3" s="745"/>
      <c r="AH3" s="745"/>
      <c r="AI3" s="745"/>
      <c r="AJ3" s="745"/>
      <c r="AK3" s="745"/>
      <c r="AN3" s="562" t="s">
        <v>301</v>
      </c>
      <c r="AO3" s="562" t="s">
        <v>713</v>
      </c>
      <c r="AP3" s="562" t="s">
        <v>694</v>
      </c>
      <c r="AQ3" s="562" t="s">
        <v>695</v>
      </c>
      <c r="AR3" s="562" t="s">
        <v>696</v>
      </c>
    </row>
    <row r="4" spans="2:44">
      <c r="B4" s="561"/>
      <c r="C4" s="4" t="str">
        <f>+Inputs!B62</f>
        <v>CALM US Equity</v>
      </c>
      <c r="D4" s="4" t="str">
        <f>+Inputs!B73</f>
        <v>VITL US Equity</v>
      </c>
      <c r="E4" s="4" t="str">
        <f>+Inputs!B84</f>
        <v>POST US Equity</v>
      </c>
      <c r="F4" s="4" t="str">
        <f>+Inputs!B95</f>
        <v>TSN US Equity</v>
      </c>
      <c r="G4" s="4" t="str">
        <f>+Inputs!B106</f>
        <v>LW US Equity</v>
      </c>
      <c r="H4" s="4" t="str">
        <f>+Inputs!B117</f>
        <v>HRL US Equity</v>
      </c>
      <c r="I4" s="561"/>
      <c r="J4" s="4" t="str">
        <f t="shared" ref="J4:O4" si="0">+C4</f>
        <v>CALM US Equity</v>
      </c>
      <c r="K4" s="4" t="str">
        <f t="shared" si="0"/>
        <v>VITL US Equity</v>
      </c>
      <c r="L4" s="4" t="str">
        <f t="shared" si="0"/>
        <v>POST US Equity</v>
      </c>
      <c r="M4" s="4" t="str">
        <f t="shared" si="0"/>
        <v>TSN US Equity</v>
      </c>
      <c r="N4" s="4" t="str">
        <f t="shared" si="0"/>
        <v>LW US Equity</v>
      </c>
      <c r="O4" s="4" t="str">
        <f t="shared" si="0"/>
        <v>HRL US Equity</v>
      </c>
      <c r="P4" s="561"/>
      <c r="R4" s="4" t="str">
        <f>+J4</f>
        <v>CALM US Equity</v>
      </c>
      <c r="S4" s="4" t="str">
        <f>+Inputs!R13</f>
        <v>SPX Index</v>
      </c>
      <c r="T4" s="4" t="str">
        <f>+Inputs!R14</f>
        <v>PPIJFFAK Index</v>
      </c>
      <c r="U4" s="4" t="str">
        <f>R4</f>
        <v>CALM US Equity</v>
      </c>
      <c r="V4" s="4" t="str">
        <f>+S4</f>
        <v>SPX Index</v>
      </c>
      <c r="W4" s="4" t="str">
        <f>+T4</f>
        <v>PPIJFFAK Index</v>
      </c>
      <c r="Y4" s="4" t="str">
        <f t="shared" ref="Y4:AD4" si="1">+J4</f>
        <v>CALM US Equity</v>
      </c>
      <c r="Z4" s="4" t="str">
        <f t="shared" si="1"/>
        <v>VITL US Equity</v>
      </c>
      <c r="AA4" s="4" t="str">
        <f t="shared" si="1"/>
        <v>POST US Equity</v>
      </c>
      <c r="AB4" s="4" t="str">
        <f t="shared" si="1"/>
        <v>TSN US Equity</v>
      </c>
      <c r="AC4" s="4" t="str">
        <f t="shared" si="1"/>
        <v>LW US Equity</v>
      </c>
      <c r="AD4" s="4" t="str">
        <f t="shared" si="1"/>
        <v>HRL US Equity</v>
      </c>
      <c r="AF4" s="4" t="str">
        <f t="shared" ref="AF4:AK4" si="2">+Y4</f>
        <v>CALM US Equity</v>
      </c>
      <c r="AG4" s="4" t="str">
        <f t="shared" si="2"/>
        <v>VITL US Equity</v>
      </c>
      <c r="AH4" s="4" t="str">
        <f t="shared" si="2"/>
        <v>POST US Equity</v>
      </c>
      <c r="AI4" s="4" t="str">
        <f t="shared" si="2"/>
        <v>TSN US Equity</v>
      </c>
      <c r="AJ4" s="4" t="str">
        <f t="shared" si="2"/>
        <v>LW US Equity</v>
      </c>
      <c r="AK4" s="4" t="str">
        <f t="shared" si="2"/>
        <v>HRL US Equity</v>
      </c>
      <c r="AM4" s="563">
        <f ca="1">TODAY()</f>
        <v>45940</v>
      </c>
      <c r="AN4" s="564">
        <v>111.54</v>
      </c>
      <c r="AO4" s="564">
        <v>2</v>
      </c>
      <c r="AP4" s="564">
        <v>48497.476999999999</v>
      </c>
      <c r="AQ4" s="564">
        <v>5409408.5845800005</v>
      </c>
      <c r="AR4" s="564">
        <v>1.2750999999999999</v>
      </c>
    </row>
    <row r="5" spans="2:44">
      <c r="B5" s="565">
        <f ca="1">+TODAY()</f>
        <v>45940</v>
      </c>
      <c r="C5" s="561">
        <f ca="1">(IFERROR(IFERROR(VALUE(_xll.BDH(C$4,"CURRENT_EV_TO_T12M_EBITDA",$B5,$B5)),VALUE(_xll.BDH(C$4,"CURRENT_EV_TO_T12M_EBITDA",$B5+1,$B5+1))),C6))</f>
        <v>0</v>
      </c>
      <c r="D5" s="561">
        <f ca="1">(IFERROR(IFERROR(VALUE(_xll.BDH(D$4,"CURRENT_EV_TO_T12M_EBITDA",$B5,$B5)),VALUE(_xll.BDH(D$4,"CURRENT_EV_TO_T12M_EBITDA",$B5+1,$B5+1))),D6))</f>
        <v>0</v>
      </c>
      <c r="E5" s="561">
        <f ca="1">(IFERROR(IFERROR(VALUE(_xll.BDH(E$4,"CURRENT_EV_TO_T12M_EBITDA",$B5,$B5)),VALUE(_xll.BDH(E$4,"CURRENT_EV_TO_T12M_EBITDA",$B5+1,$B5+1))),E6))</f>
        <v>0</v>
      </c>
      <c r="F5" s="561">
        <f ca="1">(IFERROR(IFERROR(VALUE(_xll.BDH(F$4,"CURRENT_EV_TO_T12M_EBITDA",$B5,$B5)),VALUE(_xll.BDH(F$4,"CURRENT_EV_TO_T12M_EBITDA",$B5+1,$B5+1))),F6))</f>
        <v>0</v>
      </c>
      <c r="G5" s="561">
        <f ca="1">(IFERROR(IFERROR(VALUE(_xll.BDH(G$4,"CURRENT_EV_TO_T12M_EBITDA",$B5,$B5)),VALUE(_xll.BDH(G$4,"CURRENT_EV_TO_T12M_EBITDA",$B5+1,$B5+1))),G6))</f>
        <v>0</v>
      </c>
      <c r="H5" s="561">
        <f ca="1">(IFERROR(IFERROR(VALUE(_xll.BDH(H$4,"CURRENT_EV_TO_T12M_EBITDA",$B5,$B5)),VALUE(_xll.BDH(H$4,"CURRENT_EV_TO_T12M_EBITDA",$B5+1,$B5+1))),H6))</f>
        <v>0</v>
      </c>
      <c r="I5" s="565">
        <f t="shared" ref="I5:I36" ca="1" si="3">+B5</f>
        <v>45940</v>
      </c>
      <c r="J5" s="561">
        <f ca="1">(IFERROR(IFERROR(VALUE(_xll.BDH(J$4,"PE_RATIO",$B5,$B5)),VALUE(_xll.BDH(J$4,"PE_RATIO",$B5+1,$B5+1))),J6))</f>
        <v>0</v>
      </c>
      <c r="K5" s="561">
        <f ca="1">(IFERROR(IFERROR(VALUE(_xll.BDH(K$4,"PE_RATIO",$B5,$B5)),VALUE(_xll.BDH(K$4,"PE_RATIO",$B5+1,$B5+1))),K6))</f>
        <v>0</v>
      </c>
      <c r="L5" s="561">
        <f ca="1">(IFERROR(IFERROR(VALUE(_xll.BDH(L$4,"PE_RATIO",$B5,$B5)),VALUE(_xll.BDH(L$4,"PE_RATIO",$B5+1,$B5+1))),L6))</f>
        <v>0</v>
      </c>
      <c r="M5" s="561">
        <f ca="1">(IFERROR(IFERROR(VALUE(_xll.BDH(M$4,"PE_RATIO",$B5,$B5)),VALUE(_xll.BDH(M$4,"PE_RATIO",$B5+1,$B5+1))),M6))</f>
        <v>0</v>
      </c>
      <c r="N5" s="561">
        <f ca="1">(IFERROR(IFERROR(VALUE(_xll.BDH(N$4,"PE_RATIO",$B5,$B5)),VALUE(_xll.BDH(N$4,"PE_RATIO",$B5+1,$B5+1))),N6))</f>
        <v>0</v>
      </c>
      <c r="O5" s="561">
        <f ca="1">(IFERROR(IFERROR(VALUE(_xll.BDH(O$4,"PE_RATIO",$B5,$B5)),VALUE(_xll.BDH(O$4,"PE_RATIO",$B5+1,$B5+1))),O6))</f>
        <v>0</v>
      </c>
      <c r="P5" s="561"/>
      <c r="Q5" s="565">
        <f t="shared" ref="Q5:Q36" ca="1" si="4">+I5</f>
        <v>45940</v>
      </c>
      <c r="R5" s="4">
        <v>116.01</v>
      </c>
      <c r="S5" s="4">
        <v>6415.54</v>
      </c>
      <c r="T5" s="4">
        <v>368.98399999999998</v>
      </c>
      <c r="U5" s="4">
        <v>1.9165702957211301</v>
      </c>
      <c r="V5" s="4">
        <v>1.7589881802653478</v>
      </c>
      <c r="W5" s="4" t="e">
        <v>#DIV/0!</v>
      </c>
      <c r="Y5" s="561">
        <f t="shared" ref="Y5:Y36" si="5">+R5</f>
        <v>116.01</v>
      </c>
      <c r="Z5" s="4">
        <f ca="1">IFERROR(VALUE(_xll.BDH(Z$4,"PX_LAST",$Q5,$Q5)),Z6)</f>
        <v>0</v>
      </c>
      <c r="AA5" s="4">
        <f ca="1">IFERROR(VALUE(_xll.BDH(AA$4,"PX_LAST",$Q5,$Q5)),AA6)</f>
        <v>0</v>
      </c>
      <c r="AB5" s="4">
        <f ca="1">IFERROR(VALUE(_xll.BDH(AB$4,"PX_LAST",$Q5,$Q5)),AB6)</f>
        <v>0</v>
      </c>
      <c r="AC5" s="4">
        <f ca="1">IFERROR(VALUE(_xll.BDH(AC$4,"PX_LAST",$Q5,$Q5)),AC6)</f>
        <v>0</v>
      </c>
      <c r="AD5" s="4">
        <f ca="1">IFERROR(VALUE(_xll.BDH(AD$4,"PX_LAST",$Q5,$Q5)),AD6)</f>
        <v>0</v>
      </c>
      <c r="AF5" s="4">
        <f t="shared" ref="AF5:AF36" si="6">+Y5/Y$159</f>
        <v>1.9165702957211301</v>
      </c>
      <c r="AG5" s="4" t="e">
        <f t="shared" ref="AG5:AG36" ca="1" si="7">+Z5/Z$159</f>
        <v>#DIV/0!</v>
      </c>
      <c r="AH5" s="4" t="e">
        <f t="shared" ref="AH5:AH36" ca="1" si="8">+AA5/AA$159</f>
        <v>#DIV/0!</v>
      </c>
      <c r="AI5" s="4" t="e">
        <f t="shared" ref="AI5:AI36" ca="1" si="9">+AB5/AB$159</f>
        <v>#DIV/0!</v>
      </c>
      <c r="AJ5" s="4" t="e">
        <f t="shared" ref="AJ5:AJ36" ca="1" si="10">+AC5/AC$159</f>
        <v>#DIV/0!</v>
      </c>
      <c r="AK5" s="4" t="e">
        <f t="shared" ref="AK5:AK36" ca="1" si="11">+AD5/AD$159</f>
        <v>#DIV/0!</v>
      </c>
      <c r="AM5" s="563">
        <f t="shared" ref="AM5:AM68" ca="1" si="12">AM4-1</f>
        <v>45939</v>
      </c>
      <c r="AN5" s="564">
        <v>111.54</v>
      </c>
      <c r="AO5" s="564">
        <v>598320</v>
      </c>
      <c r="AP5" s="564">
        <v>48497.476999999999</v>
      </c>
      <c r="AQ5" s="564">
        <v>5409408.5845800005</v>
      </c>
      <c r="AR5" s="564">
        <v>1.2750999999999999</v>
      </c>
    </row>
    <row r="6" spans="2:44">
      <c r="B6" s="565">
        <f t="shared" ref="B6:B37" ca="1" si="13">+B5-7</f>
        <v>45933</v>
      </c>
      <c r="C6" s="561">
        <f ca="1">(IFERROR(IFERROR(VALUE(_xll.BDH(C$4,"CURRENT_EV_TO_T12M_EBITDA",$B6,$B6)),VALUE(_xll.BDH(C$4,"CURRENT_EV_TO_T12M_EBITDA",$B6+1,$B6+1))),C7))</f>
        <v>0</v>
      </c>
      <c r="D6" s="561">
        <f ca="1">(IFERROR(IFERROR(VALUE(_xll.BDH(D$4,"CURRENT_EV_TO_T12M_EBITDA",$B6,$B6)),VALUE(_xll.BDH(D$4,"CURRENT_EV_TO_T12M_EBITDA",$B6+1,$B6+1))),D7))</f>
        <v>0</v>
      </c>
      <c r="E6" s="561">
        <f ca="1">(IFERROR(IFERROR(VALUE(_xll.BDH(E$4,"CURRENT_EV_TO_T12M_EBITDA",$B6,$B6)),VALUE(_xll.BDH(E$4,"CURRENT_EV_TO_T12M_EBITDA",$B6+1,$B6+1))),E7))</f>
        <v>0</v>
      </c>
      <c r="F6" s="561">
        <f ca="1">(IFERROR(IFERROR(VALUE(_xll.BDH(F$4,"CURRENT_EV_TO_T12M_EBITDA",$B6,$B6)),VALUE(_xll.BDH(F$4,"CURRENT_EV_TO_T12M_EBITDA",$B6+1,$B6+1))),F7))</f>
        <v>0</v>
      </c>
      <c r="G6" s="561">
        <f ca="1">(IFERROR(IFERROR(VALUE(_xll.BDH(G$4,"CURRENT_EV_TO_T12M_EBITDA",$B6,$B6)),VALUE(_xll.BDH(G$4,"CURRENT_EV_TO_T12M_EBITDA",$B6+1,$B6+1))),G7))</f>
        <v>0</v>
      </c>
      <c r="H6" s="561">
        <f ca="1">(IFERROR(IFERROR(VALUE(_xll.BDH(H$4,"CURRENT_EV_TO_T12M_EBITDA",$B6,$B6)),VALUE(_xll.BDH(H$4,"CURRENT_EV_TO_T12M_EBITDA",$B6+1,$B6+1))),H7))</f>
        <v>0</v>
      </c>
      <c r="I6" s="565">
        <f t="shared" ca="1" si="3"/>
        <v>45933</v>
      </c>
      <c r="J6" s="561">
        <f ca="1">(IFERROR(IFERROR(VALUE(_xll.BDH(J$4,"PE_RATIO",$B6,$B6)),VALUE(_xll.BDH(J$4,"PE_RATIO",$B6+1,$B6+1))),J7))</f>
        <v>0</v>
      </c>
      <c r="K6" s="561">
        <f ca="1">(IFERROR(IFERROR(VALUE(_xll.BDH(K$4,"PE_RATIO",$B6,$B6)),VALUE(_xll.BDH(K$4,"PE_RATIO",$B6+1,$B6+1))),K7))</f>
        <v>0</v>
      </c>
      <c r="L6" s="561">
        <f ca="1">(IFERROR(IFERROR(VALUE(_xll.BDH(L$4,"PE_RATIO",$B6,$B6)),VALUE(_xll.BDH(L$4,"PE_RATIO",$B6+1,$B6+1))),L7))</f>
        <v>0</v>
      </c>
      <c r="M6" s="561">
        <f ca="1">(IFERROR(IFERROR(VALUE(_xll.BDH(M$4,"PE_RATIO",$B6,$B6)),VALUE(_xll.BDH(M$4,"PE_RATIO",$B6+1,$B6+1))),M7))</f>
        <v>0</v>
      </c>
      <c r="N6" s="561">
        <f ca="1">(IFERROR(IFERROR(VALUE(_xll.BDH(N$4,"PE_RATIO",$B6,$B6)),VALUE(_xll.BDH(N$4,"PE_RATIO",$B6+1,$B6+1))),N7))</f>
        <v>0</v>
      </c>
      <c r="O6" s="561">
        <f ca="1">(IFERROR(IFERROR(VALUE(_xll.BDH(O$4,"PE_RATIO",$B6,$B6)),VALUE(_xll.BDH(O$4,"PE_RATIO",$B6+1,$B6+1))),O7))</f>
        <v>0</v>
      </c>
      <c r="P6" s="561"/>
      <c r="Q6" s="565">
        <f t="shared" ca="1" si="4"/>
        <v>45933</v>
      </c>
      <c r="R6" s="4">
        <v>116.01</v>
      </c>
      <c r="S6" s="4">
        <v>6415.54</v>
      </c>
      <c r="T6" s="4">
        <v>368.98399999999998</v>
      </c>
      <c r="U6" s="4">
        <v>1.9165702957211301</v>
      </c>
      <c r="V6" s="4">
        <v>1.7589881802653478</v>
      </c>
      <c r="W6" s="4" t="e">
        <v>#DIV/0!</v>
      </c>
      <c r="Y6" s="561">
        <f t="shared" si="5"/>
        <v>116.01</v>
      </c>
      <c r="Z6" s="4">
        <f ca="1">IFERROR(VALUE(_xll.BDH(Z$4,"PX_LAST",$Q6,$Q6)),Z7)</f>
        <v>0</v>
      </c>
      <c r="AA6" s="4">
        <f ca="1">IFERROR(VALUE(_xll.BDH(AA$4,"PX_LAST",$Q6,$Q6)),AA7)</f>
        <v>0</v>
      </c>
      <c r="AB6" s="4">
        <f ca="1">IFERROR(VALUE(_xll.BDH(AB$4,"PX_LAST",$Q6,$Q6)),AB7)</f>
        <v>0</v>
      </c>
      <c r="AC6" s="4">
        <f ca="1">IFERROR(VALUE(_xll.BDH(AC$4,"PX_LAST",$Q6,$Q6)),AC7)</f>
        <v>0</v>
      </c>
      <c r="AD6" s="4">
        <f ca="1">IFERROR(VALUE(_xll.BDH(AD$4,"PX_LAST",$Q6,$Q6)),AD7)</f>
        <v>0</v>
      </c>
      <c r="AF6" s="4">
        <f t="shared" si="6"/>
        <v>1.9165702957211301</v>
      </c>
      <c r="AG6" s="4" t="e">
        <f t="shared" ca="1" si="7"/>
        <v>#DIV/0!</v>
      </c>
      <c r="AH6" s="4" t="e">
        <f t="shared" ca="1" si="8"/>
        <v>#DIV/0!</v>
      </c>
      <c r="AI6" s="4" t="e">
        <f t="shared" ca="1" si="9"/>
        <v>#DIV/0!</v>
      </c>
      <c r="AJ6" s="4" t="e">
        <f t="shared" ca="1" si="10"/>
        <v>#DIV/0!</v>
      </c>
      <c r="AK6" s="4" t="e">
        <f t="shared" ca="1" si="11"/>
        <v>#DIV/0!</v>
      </c>
      <c r="AM6" s="563">
        <f t="shared" ca="1" si="12"/>
        <v>45938</v>
      </c>
      <c r="AN6" s="564">
        <v>113.83</v>
      </c>
      <c r="AO6" s="564">
        <v>720534</v>
      </c>
      <c r="AP6" s="564">
        <v>48497.476999999999</v>
      </c>
      <c r="AQ6" s="564">
        <v>5520467.8069099998</v>
      </c>
      <c r="AR6" s="564">
        <v>1.3012999999999999</v>
      </c>
    </row>
    <row r="7" spans="2:44">
      <c r="B7" s="565">
        <f t="shared" ca="1" si="13"/>
        <v>45926</v>
      </c>
      <c r="C7" s="561">
        <f ca="1">(IFERROR(IFERROR(VALUE(_xll.BDH(C$4,"CURRENT_EV_TO_T12M_EBITDA",$B7,$B7)),VALUE(_xll.BDH(C$4,"CURRENT_EV_TO_T12M_EBITDA",$B7+1,$B7+1))),C8))</f>
        <v>0</v>
      </c>
      <c r="D7" s="561">
        <f ca="1">(IFERROR(IFERROR(VALUE(_xll.BDH(D$4,"CURRENT_EV_TO_T12M_EBITDA",$B7,$B7)),VALUE(_xll.BDH(D$4,"CURRENT_EV_TO_T12M_EBITDA",$B7+1,$B7+1))),D8))</f>
        <v>0</v>
      </c>
      <c r="E7" s="561">
        <f ca="1">(IFERROR(IFERROR(VALUE(_xll.BDH(E$4,"CURRENT_EV_TO_T12M_EBITDA",$B7,$B7)),VALUE(_xll.BDH(E$4,"CURRENT_EV_TO_T12M_EBITDA",$B7+1,$B7+1))),E8))</f>
        <v>0</v>
      </c>
      <c r="F7" s="561">
        <f ca="1">(IFERROR(IFERROR(VALUE(_xll.BDH(F$4,"CURRENT_EV_TO_T12M_EBITDA",$B7,$B7)),VALUE(_xll.BDH(F$4,"CURRENT_EV_TO_T12M_EBITDA",$B7+1,$B7+1))),F8))</f>
        <v>0</v>
      </c>
      <c r="G7" s="561">
        <f ca="1">(IFERROR(IFERROR(VALUE(_xll.BDH(G$4,"CURRENT_EV_TO_T12M_EBITDA",$B7,$B7)),VALUE(_xll.BDH(G$4,"CURRENT_EV_TO_T12M_EBITDA",$B7+1,$B7+1))),G8))</f>
        <v>0</v>
      </c>
      <c r="H7" s="561">
        <f ca="1">(IFERROR(IFERROR(VALUE(_xll.BDH(H$4,"CURRENT_EV_TO_T12M_EBITDA",$B7,$B7)),VALUE(_xll.BDH(H$4,"CURRENT_EV_TO_T12M_EBITDA",$B7+1,$B7+1))),H8))</f>
        <v>0</v>
      </c>
      <c r="I7" s="565">
        <f t="shared" ca="1" si="3"/>
        <v>45926</v>
      </c>
      <c r="J7" s="561">
        <f ca="1">(IFERROR(IFERROR(VALUE(_xll.BDH(J$4,"PE_RATIO",$B7,$B7)),VALUE(_xll.BDH(J$4,"PE_RATIO",$B7+1,$B7+1))),J8))</f>
        <v>0</v>
      </c>
      <c r="K7" s="561">
        <f ca="1">(IFERROR(IFERROR(VALUE(_xll.BDH(K$4,"PE_RATIO",$B7,$B7)),VALUE(_xll.BDH(K$4,"PE_RATIO",$B7+1,$B7+1))),K8))</f>
        <v>0</v>
      </c>
      <c r="L7" s="561">
        <f ca="1">(IFERROR(IFERROR(VALUE(_xll.BDH(L$4,"PE_RATIO",$B7,$B7)),VALUE(_xll.BDH(L$4,"PE_RATIO",$B7+1,$B7+1))),L8))</f>
        <v>0</v>
      </c>
      <c r="M7" s="561">
        <f ca="1">(IFERROR(IFERROR(VALUE(_xll.BDH(M$4,"PE_RATIO",$B7,$B7)),VALUE(_xll.BDH(M$4,"PE_RATIO",$B7+1,$B7+1))),M8))</f>
        <v>0</v>
      </c>
      <c r="N7" s="561">
        <f ca="1">(IFERROR(IFERROR(VALUE(_xll.BDH(N$4,"PE_RATIO",$B7,$B7)),VALUE(_xll.BDH(N$4,"PE_RATIO",$B7+1,$B7+1))),N8))</f>
        <v>0</v>
      </c>
      <c r="O7" s="561">
        <f ca="1">(IFERROR(IFERROR(VALUE(_xll.BDH(O$4,"PE_RATIO",$B7,$B7)),VALUE(_xll.BDH(O$4,"PE_RATIO",$B7+1,$B7+1))),O8))</f>
        <v>0</v>
      </c>
      <c r="P7" s="561"/>
      <c r="Q7" s="565">
        <f t="shared" ca="1" si="4"/>
        <v>45926</v>
      </c>
      <c r="R7" s="4">
        <v>114.99</v>
      </c>
      <c r="S7" s="4">
        <v>6465.94</v>
      </c>
      <c r="T7" s="4">
        <v>368.98399999999998</v>
      </c>
      <c r="U7" s="4">
        <v>1.8997191475301503</v>
      </c>
      <c r="V7" s="4">
        <v>1.7728066591907963</v>
      </c>
      <c r="W7" s="4" t="e">
        <v>#DIV/0!</v>
      </c>
      <c r="Y7" s="561">
        <f t="shared" si="5"/>
        <v>114.99</v>
      </c>
      <c r="Z7" s="4">
        <f ca="1">IFERROR(VALUE(_xll.BDH(Z$4,"PX_LAST",$Q7,$Q7)),Z8)</f>
        <v>0</v>
      </c>
      <c r="AA7" s="4">
        <f ca="1">IFERROR(VALUE(_xll.BDH(AA$4,"PX_LAST",$Q7,$Q7)),AA8)</f>
        <v>0</v>
      </c>
      <c r="AB7" s="4">
        <f ca="1">IFERROR(VALUE(_xll.BDH(AB$4,"PX_LAST",$Q7,$Q7)),AB8)</f>
        <v>0</v>
      </c>
      <c r="AC7" s="4">
        <f ca="1">IFERROR(VALUE(_xll.BDH(AC$4,"PX_LAST",$Q7,$Q7)),AC8)</f>
        <v>0</v>
      </c>
      <c r="AD7" s="4">
        <f ca="1">IFERROR(VALUE(_xll.BDH(AD$4,"PX_LAST",$Q7,$Q7)),AD8)</f>
        <v>0</v>
      </c>
      <c r="AF7" s="4">
        <f t="shared" si="6"/>
        <v>1.8997191475301503</v>
      </c>
      <c r="AG7" s="4" t="e">
        <f t="shared" ca="1" si="7"/>
        <v>#DIV/0!</v>
      </c>
      <c r="AH7" s="4" t="e">
        <f t="shared" ca="1" si="8"/>
        <v>#DIV/0!</v>
      </c>
      <c r="AI7" s="4" t="e">
        <f t="shared" ca="1" si="9"/>
        <v>#DIV/0!</v>
      </c>
      <c r="AJ7" s="4" t="e">
        <f t="shared" ca="1" si="10"/>
        <v>#DIV/0!</v>
      </c>
      <c r="AK7" s="4" t="e">
        <f t="shared" ca="1" si="11"/>
        <v>#DIV/0!</v>
      </c>
      <c r="AM7" s="563">
        <f t="shared" ca="1" si="12"/>
        <v>45937</v>
      </c>
      <c r="AN7" s="564">
        <v>113.83</v>
      </c>
      <c r="AO7" s="564">
        <v>720534</v>
      </c>
      <c r="AP7" s="564">
        <v>48497.476999999999</v>
      </c>
      <c r="AQ7" s="564">
        <v>5520467.8069099998</v>
      </c>
      <c r="AR7" s="564">
        <v>1.3012999999999999</v>
      </c>
    </row>
    <row r="8" spans="2:44">
      <c r="B8" s="565">
        <f t="shared" ca="1" si="13"/>
        <v>45919</v>
      </c>
      <c r="C8" s="561">
        <f ca="1">(IFERROR(IFERROR(VALUE(_xll.BDH(C$4,"CURRENT_EV_TO_T12M_EBITDA",$B8,$B8)),VALUE(_xll.BDH(C$4,"CURRENT_EV_TO_T12M_EBITDA",$B8+1,$B8+1))),C9))</f>
        <v>0</v>
      </c>
      <c r="D8" s="561">
        <f ca="1">(IFERROR(IFERROR(VALUE(_xll.BDH(D$4,"CURRENT_EV_TO_T12M_EBITDA",$B8,$B8)),VALUE(_xll.BDH(D$4,"CURRENT_EV_TO_T12M_EBITDA",$B8+1,$B8+1))),D9))</f>
        <v>0</v>
      </c>
      <c r="E8" s="561">
        <f ca="1">(IFERROR(IFERROR(VALUE(_xll.BDH(E$4,"CURRENT_EV_TO_T12M_EBITDA",$B8,$B8)),VALUE(_xll.BDH(E$4,"CURRENT_EV_TO_T12M_EBITDA",$B8+1,$B8+1))),E9))</f>
        <v>0</v>
      </c>
      <c r="F8" s="561">
        <f ca="1">(IFERROR(IFERROR(VALUE(_xll.BDH(F$4,"CURRENT_EV_TO_T12M_EBITDA",$B8,$B8)),VALUE(_xll.BDH(F$4,"CURRENT_EV_TO_T12M_EBITDA",$B8+1,$B8+1))),F9))</f>
        <v>0</v>
      </c>
      <c r="G8" s="561">
        <f ca="1">(IFERROR(IFERROR(VALUE(_xll.BDH(G$4,"CURRENT_EV_TO_T12M_EBITDA",$B8,$B8)),VALUE(_xll.BDH(G$4,"CURRENT_EV_TO_T12M_EBITDA",$B8+1,$B8+1))),G9))</f>
        <v>0</v>
      </c>
      <c r="H8" s="561">
        <f ca="1">(IFERROR(IFERROR(VALUE(_xll.BDH(H$4,"CURRENT_EV_TO_T12M_EBITDA",$B8,$B8)),VALUE(_xll.BDH(H$4,"CURRENT_EV_TO_T12M_EBITDA",$B8+1,$B8+1))),H9))</f>
        <v>0</v>
      </c>
      <c r="I8" s="565">
        <f t="shared" ca="1" si="3"/>
        <v>45919</v>
      </c>
      <c r="J8" s="561">
        <f ca="1">(IFERROR(IFERROR(VALUE(_xll.BDH(J$4,"PE_RATIO",$B8,$B8)),VALUE(_xll.BDH(J$4,"PE_RATIO",$B8+1,$B8+1))),J9))</f>
        <v>0</v>
      </c>
      <c r="K8" s="561">
        <f ca="1">(IFERROR(IFERROR(VALUE(_xll.BDH(K$4,"PE_RATIO",$B8,$B8)),VALUE(_xll.BDH(K$4,"PE_RATIO",$B8+1,$B8+1))),K9))</f>
        <v>0</v>
      </c>
      <c r="L8" s="561">
        <f ca="1">(IFERROR(IFERROR(VALUE(_xll.BDH(L$4,"PE_RATIO",$B8,$B8)),VALUE(_xll.BDH(L$4,"PE_RATIO",$B8+1,$B8+1))),L9))</f>
        <v>0</v>
      </c>
      <c r="M8" s="561">
        <f ca="1">(IFERROR(IFERROR(VALUE(_xll.BDH(M$4,"PE_RATIO",$B8,$B8)),VALUE(_xll.BDH(M$4,"PE_RATIO",$B8+1,$B8+1))),M9))</f>
        <v>0</v>
      </c>
      <c r="N8" s="561">
        <f ca="1">(IFERROR(IFERROR(VALUE(_xll.BDH(N$4,"PE_RATIO",$B8,$B8)),VALUE(_xll.BDH(N$4,"PE_RATIO",$B8+1,$B8+1))),N9))</f>
        <v>0</v>
      </c>
      <c r="O8" s="561">
        <f ca="1">(IFERROR(IFERROR(VALUE(_xll.BDH(O$4,"PE_RATIO",$B8,$B8)),VALUE(_xll.BDH(O$4,"PE_RATIO",$B8+1,$B8+1))),O9))</f>
        <v>0</v>
      </c>
      <c r="P8" s="561"/>
      <c r="Q8" s="565">
        <f t="shared" ca="1" si="4"/>
        <v>45919</v>
      </c>
      <c r="R8" s="4">
        <v>110.06</v>
      </c>
      <c r="S8" s="4">
        <v>6411.37</v>
      </c>
      <c r="T8" s="4">
        <v>368.98399999999998</v>
      </c>
      <c r="U8" s="4">
        <v>1.8182719312737485</v>
      </c>
      <c r="V8" s="4">
        <v>1.7578448656399683</v>
      </c>
      <c r="W8" s="4" t="e">
        <v>#DIV/0!</v>
      </c>
      <c r="Y8" s="561">
        <f t="shared" si="5"/>
        <v>110.06</v>
      </c>
      <c r="Z8" s="4">
        <f ca="1">IFERROR(VALUE(_xll.BDH(Z$4,"PX_LAST",$Q8,$Q8)),Z9)</f>
        <v>0</v>
      </c>
      <c r="AA8" s="4">
        <f ca="1">IFERROR(VALUE(_xll.BDH(AA$4,"PX_LAST",$Q8,$Q8)),AA9)</f>
        <v>0</v>
      </c>
      <c r="AB8" s="4">
        <f ca="1">IFERROR(VALUE(_xll.BDH(AB$4,"PX_LAST",$Q8,$Q8)),AB9)</f>
        <v>0</v>
      </c>
      <c r="AC8" s="4">
        <f ca="1">IFERROR(VALUE(_xll.BDH(AC$4,"PX_LAST",$Q8,$Q8)),AC9)</f>
        <v>0</v>
      </c>
      <c r="AD8" s="4">
        <f ca="1">IFERROR(VALUE(_xll.BDH(AD$4,"PX_LAST",$Q8,$Q8)),AD9)</f>
        <v>0</v>
      </c>
      <c r="AF8" s="4">
        <f t="shared" si="6"/>
        <v>1.8182719312737485</v>
      </c>
      <c r="AG8" s="4" t="e">
        <f t="shared" ca="1" si="7"/>
        <v>#DIV/0!</v>
      </c>
      <c r="AH8" s="4" t="e">
        <f t="shared" ca="1" si="8"/>
        <v>#DIV/0!</v>
      </c>
      <c r="AI8" s="4" t="e">
        <f t="shared" ca="1" si="9"/>
        <v>#DIV/0!</v>
      </c>
      <c r="AJ8" s="4" t="e">
        <f t="shared" ca="1" si="10"/>
        <v>#DIV/0!</v>
      </c>
      <c r="AK8" s="4" t="e">
        <f t="shared" ca="1" si="11"/>
        <v>#DIV/0!</v>
      </c>
      <c r="AM8" s="563">
        <f t="shared" ca="1" si="12"/>
        <v>45936</v>
      </c>
      <c r="AN8" s="564">
        <v>113.83</v>
      </c>
      <c r="AO8" s="564">
        <v>720534</v>
      </c>
      <c r="AP8" s="564">
        <v>48497.476999999999</v>
      </c>
      <c r="AQ8" s="564">
        <v>5520467.8069099998</v>
      </c>
      <c r="AR8" s="564">
        <v>1.3012999999999999</v>
      </c>
    </row>
    <row r="9" spans="2:44">
      <c r="B9" s="565">
        <f t="shared" ca="1" si="13"/>
        <v>45912</v>
      </c>
      <c r="C9" s="561">
        <f ca="1">(IFERROR(IFERROR(VALUE(_xll.BDH(C$4,"CURRENT_EV_TO_T12M_EBITDA",$B9,$B9)),VALUE(_xll.BDH(C$4,"CURRENT_EV_TO_T12M_EBITDA",$B9+1,$B9+1))),C10))</f>
        <v>0</v>
      </c>
      <c r="D9" s="561">
        <f ca="1">(IFERROR(IFERROR(VALUE(_xll.BDH(D$4,"CURRENT_EV_TO_T12M_EBITDA",$B9,$B9)),VALUE(_xll.BDH(D$4,"CURRENT_EV_TO_T12M_EBITDA",$B9+1,$B9+1))),D10))</f>
        <v>0</v>
      </c>
      <c r="E9" s="561">
        <f ca="1">(IFERROR(IFERROR(VALUE(_xll.BDH(E$4,"CURRENT_EV_TO_T12M_EBITDA",$B9,$B9)),VALUE(_xll.BDH(E$4,"CURRENT_EV_TO_T12M_EBITDA",$B9+1,$B9+1))),E10))</f>
        <v>0</v>
      </c>
      <c r="F9" s="561">
        <f ca="1">(IFERROR(IFERROR(VALUE(_xll.BDH(F$4,"CURRENT_EV_TO_T12M_EBITDA",$B9,$B9)),VALUE(_xll.BDH(F$4,"CURRENT_EV_TO_T12M_EBITDA",$B9+1,$B9+1))),F10))</f>
        <v>0</v>
      </c>
      <c r="G9" s="561">
        <f ca="1">(IFERROR(IFERROR(VALUE(_xll.BDH(G$4,"CURRENT_EV_TO_T12M_EBITDA",$B9,$B9)),VALUE(_xll.BDH(G$4,"CURRENT_EV_TO_T12M_EBITDA",$B9+1,$B9+1))),G10))</f>
        <v>0</v>
      </c>
      <c r="H9" s="561">
        <f ca="1">(IFERROR(IFERROR(VALUE(_xll.BDH(H$4,"CURRENT_EV_TO_T12M_EBITDA",$B9,$B9)),VALUE(_xll.BDH(H$4,"CURRENT_EV_TO_T12M_EBITDA",$B9+1,$B9+1))),H10))</f>
        <v>0</v>
      </c>
      <c r="I9" s="565">
        <f t="shared" ca="1" si="3"/>
        <v>45912</v>
      </c>
      <c r="J9" s="561">
        <f ca="1">(IFERROR(IFERROR(VALUE(_xll.BDH(J$4,"PE_RATIO",$B9,$B9)),VALUE(_xll.BDH(J$4,"PE_RATIO",$B9+1,$B9+1))),J10))</f>
        <v>0</v>
      </c>
      <c r="K9" s="561">
        <f ca="1">(IFERROR(IFERROR(VALUE(_xll.BDH(K$4,"PE_RATIO",$B9,$B9)),VALUE(_xll.BDH(K$4,"PE_RATIO",$B9+1,$B9+1))),K10))</f>
        <v>0</v>
      </c>
      <c r="L9" s="561">
        <f ca="1">(IFERROR(IFERROR(VALUE(_xll.BDH(L$4,"PE_RATIO",$B9,$B9)),VALUE(_xll.BDH(L$4,"PE_RATIO",$B9+1,$B9+1))),L10))</f>
        <v>0</v>
      </c>
      <c r="M9" s="561">
        <f ca="1">(IFERROR(IFERROR(VALUE(_xll.BDH(M$4,"PE_RATIO",$B9,$B9)),VALUE(_xll.BDH(M$4,"PE_RATIO",$B9+1,$B9+1))),M10))</f>
        <v>0</v>
      </c>
      <c r="N9" s="561">
        <f ca="1">(IFERROR(IFERROR(VALUE(_xll.BDH(N$4,"PE_RATIO",$B9,$B9)),VALUE(_xll.BDH(N$4,"PE_RATIO",$B9+1,$B9+1))),N10))</f>
        <v>0</v>
      </c>
      <c r="O9" s="561">
        <f ca="1">(IFERROR(IFERROR(VALUE(_xll.BDH(O$4,"PE_RATIO",$B9,$B9)),VALUE(_xll.BDH(O$4,"PE_RATIO",$B9+1,$B9+1))),O10))</f>
        <v>0</v>
      </c>
      <c r="P9" s="561"/>
      <c r="Q9" s="565">
        <f t="shared" ca="1" si="4"/>
        <v>45912</v>
      </c>
      <c r="R9" s="4">
        <v>107.83</v>
      </c>
      <c r="S9" s="4">
        <v>6445.76</v>
      </c>
      <c r="T9" s="4">
        <v>368.98399999999998</v>
      </c>
      <c r="U9" s="4">
        <v>1.7814306955228811</v>
      </c>
      <c r="V9" s="4">
        <v>1.7672737840972339</v>
      </c>
      <c r="W9" s="4" t="e">
        <v>#DIV/0!</v>
      </c>
      <c r="Y9" s="561">
        <f t="shared" si="5"/>
        <v>107.83</v>
      </c>
      <c r="Z9" s="4">
        <f ca="1">IFERROR(VALUE(_xll.BDH(Z$4,"PX_LAST",$Q9,$Q9)),Z10)</f>
        <v>0</v>
      </c>
      <c r="AA9" s="4">
        <f ca="1">IFERROR(VALUE(_xll.BDH(AA$4,"PX_LAST",$Q9,$Q9)),AA10)</f>
        <v>0</v>
      </c>
      <c r="AB9" s="4">
        <f ca="1">IFERROR(VALUE(_xll.BDH(AB$4,"PX_LAST",$Q9,$Q9)),AB10)</f>
        <v>0</v>
      </c>
      <c r="AC9" s="4">
        <f ca="1">IFERROR(VALUE(_xll.BDH(AC$4,"PX_LAST",$Q9,$Q9)),AC10)</f>
        <v>0</v>
      </c>
      <c r="AD9" s="4">
        <f ca="1">IFERROR(VALUE(_xll.BDH(AD$4,"PX_LAST",$Q9,$Q9)),AD10)</f>
        <v>0</v>
      </c>
      <c r="AF9" s="4">
        <f t="shared" si="6"/>
        <v>1.7814306955228811</v>
      </c>
      <c r="AG9" s="4" t="e">
        <f t="shared" ca="1" si="7"/>
        <v>#DIV/0!</v>
      </c>
      <c r="AH9" s="4" t="e">
        <f t="shared" ca="1" si="8"/>
        <v>#DIV/0!</v>
      </c>
      <c r="AI9" s="4" t="e">
        <f t="shared" ca="1" si="9"/>
        <v>#DIV/0!</v>
      </c>
      <c r="AJ9" s="4" t="e">
        <f t="shared" ca="1" si="10"/>
        <v>#DIV/0!</v>
      </c>
      <c r="AK9" s="4" t="e">
        <f t="shared" ca="1" si="11"/>
        <v>#DIV/0!</v>
      </c>
      <c r="AM9" s="563">
        <f t="shared" ca="1" si="12"/>
        <v>45935</v>
      </c>
      <c r="AN9" s="564">
        <v>113.07</v>
      </c>
      <c r="AO9" s="564">
        <v>678303</v>
      </c>
      <c r="AP9" s="564">
        <v>48497.476999999999</v>
      </c>
      <c r="AQ9" s="564">
        <v>5483609.7243899992</v>
      </c>
      <c r="AR9" s="564">
        <v>1.2926</v>
      </c>
    </row>
    <row r="10" spans="2:44">
      <c r="B10" s="565">
        <f t="shared" ca="1" si="13"/>
        <v>45905</v>
      </c>
      <c r="C10" s="561">
        <f ca="1">(IFERROR(IFERROR(VALUE(_xll.BDH(C$4,"CURRENT_EV_TO_T12M_EBITDA",$B10,$B10)),VALUE(_xll.BDH(C$4,"CURRENT_EV_TO_T12M_EBITDA",$B10+1,$B10+1))),C11))</f>
        <v>0</v>
      </c>
      <c r="D10" s="561">
        <f ca="1">(IFERROR(IFERROR(VALUE(_xll.BDH(D$4,"CURRENT_EV_TO_T12M_EBITDA",$B10,$B10)),VALUE(_xll.BDH(D$4,"CURRENT_EV_TO_T12M_EBITDA",$B10+1,$B10+1))),D11))</f>
        <v>0</v>
      </c>
      <c r="E10" s="561">
        <f ca="1">(IFERROR(IFERROR(VALUE(_xll.BDH(E$4,"CURRENT_EV_TO_T12M_EBITDA",$B10,$B10)),VALUE(_xll.BDH(E$4,"CURRENT_EV_TO_T12M_EBITDA",$B10+1,$B10+1))),E11))</f>
        <v>0</v>
      </c>
      <c r="F10" s="561">
        <f ca="1">(IFERROR(IFERROR(VALUE(_xll.BDH(F$4,"CURRENT_EV_TO_T12M_EBITDA",$B10,$B10)),VALUE(_xll.BDH(F$4,"CURRENT_EV_TO_T12M_EBITDA",$B10+1,$B10+1))),F11))</f>
        <v>0</v>
      </c>
      <c r="G10" s="561">
        <f ca="1">(IFERROR(IFERROR(VALUE(_xll.BDH(G$4,"CURRENT_EV_TO_T12M_EBITDA",$B10,$B10)),VALUE(_xll.BDH(G$4,"CURRENT_EV_TO_T12M_EBITDA",$B10+1,$B10+1))),G11))</f>
        <v>0</v>
      </c>
      <c r="H10" s="561">
        <f ca="1">(IFERROR(IFERROR(VALUE(_xll.BDH(H$4,"CURRENT_EV_TO_T12M_EBITDA",$B10,$B10)),VALUE(_xll.BDH(H$4,"CURRENT_EV_TO_T12M_EBITDA",$B10+1,$B10+1))),H11))</f>
        <v>0</v>
      </c>
      <c r="I10" s="565">
        <f t="shared" ca="1" si="3"/>
        <v>45905</v>
      </c>
      <c r="J10" s="561">
        <f ca="1">(IFERROR(IFERROR(VALUE(_xll.BDH(J$4,"PE_RATIO",$B10,$B10)),VALUE(_xll.BDH(J$4,"PE_RATIO",$B10+1,$B10+1))),J11))</f>
        <v>0</v>
      </c>
      <c r="K10" s="561">
        <f ca="1">(IFERROR(IFERROR(VALUE(_xll.BDH(K$4,"PE_RATIO",$B10,$B10)),VALUE(_xll.BDH(K$4,"PE_RATIO",$B10+1,$B10+1))),K11))</f>
        <v>0</v>
      </c>
      <c r="L10" s="561">
        <f ca="1">(IFERROR(IFERROR(VALUE(_xll.BDH(L$4,"PE_RATIO",$B10,$B10)),VALUE(_xll.BDH(L$4,"PE_RATIO",$B10+1,$B10+1))),L11))</f>
        <v>0</v>
      </c>
      <c r="M10" s="561">
        <f ca="1">(IFERROR(IFERROR(VALUE(_xll.BDH(M$4,"PE_RATIO",$B10,$B10)),VALUE(_xll.BDH(M$4,"PE_RATIO",$B10+1,$B10+1))),M11))</f>
        <v>0</v>
      </c>
      <c r="N10" s="561">
        <f ca="1">(IFERROR(IFERROR(VALUE(_xll.BDH(N$4,"PE_RATIO",$B10,$B10)),VALUE(_xll.BDH(N$4,"PE_RATIO",$B10+1,$B10+1))),N11))</f>
        <v>0</v>
      </c>
      <c r="O10" s="561">
        <f ca="1">(IFERROR(IFERROR(VALUE(_xll.BDH(O$4,"PE_RATIO",$B10,$B10)),VALUE(_xll.BDH(O$4,"PE_RATIO",$B10+1,$B10+1))),O11))</f>
        <v>0</v>
      </c>
      <c r="P10" s="561"/>
      <c r="Q10" s="565">
        <f t="shared" ca="1" si="4"/>
        <v>45905</v>
      </c>
      <c r="R10" s="4">
        <v>105.03</v>
      </c>
      <c r="S10" s="4">
        <v>6299.19</v>
      </c>
      <c r="T10" s="4">
        <v>368.98399999999998</v>
      </c>
      <c r="U10" s="4">
        <v>1.7351726416652899</v>
      </c>
      <c r="V10" s="4">
        <v>1.7270877829840785</v>
      </c>
      <c r="W10" s="4" t="e">
        <v>#DIV/0!</v>
      </c>
      <c r="Y10" s="561">
        <f t="shared" si="5"/>
        <v>105.03</v>
      </c>
      <c r="Z10" s="4">
        <f ca="1">IFERROR(VALUE(_xll.BDH(Z$4,"PX_LAST",$Q10,$Q10)),Z11)</f>
        <v>0</v>
      </c>
      <c r="AA10" s="4">
        <f ca="1">IFERROR(VALUE(_xll.BDH(AA$4,"PX_LAST",$Q10,$Q10)),AA11)</f>
        <v>0</v>
      </c>
      <c r="AB10" s="4">
        <f ca="1">IFERROR(VALUE(_xll.BDH(AB$4,"PX_LAST",$Q10,$Q10)),AB11)</f>
        <v>0</v>
      </c>
      <c r="AC10" s="4">
        <f ca="1">IFERROR(VALUE(_xll.BDH(AC$4,"PX_LAST",$Q10,$Q10)),AC11)</f>
        <v>0</v>
      </c>
      <c r="AD10" s="4">
        <f ca="1">IFERROR(VALUE(_xll.BDH(AD$4,"PX_LAST",$Q10,$Q10)),AD11)</f>
        <v>0</v>
      </c>
      <c r="AF10" s="4">
        <f t="shared" si="6"/>
        <v>1.7351726416652899</v>
      </c>
      <c r="AG10" s="4" t="e">
        <f t="shared" ca="1" si="7"/>
        <v>#DIV/0!</v>
      </c>
      <c r="AH10" s="4" t="e">
        <f t="shared" ca="1" si="8"/>
        <v>#DIV/0!</v>
      </c>
      <c r="AI10" s="4" t="e">
        <f t="shared" ca="1" si="9"/>
        <v>#DIV/0!</v>
      </c>
      <c r="AJ10" s="4" t="e">
        <f t="shared" ca="1" si="10"/>
        <v>#DIV/0!</v>
      </c>
      <c r="AK10" s="4" t="e">
        <f t="shared" ca="1" si="11"/>
        <v>#DIV/0!</v>
      </c>
      <c r="AM10" s="563">
        <f t="shared" ca="1" si="12"/>
        <v>45934</v>
      </c>
      <c r="AN10" s="564">
        <v>110.6</v>
      </c>
      <c r="AO10" s="564">
        <v>922523</v>
      </c>
      <c r="AP10" s="564">
        <v>48497.476999999999</v>
      </c>
      <c r="AQ10" s="564">
        <v>5363820.9561999999</v>
      </c>
      <c r="AR10" s="564">
        <v>1.2643</v>
      </c>
    </row>
    <row r="11" spans="2:44">
      <c r="B11" s="565">
        <f t="shared" ca="1" si="13"/>
        <v>45898</v>
      </c>
      <c r="C11" s="561">
        <f ca="1">(IFERROR(IFERROR(VALUE(_xll.BDH(C$4,"CURRENT_EV_TO_T12M_EBITDA",$B11,$B11)),VALUE(_xll.BDH(C$4,"CURRENT_EV_TO_T12M_EBITDA",$B11+1,$B11+1))),C12))</f>
        <v>0</v>
      </c>
      <c r="D11" s="561">
        <f ca="1">(IFERROR(IFERROR(VALUE(_xll.BDH(D$4,"CURRENT_EV_TO_T12M_EBITDA",$B11,$B11)),VALUE(_xll.BDH(D$4,"CURRENT_EV_TO_T12M_EBITDA",$B11+1,$B11+1))),D12))</f>
        <v>0</v>
      </c>
      <c r="E11" s="561">
        <f ca="1">(IFERROR(IFERROR(VALUE(_xll.BDH(E$4,"CURRENT_EV_TO_T12M_EBITDA",$B11,$B11)),VALUE(_xll.BDH(E$4,"CURRENT_EV_TO_T12M_EBITDA",$B11+1,$B11+1))),E12))</f>
        <v>0</v>
      </c>
      <c r="F11" s="561">
        <f ca="1">(IFERROR(IFERROR(VALUE(_xll.BDH(F$4,"CURRENT_EV_TO_T12M_EBITDA",$B11,$B11)),VALUE(_xll.BDH(F$4,"CURRENT_EV_TO_T12M_EBITDA",$B11+1,$B11+1))),F12))</f>
        <v>0</v>
      </c>
      <c r="G11" s="561">
        <f ca="1">(IFERROR(IFERROR(VALUE(_xll.BDH(G$4,"CURRENT_EV_TO_T12M_EBITDA",$B11,$B11)),VALUE(_xll.BDH(G$4,"CURRENT_EV_TO_T12M_EBITDA",$B11+1,$B11+1))),G12))</f>
        <v>0</v>
      </c>
      <c r="H11" s="561">
        <f ca="1">(IFERROR(IFERROR(VALUE(_xll.BDH(H$4,"CURRENT_EV_TO_T12M_EBITDA",$B11,$B11)),VALUE(_xll.BDH(H$4,"CURRENT_EV_TO_T12M_EBITDA",$B11+1,$B11+1))),H12))</f>
        <v>0</v>
      </c>
      <c r="I11" s="565">
        <f t="shared" ca="1" si="3"/>
        <v>45898</v>
      </c>
      <c r="J11" s="561">
        <f ca="1">(IFERROR(IFERROR(VALUE(_xll.BDH(J$4,"PE_RATIO",$B11,$B11)),VALUE(_xll.BDH(J$4,"PE_RATIO",$B11+1,$B11+1))),J12))</f>
        <v>0</v>
      </c>
      <c r="K11" s="561">
        <f ca="1">(IFERROR(IFERROR(VALUE(_xll.BDH(K$4,"PE_RATIO",$B11,$B11)),VALUE(_xll.BDH(K$4,"PE_RATIO",$B11+1,$B11+1))),K12))</f>
        <v>0</v>
      </c>
      <c r="L11" s="561">
        <f ca="1">(IFERROR(IFERROR(VALUE(_xll.BDH(L$4,"PE_RATIO",$B11,$B11)),VALUE(_xll.BDH(L$4,"PE_RATIO",$B11+1,$B11+1))),L12))</f>
        <v>0</v>
      </c>
      <c r="M11" s="561">
        <f ca="1">(IFERROR(IFERROR(VALUE(_xll.BDH(M$4,"PE_RATIO",$B11,$B11)),VALUE(_xll.BDH(M$4,"PE_RATIO",$B11+1,$B11+1))),M12))</f>
        <v>0</v>
      </c>
      <c r="N11" s="561">
        <f ca="1">(IFERROR(IFERROR(VALUE(_xll.BDH(N$4,"PE_RATIO",$B11,$B11)),VALUE(_xll.BDH(N$4,"PE_RATIO",$B11+1,$B11+1))),N12))</f>
        <v>0</v>
      </c>
      <c r="O11" s="561">
        <f ca="1">(IFERROR(IFERROR(VALUE(_xll.BDH(O$4,"PE_RATIO",$B11,$B11)),VALUE(_xll.BDH(O$4,"PE_RATIO",$B11+1,$B11+1))),O12))</f>
        <v>0</v>
      </c>
      <c r="P11" s="561"/>
      <c r="Q11" s="565">
        <f t="shared" ca="1" si="4"/>
        <v>45898</v>
      </c>
      <c r="R11" s="4">
        <v>108.15</v>
      </c>
      <c r="S11" s="4">
        <v>6370.86</v>
      </c>
      <c r="T11" s="4">
        <v>368.98399999999998</v>
      </c>
      <c r="U11" s="4">
        <v>1.7867173302494632</v>
      </c>
      <c r="V11" s="4">
        <v>1.7467379890274697</v>
      </c>
      <c r="W11" s="4" t="e">
        <v>#DIV/0!</v>
      </c>
      <c r="Y11" s="561">
        <f t="shared" si="5"/>
        <v>108.15</v>
      </c>
      <c r="Z11" s="4">
        <f ca="1">IFERROR(VALUE(_xll.BDH(Z$4,"PX_LAST",$Q11,$Q11)),Z12)</f>
        <v>0</v>
      </c>
      <c r="AA11" s="4">
        <f ca="1">IFERROR(VALUE(_xll.BDH(AA$4,"PX_LAST",$Q11,$Q11)),AA12)</f>
        <v>0</v>
      </c>
      <c r="AB11" s="4">
        <f ca="1">IFERROR(VALUE(_xll.BDH(AB$4,"PX_LAST",$Q11,$Q11)),AB12)</f>
        <v>0</v>
      </c>
      <c r="AC11" s="4">
        <f ca="1">IFERROR(VALUE(_xll.BDH(AC$4,"PX_LAST",$Q11,$Q11)),AC12)</f>
        <v>0</v>
      </c>
      <c r="AD11" s="4">
        <f ca="1">IFERROR(VALUE(_xll.BDH(AD$4,"PX_LAST",$Q11,$Q11)),AD12)</f>
        <v>0</v>
      </c>
      <c r="AF11" s="4">
        <f t="shared" si="6"/>
        <v>1.7867173302494632</v>
      </c>
      <c r="AG11" s="4" t="e">
        <f t="shared" ca="1" si="7"/>
        <v>#DIV/0!</v>
      </c>
      <c r="AH11" s="4" t="e">
        <f t="shared" ca="1" si="8"/>
        <v>#DIV/0!</v>
      </c>
      <c r="AI11" s="4" t="e">
        <f t="shared" ca="1" si="9"/>
        <v>#DIV/0!</v>
      </c>
      <c r="AJ11" s="4" t="e">
        <f t="shared" ca="1" si="10"/>
        <v>#DIV/0!</v>
      </c>
      <c r="AK11" s="4" t="e">
        <f t="shared" ca="1" si="11"/>
        <v>#DIV/0!</v>
      </c>
      <c r="AM11" s="563">
        <f t="shared" ca="1" si="12"/>
        <v>45933</v>
      </c>
      <c r="AN11" s="564">
        <v>116.01</v>
      </c>
      <c r="AO11" s="564">
        <v>768032</v>
      </c>
      <c r="AP11" s="564">
        <v>48497.476999999999</v>
      </c>
      <c r="AQ11" s="564">
        <v>5626192.3067699997</v>
      </c>
      <c r="AR11" s="564">
        <v>1.3262</v>
      </c>
    </row>
    <row r="12" spans="2:44">
      <c r="B12" s="565">
        <f t="shared" ca="1" si="13"/>
        <v>45891</v>
      </c>
      <c r="C12" s="561">
        <f ca="1">(IFERROR(IFERROR(VALUE(_xll.BDH(C$4,"CURRENT_EV_TO_T12M_EBITDA",$B12,$B12)),VALUE(_xll.BDH(C$4,"CURRENT_EV_TO_T12M_EBITDA",$B12+1,$B12+1))),C13))</f>
        <v>0</v>
      </c>
      <c r="D12" s="561">
        <f ca="1">(IFERROR(IFERROR(VALUE(_xll.BDH(D$4,"CURRENT_EV_TO_T12M_EBITDA",$B12,$B12)),VALUE(_xll.BDH(D$4,"CURRENT_EV_TO_T12M_EBITDA",$B12+1,$B12+1))),D13))</f>
        <v>0</v>
      </c>
      <c r="E12" s="561">
        <f ca="1">(IFERROR(IFERROR(VALUE(_xll.BDH(E$4,"CURRENT_EV_TO_T12M_EBITDA",$B12,$B12)),VALUE(_xll.BDH(E$4,"CURRENT_EV_TO_T12M_EBITDA",$B12+1,$B12+1))),E13))</f>
        <v>0</v>
      </c>
      <c r="F12" s="561">
        <f ca="1">(IFERROR(IFERROR(VALUE(_xll.BDH(F$4,"CURRENT_EV_TO_T12M_EBITDA",$B12,$B12)),VALUE(_xll.BDH(F$4,"CURRENT_EV_TO_T12M_EBITDA",$B12+1,$B12+1))),F13))</f>
        <v>0</v>
      </c>
      <c r="G12" s="561">
        <f ca="1">(IFERROR(IFERROR(VALUE(_xll.BDH(G$4,"CURRENT_EV_TO_T12M_EBITDA",$B12,$B12)),VALUE(_xll.BDH(G$4,"CURRENT_EV_TO_T12M_EBITDA",$B12+1,$B12+1))),G13))</f>
        <v>0</v>
      </c>
      <c r="H12" s="561">
        <f ca="1">(IFERROR(IFERROR(VALUE(_xll.BDH(H$4,"CURRENT_EV_TO_T12M_EBITDA",$B12,$B12)),VALUE(_xll.BDH(H$4,"CURRENT_EV_TO_T12M_EBITDA",$B12+1,$B12+1))),H13))</f>
        <v>0</v>
      </c>
      <c r="I12" s="565">
        <f t="shared" ca="1" si="3"/>
        <v>45891</v>
      </c>
      <c r="J12" s="561">
        <f ca="1">(IFERROR(IFERROR(VALUE(_xll.BDH(J$4,"PE_RATIO",$B12,$B12)),VALUE(_xll.BDH(J$4,"PE_RATIO",$B12+1,$B12+1))),J13))</f>
        <v>0</v>
      </c>
      <c r="K12" s="561">
        <f ca="1">(IFERROR(IFERROR(VALUE(_xll.BDH(K$4,"PE_RATIO",$B12,$B12)),VALUE(_xll.BDH(K$4,"PE_RATIO",$B12+1,$B12+1))),K13))</f>
        <v>0</v>
      </c>
      <c r="L12" s="561">
        <f ca="1">(IFERROR(IFERROR(VALUE(_xll.BDH(L$4,"PE_RATIO",$B12,$B12)),VALUE(_xll.BDH(L$4,"PE_RATIO",$B12+1,$B12+1))),L13))</f>
        <v>0</v>
      </c>
      <c r="M12" s="561">
        <f ca="1">(IFERROR(IFERROR(VALUE(_xll.BDH(M$4,"PE_RATIO",$B12,$B12)),VALUE(_xll.BDH(M$4,"PE_RATIO",$B12+1,$B12+1))),M13))</f>
        <v>0</v>
      </c>
      <c r="N12" s="561">
        <f ca="1">(IFERROR(IFERROR(VALUE(_xll.BDH(N$4,"PE_RATIO",$B12,$B12)),VALUE(_xll.BDH(N$4,"PE_RATIO",$B12+1,$B12+1))),N13))</f>
        <v>0</v>
      </c>
      <c r="O12" s="561">
        <f ca="1">(IFERROR(IFERROR(VALUE(_xll.BDH(O$4,"PE_RATIO",$B12,$B12)),VALUE(_xll.BDH(O$4,"PE_RATIO",$B12+1,$B12+1))),O13))</f>
        <v>0</v>
      </c>
      <c r="P12" s="561"/>
      <c r="Q12" s="565">
        <f t="shared" ca="1" si="4"/>
        <v>45891</v>
      </c>
      <c r="R12" s="4">
        <v>104.71</v>
      </c>
      <c r="S12" s="4">
        <v>6309.62</v>
      </c>
      <c r="T12" s="4">
        <v>368.98399999999998</v>
      </c>
      <c r="U12" s="4">
        <v>1.7298860069387079</v>
      </c>
      <c r="V12" s="4">
        <v>1.7299474404283728</v>
      </c>
      <c r="W12" s="4" t="e">
        <v>#DIV/0!</v>
      </c>
      <c r="Y12" s="561">
        <f t="shared" si="5"/>
        <v>104.71</v>
      </c>
      <c r="Z12" s="4">
        <f ca="1">IFERROR(VALUE(_xll.BDH(Z$4,"PX_LAST",$Q12,$Q12)),Z13)</f>
        <v>0</v>
      </c>
      <c r="AA12" s="4">
        <f ca="1">IFERROR(VALUE(_xll.BDH(AA$4,"PX_LAST",$Q12,$Q12)),AA13)</f>
        <v>0</v>
      </c>
      <c r="AB12" s="4">
        <f ca="1">IFERROR(VALUE(_xll.BDH(AB$4,"PX_LAST",$Q12,$Q12)),AB13)</f>
        <v>0</v>
      </c>
      <c r="AC12" s="4">
        <f ca="1">IFERROR(VALUE(_xll.BDH(AC$4,"PX_LAST",$Q12,$Q12)),AC13)</f>
        <v>0</v>
      </c>
      <c r="AD12" s="4">
        <f ca="1">IFERROR(VALUE(_xll.BDH(AD$4,"PX_LAST",$Q12,$Q12)),AD13)</f>
        <v>0</v>
      </c>
      <c r="AF12" s="4">
        <f t="shared" si="6"/>
        <v>1.7298860069387079</v>
      </c>
      <c r="AG12" s="4" t="e">
        <f t="shared" ca="1" si="7"/>
        <v>#DIV/0!</v>
      </c>
      <c r="AH12" s="4" t="e">
        <f t="shared" ca="1" si="8"/>
        <v>#DIV/0!</v>
      </c>
      <c r="AI12" s="4" t="e">
        <f t="shared" ca="1" si="9"/>
        <v>#DIV/0!</v>
      </c>
      <c r="AJ12" s="4" t="e">
        <f t="shared" ca="1" si="10"/>
        <v>#DIV/0!</v>
      </c>
      <c r="AK12" s="4" t="e">
        <f t="shared" ca="1" si="11"/>
        <v>#DIV/0!</v>
      </c>
      <c r="AM12" s="563">
        <f t="shared" ca="1" si="12"/>
        <v>45932</v>
      </c>
      <c r="AN12" s="564">
        <v>115.64</v>
      </c>
      <c r="AO12" s="564">
        <v>544427</v>
      </c>
      <c r="AP12" s="564">
        <v>48497.476999999999</v>
      </c>
      <c r="AQ12" s="564">
        <v>5608248.2402799996</v>
      </c>
      <c r="AR12" s="564">
        <v>1.3220000000000001</v>
      </c>
    </row>
    <row r="13" spans="2:44">
      <c r="B13" s="565">
        <f t="shared" ca="1" si="13"/>
        <v>45884</v>
      </c>
      <c r="C13" s="561">
        <f ca="1">(IFERROR(IFERROR(VALUE(_xll.BDH(C$4,"CURRENT_EV_TO_T12M_EBITDA",$B13,$B13)),VALUE(_xll.BDH(C$4,"CURRENT_EV_TO_T12M_EBITDA",$B13+1,$B13+1))),C14))</f>
        <v>0</v>
      </c>
      <c r="D13" s="561">
        <f ca="1">(IFERROR(IFERROR(VALUE(_xll.BDH(D$4,"CURRENT_EV_TO_T12M_EBITDA",$B13,$B13)),VALUE(_xll.BDH(D$4,"CURRENT_EV_TO_T12M_EBITDA",$B13+1,$B13+1))),D14))</f>
        <v>0</v>
      </c>
      <c r="E13" s="561">
        <f ca="1">(IFERROR(IFERROR(VALUE(_xll.BDH(E$4,"CURRENT_EV_TO_T12M_EBITDA",$B13,$B13)),VALUE(_xll.BDH(E$4,"CURRENT_EV_TO_T12M_EBITDA",$B13+1,$B13+1))),E14))</f>
        <v>0</v>
      </c>
      <c r="F13" s="561">
        <f ca="1">(IFERROR(IFERROR(VALUE(_xll.BDH(F$4,"CURRENT_EV_TO_T12M_EBITDA",$B13,$B13)),VALUE(_xll.BDH(F$4,"CURRENT_EV_TO_T12M_EBITDA",$B13+1,$B13+1))),F14))</f>
        <v>0</v>
      </c>
      <c r="G13" s="561">
        <f ca="1">(IFERROR(IFERROR(VALUE(_xll.BDH(G$4,"CURRENT_EV_TO_T12M_EBITDA",$B13,$B13)),VALUE(_xll.BDH(G$4,"CURRENT_EV_TO_T12M_EBITDA",$B13+1,$B13+1))),G14))</f>
        <v>0</v>
      </c>
      <c r="H13" s="561">
        <f ca="1">(IFERROR(IFERROR(VALUE(_xll.BDH(H$4,"CURRENT_EV_TO_T12M_EBITDA",$B13,$B13)),VALUE(_xll.BDH(H$4,"CURRENT_EV_TO_T12M_EBITDA",$B13+1,$B13+1))),H14))</f>
        <v>0</v>
      </c>
      <c r="I13" s="565">
        <f t="shared" ca="1" si="3"/>
        <v>45884</v>
      </c>
      <c r="J13" s="561">
        <f ca="1">(IFERROR(IFERROR(VALUE(_xll.BDH(J$4,"PE_RATIO",$B13,$B13)),VALUE(_xll.BDH(J$4,"PE_RATIO",$B13+1,$B13+1))),J14))</f>
        <v>0</v>
      </c>
      <c r="K13" s="561">
        <f ca="1">(IFERROR(IFERROR(VALUE(_xll.BDH(K$4,"PE_RATIO",$B13,$B13)),VALUE(_xll.BDH(K$4,"PE_RATIO",$B13+1,$B13+1))),K14))</f>
        <v>0</v>
      </c>
      <c r="L13" s="561">
        <f ca="1">(IFERROR(IFERROR(VALUE(_xll.BDH(L$4,"PE_RATIO",$B13,$B13)),VALUE(_xll.BDH(L$4,"PE_RATIO",$B13+1,$B13+1))),L14))</f>
        <v>0</v>
      </c>
      <c r="M13" s="561">
        <f ca="1">(IFERROR(IFERROR(VALUE(_xll.BDH(M$4,"PE_RATIO",$B13,$B13)),VALUE(_xll.BDH(M$4,"PE_RATIO",$B13+1,$B13+1))),M14))</f>
        <v>0</v>
      </c>
      <c r="N13" s="561">
        <f ca="1">(IFERROR(IFERROR(VALUE(_xll.BDH(N$4,"PE_RATIO",$B13,$B13)),VALUE(_xll.BDH(N$4,"PE_RATIO",$B13+1,$B13+1))),N14))</f>
        <v>0</v>
      </c>
      <c r="O13" s="561">
        <f ca="1">(IFERROR(IFERROR(VALUE(_xll.BDH(O$4,"PE_RATIO",$B13,$B13)),VALUE(_xll.BDH(O$4,"PE_RATIO",$B13+1,$B13+1))),O14))</f>
        <v>0</v>
      </c>
      <c r="P13" s="561"/>
      <c r="Q13" s="565">
        <f t="shared" ca="1" si="4"/>
        <v>45884</v>
      </c>
      <c r="R13" s="4">
        <v>102.78</v>
      </c>
      <c r="S13" s="4">
        <v>6243.76</v>
      </c>
      <c r="T13" s="4">
        <v>368.98399999999998</v>
      </c>
      <c r="U13" s="4">
        <v>1.6980009912440113</v>
      </c>
      <c r="V13" s="4">
        <v>1.7118901979277765</v>
      </c>
      <c r="W13" s="4" t="e">
        <v>#DIV/0!</v>
      </c>
      <c r="Y13" s="561">
        <f t="shared" si="5"/>
        <v>102.78</v>
      </c>
      <c r="Z13" s="4">
        <f ca="1">IFERROR(VALUE(_xll.BDH(Z$4,"PX_LAST",$Q13,$Q13)),Z14)</f>
        <v>0</v>
      </c>
      <c r="AA13" s="4">
        <f ca="1">IFERROR(VALUE(_xll.BDH(AA$4,"PX_LAST",$Q13,$Q13)),AA14)</f>
        <v>0</v>
      </c>
      <c r="AB13" s="4">
        <f ca="1">IFERROR(VALUE(_xll.BDH(AB$4,"PX_LAST",$Q13,$Q13)),AB14)</f>
        <v>0</v>
      </c>
      <c r="AC13" s="4">
        <f ca="1">IFERROR(VALUE(_xll.BDH(AC$4,"PX_LAST",$Q13,$Q13)),AC14)</f>
        <v>0</v>
      </c>
      <c r="AD13" s="4">
        <f ca="1">IFERROR(VALUE(_xll.BDH(AD$4,"PX_LAST",$Q13,$Q13)),AD14)</f>
        <v>0</v>
      </c>
      <c r="AF13" s="4">
        <f t="shared" si="6"/>
        <v>1.6980009912440113</v>
      </c>
      <c r="AG13" s="4" t="e">
        <f t="shared" ca="1" si="7"/>
        <v>#DIV/0!</v>
      </c>
      <c r="AH13" s="4" t="e">
        <f t="shared" ca="1" si="8"/>
        <v>#DIV/0!</v>
      </c>
      <c r="AI13" s="4" t="e">
        <f t="shared" ca="1" si="9"/>
        <v>#DIV/0!</v>
      </c>
      <c r="AJ13" s="4" t="e">
        <f t="shared" ca="1" si="10"/>
        <v>#DIV/0!</v>
      </c>
      <c r="AK13" s="4" t="e">
        <f t="shared" ca="1" si="11"/>
        <v>#DIV/0!</v>
      </c>
      <c r="AM13" s="563">
        <f t="shared" ca="1" si="12"/>
        <v>45931</v>
      </c>
      <c r="AN13" s="564">
        <v>115.64</v>
      </c>
      <c r="AO13" s="564">
        <v>544427</v>
      </c>
      <c r="AP13" s="564">
        <v>48497.476999999999</v>
      </c>
      <c r="AQ13" s="564">
        <v>5608248.2402799996</v>
      </c>
      <c r="AR13" s="564">
        <v>1.3220000000000001</v>
      </c>
    </row>
    <row r="14" spans="2:44">
      <c r="B14" s="565">
        <f t="shared" ca="1" si="13"/>
        <v>45877</v>
      </c>
      <c r="C14" s="561">
        <f ca="1">(IFERROR(IFERROR(VALUE(_xll.BDH(C$4,"CURRENT_EV_TO_T12M_EBITDA",$B14,$B14)),VALUE(_xll.BDH(C$4,"CURRENT_EV_TO_T12M_EBITDA",$B14+1,$B14+1))),C15))</f>
        <v>0</v>
      </c>
      <c r="D14" s="561">
        <f ca="1">(IFERROR(IFERROR(VALUE(_xll.BDH(D$4,"CURRENT_EV_TO_T12M_EBITDA",$B14,$B14)),VALUE(_xll.BDH(D$4,"CURRENT_EV_TO_T12M_EBITDA",$B14+1,$B14+1))),D15))</f>
        <v>0</v>
      </c>
      <c r="E14" s="561">
        <f ca="1">(IFERROR(IFERROR(VALUE(_xll.BDH(E$4,"CURRENT_EV_TO_T12M_EBITDA",$B14,$B14)),VALUE(_xll.BDH(E$4,"CURRENT_EV_TO_T12M_EBITDA",$B14+1,$B14+1))),E15))</f>
        <v>0</v>
      </c>
      <c r="F14" s="561">
        <f ca="1">(IFERROR(IFERROR(VALUE(_xll.BDH(F$4,"CURRENT_EV_TO_T12M_EBITDA",$B14,$B14)),VALUE(_xll.BDH(F$4,"CURRENT_EV_TO_T12M_EBITDA",$B14+1,$B14+1))),F15))</f>
        <v>0</v>
      </c>
      <c r="G14" s="561">
        <f ca="1">(IFERROR(IFERROR(VALUE(_xll.BDH(G$4,"CURRENT_EV_TO_T12M_EBITDA",$B14,$B14)),VALUE(_xll.BDH(G$4,"CURRENT_EV_TO_T12M_EBITDA",$B14+1,$B14+1))),G15))</f>
        <v>0</v>
      </c>
      <c r="H14" s="561">
        <f ca="1">(IFERROR(IFERROR(VALUE(_xll.BDH(H$4,"CURRENT_EV_TO_T12M_EBITDA",$B14,$B14)),VALUE(_xll.BDH(H$4,"CURRENT_EV_TO_T12M_EBITDA",$B14+1,$B14+1))),H15))</f>
        <v>0</v>
      </c>
      <c r="I14" s="565">
        <f t="shared" ca="1" si="3"/>
        <v>45877</v>
      </c>
      <c r="J14" s="561">
        <f ca="1">(IFERROR(IFERROR(VALUE(_xll.BDH(J$4,"PE_RATIO",$B14,$B14)),VALUE(_xll.BDH(J$4,"PE_RATIO",$B14+1,$B14+1))),J15))</f>
        <v>0</v>
      </c>
      <c r="K14" s="561">
        <f ca="1">(IFERROR(IFERROR(VALUE(_xll.BDH(K$4,"PE_RATIO",$B14,$B14)),VALUE(_xll.BDH(K$4,"PE_RATIO",$B14+1,$B14+1))),K15))</f>
        <v>0</v>
      </c>
      <c r="L14" s="561">
        <f ca="1">(IFERROR(IFERROR(VALUE(_xll.BDH(L$4,"PE_RATIO",$B14,$B14)),VALUE(_xll.BDH(L$4,"PE_RATIO",$B14+1,$B14+1))),L15))</f>
        <v>0</v>
      </c>
      <c r="M14" s="561">
        <f ca="1">(IFERROR(IFERROR(VALUE(_xll.BDH(M$4,"PE_RATIO",$B14,$B14)),VALUE(_xll.BDH(M$4,"PE_RATIO",$B14+1,$B14+1))),M15))</f>
        <v>0</v>
      </c>
      <c r="N14" s="561">
        <f ca="1">(IFERROR(IFERROR(VALUE(_xll.BDH(N$4,"PE_RATIO",$B14,$B14)),VALUE(_xll.BDH(N$4,"PE_RATIO",$B14+1,$B14+1))),N15))</f>
        <v>0</v>
      </c>
      <c r="O14" s="561">
        <f ca="1">(IFERROR(IFERROR(VALUE(_xll.BDH(O$4,"PE_RATIO",$B14,$B14)),VALUE(_xll.BDH(O$4,"PE_RATIO",$B14+1,$B14+1))),O15))</f>
        <v>0</v>
      </c>
      <c r="P14" s="561"/>
      <c r="Q14" s="565">
        <f t="shared" ca="1" si="4"/>
        <v>45877</v>
      </c>
      <c r="R14" s="4">
        <v>102.37</v>
      </c>
      <c r="S14" s="4">
        <v>6225.52</v>
      </c>
      <c r="T14" s="4">
        <v>368.98399999999998</v>
      </c>
      <c r="U14" s="4">
        <v>1.6912274905005782</v>
      </c>
      <c r="V14" s="4">
        <v>1.7068892246023761</v>
      </c>
      <c r="W14" s="4" t="e">
        <v>#DIV/0!</v>
      </c>
      <c r="Y14" s="561">
        <f t="shared" si="5"/>
        <v>102.37</v>
      </c>
      <c r="Z14" s="4">
        <f ca="1">IFERROR(VALUE(_xll.BDH(Z$4,"PX_LAST",$Q14,$Q14)),Z15)</f>
        <v>0</v>
      </c>
      <c r="AA14" s="4">
        <f ca="1">IFERROR(VALUE(_xll.BDH(AA$4,"PX_LAST",$Q14,$Q14)),AA15)</f>
        <v>0</v>
      </c>
      <c r="AB14" s="4">
        <f ca="1">IFERROR(VALUE(_xll.BDH(AB$4,"PX_LAST",$Q14,$Q14)),AB15)</f>
        <v>0</v>
      </c>
      <c r="AC14" s="4">
        <f ca="1">IFERROR(VALUE(_xll.BDH(AC$4,"PX_LAST",$Q14,$Q14)),AC15)</f>
        <v>0</v>
      </c>
      <c r="AD14" s="4">
        <f ca="1">IFERROR(VALUE(_xll.BDH(AD$4,"PX_LAST",$Q14,$Q14)),AD15)</f>
        <v>0</v>
      </c>
      <c r="AF14" s="4">
        <f t="shared" si="6"/>
        <v>1.6912274905005782</v>
      </c>
      <c r="AG14" s="4" t="e">
        <f t="shared" ca="1" si="7"/>
        <v>#DIV/0!</v>
      </c>
      <c r="AH14" s="4" t="e">
        <f t="shared" ca="1" si="8"/>
        <v>#DIV/0!</v>
      </c>
      <c r="AI14" s="4" t="e">
        <f t="shared" ca="1" si="9"/>
        <v>#DIV/0!</v>
      </c>
      <c r="AJ14" s="4" t="e">
        <f t="shared" ca="1" si="10"/>
        <v>#DIV/0!</v>
      </c>
      <c r="AK14" s="4" t="e">
        <f t="shared" ca="1" si="11"/>
        <v>#DIV/0!</v>
      </c>
      <c r="AM14" s="563">
        <f t="shared" ca="1" si="12"/>
        <v>45930</v>
      </c>
      <c r="AN14" s="564">
        <v>115.64</v>
      </c>
      <c r="AO14" s="564">
        <v>544427</v>
      </c>
      <c r="AP14" s="564">
        <v>48497.476999999999</v>
      </c>
      <c r="AQ14" s="564">
        <v>5608248.2402799996</v>
      </c>
      <c r="AR14" s="564">
        <v>1.3220000000000001</v>
      </c>
    </row>
    <row r="15" spans="2:44">
      <c r="B15" s="565">
        <f t="shared" ca="1" si="13"/>
        <v>45870</v>
      </c>
      <c r="C15" s="561">
        <f ca="1">(IFERROR(IFERROR(VALUE(_xll.BDH(C$4,"CURRENT_EV_TO_T12M_EBITDA",$B15,$B15)),VALUE(_xll.BDH(C$4,"CURRENT_EV_TO_T12M_EBITDA",$B15+1,$B15+1))),C16))</f>
        <v>0</v>
      </c>
      <c r="D15" s="561">
        <f ca="1">(IFERROR(IFERROR(VALUE(_xll.BDH(D$4,"CURRENT_EV_TO_T12M_EBITDA",$B15,$B15)),VALUE(_xll.BDH(D$4,"CURRENT_EV_TO_T12M_EBITDA",$B15+1,$B15+1))),D16))</f>
        <v>0</v>
      </c>
      <c r="E15" s="561">
        <f ca="1">(IFERROR(IFERROR(VALUE(_xll.BDH(E$4,"CURRENT_EV_TO_T12M_EBITDA",$B15,$B15)),VALUE(_xll.BDH(E$4,"CURRENT_EV_TO_T12M_EBITDA",$B15+1,$B15+1))),E16))</f>
        <v>0</v>
      </c>
      <c r="F15" s="561">
        <f ca="1">(IFERROR(IFERROR(VALUE(_xll.BDH(F$4,"CURRENT_EV_TO_T12M_EBITDA",$B15,$B15)),VALUE(_xll.BDH(F$4,"CURRENT_EV_TO_T12M_EBITDA",$B15+1,$B15+1))),F16))</f>
        <v>0</v>
      </c>
      <c r="G15" s="561">
        <f ca="1">(IFERROR(IFERROR(VALUE(_xll.BDH(G$4,"CURRENT_EV_TO_T12M_EBITDA",$B15,$B15)),VALUE(_xll.BDH(G$4,"CURRENT_EV_TO_T12M_EBITDA",$B15+1,$B15+1))),G16))</f>
        <v>0</v>
      </c>
      <c r="H15" s="561">
        <f ca="1">(IFERROR(IFERROR(VALUE(_xll.BDH(H$4,"CURRENT_EV_TO_T12M_EBITDA",$B15,$B15)),VALUE(_xll.BDH(H$4,"CURRENT_EV_TO_T12M_EBITDA",$B15+1,$B15+1))),H16))</f>
        <v>0</v>
      </c>
      <c r="I15" s="565">
        <f t="shared" ca="1" si="3"/>
        <v>45870</v>
      </c>
      <c r="J15" s="561">
        <f ca="1">(IFERROR(IFERROR(VALUE(_xll.BDH(J$4,"PE_RATIO",$B15,$B15)),VALUE(_xll.BDH(J$4,"PE_RATIO",$B15+1,$B15+1))),J16))</f>
        <v>0</v>
      </c>
      <c r="K15" s="561">
        <f ca="1">(IFERROR(IFERROR(VALUE(_xll.BDH(K$4,"PE_RATIO",$B15,$B15)),VALUE(_xll.BDH(K$4,"PE_RATIO",$B15+1,$B15+1))),K16))</f>
        <v>0</v>
      </c>
      <c r="L15" s="561">
        <f ca="1">(IFERROR(IFERROR(VALUE(_xll.BDH(L$4,"PE_RATIO",$B15,$B15)),VALUE(_xll.BDH(L$4,"PE_RATIO",$B15+1,$B15+1))),L16))</f>
        <v>0</v>
      </c>
      <c r="M15" s="561">
        <f ca="1">(IFERROR(IFERROR(VALUE(_xll.BDH(M$4,"PE_RATIO",$B15,$B15)),VALUE(_xll.BDH(M$4,"PE_RATIO",$B15+1,$B15+1))),M16))</f>
        <v>0</v>
      </c>
      <c r="N15" s="561">
        <f ca="1">(IFERROR(IFERROR(VALUE(_xll.BDH(N$4,"PE_RATIO",$B15,$B15)),VALUE(_xll.BDH(N$4,"PE_RATIO",$B15+1,$B15+1))),N16))</f>
        <v>0</v>
      </c>
      <c r="O15" s="561">
        <f ca="1">(IFERROR(IFERROR(VALUE(_xll.BDH(O$4,"PE_RATIO",$B15,$B15)),VALUE(_xll.BDH(O$4,"PE_RATIO",$B15+1,$B15+1))),O16))</f>
        <v>0</v>
      </c>
      <c r="P15" s="561"/>
      <c r="Q15" s="565">
        <f t="shared" ca="1" si="4"/>
        <v>45870</v>
      </c>
      <c r="R15" s="4">
        <v>101.88</v>
      </c>
      <c r="S15" s="4">
        <v>6198.01</v>
      </c>
      <c r="T15" s="4">
        <v>368.98399999999998</v>
      </c>
      <c r="U15" s="4">
        <v>1.6831323310754998</v>
      </c>
      <c r="V15" s="4">
        <v>1.699346638188902</v>
      </c>
      <c r="W15" s="4" t="e">
        <v>#DIV/0!</v>
      </c>
      <c r="Y15" s="561">
        <f t="shared" si="5"/>
        <v>101.88</v>
      </c>
      <c r="Z15" s="4">
        <f ca="1">IFERROR(VALUE(_xll.BDH(Z$4,"PX_LAST",$Q15,$Q15)),Z16)</f>
        <v>0</v>
      </c>
      <c r="AA15" s="4">
        <f ca="1">IFERROR(VALUE(_xll.BDH(AA$4,"PX_LAST",$Q15,$Q15)),AA16)</f>
        <v>0</v>
      </c>
      <c r="AB15" s="4">
        <f ca="1">IFERROR(VALUE(_xll.BDH(AB$4,"PX_LAST",$Q15,$Q15)),AB16)</f>
        <v>0</v>
      </c>
      <c r="AC15" s="4">
        <f ca="1">IFERROR(VALUE(_xll.BDH(AC$4,"PX_LAST",$Q15,$Q15)),AC16)</f>
        <v>0</v>
      </c>
      <c r="AD15" s="4">
        <f ca="1">IFERROR(VALUE(_xll.BDH(AD$4,"PX_LAST",$Q15,$Q15)),AD16)</f>
        <v>0</v>
      </c>
      <c r="AF15" s="4">
        <f t="shared" si="6"/>
        <v>1.6831323310754998</v>
      </c>
      <c r="AG15" s="4" t="e">
        <f t="shared" ca="1" si="7"/>
        <v>#DIV/0!</v>
      </c>
      <c r="AH15" s="4" t="e">
        <f t="shared" ca="1" si="8"/>
        <v>#DIV/0!</v>
      </c>
      <c r="AI15" s="4" t="e">
        <f t="shared" ca="1" si="9"/>
        <v>#DIV/0!</v>
      </c>
      <c r="AJ15" s="4" t="e">
        <f t="shared" ca="1" si="10"/>
        <v>#DIV/0!</v>
      </c>
      <c r="AK15" s="4" t="e">
        <f t="shared" ca="1" si="11"/>
        <v>#DIV/0!</v>
      </c>
      <c r="AM15" s="563">
        <f t="shared" ca="1" si="12"/>
        <v>45929</v>
      </c>
      <c r="AN15" s="564">
        <v>115.64</v>
      </c>
      <c r="AO15" s="564">
        <v>544427</v>
      </c>
      <c r="AP15" s="564">
        <v>48497.476999999999</v>
      </c>
      <c r="AQ15" s="564">
        <v>5608248.2402799996</v>
      </c>
      <c r="AR15" s="564">
        <v>1.3220000000000001</v>
      </c>
    </row>
    <row r="16" spans="2:44">
      <c r="B16" s="565">
        <f t="shared" ca="1" si="13"/>
        <v>45863</v>
      </c>
      <c r="C16" s="561">
        <f ca="1">(IFERROR(IFERROR(VALUE(_xll.BDH(C$4,"CURRENT_EV_TO_T12M_EBITDA",$B16,$B16)),VALUE(_xll.BDH(C$4,"CURRENT_EV_TO_T12M_EBITDA",$B16+1,$B16+1))),C17))</f>
        <v>0</v>
      </c>
      <c r="D16" s="561">
        <f ca="1">(IFERROR(IFERROR(VALUE(_xll.BDH(D$4,"CURRENT_EV_TO_T12M_EBITDA",$B16,$B16)),VALUE(_xll.BDH(D$4,"CURRENT_EV_TO_T12M_EBITDA",$B16+1,$B16+1))),D17))</f>
        <v>0</v>
      </c>
      <c r="E16" s="561">
        <f ca="1">(IFERROR(IFERROR(VALUE(_xll.BDH(E$4,"CURRENT_EV_TO_T12M_EBITDA",$B16,$B16)),VALUE(_xll.BDH(E$4,"CURRENT_EV_TO_T12M_EBITDA",$B16+1,$B16+1))),E17))</f>
        <v>0</v>
      </c>
      <c r="F16" s="561">
        <f ca="1">(IFERROR(IFERROR(VALUE(_xll.BDH(F$4,"CURRENT_EV_TO_T12M_EBITDA",$B16,$B16)),VALUE(_xll.BDH(F$4,"CURRENT_EV_TO_T12M_EBITDA",$B16+1,$B16+1))),F17))</f>
        <v>0</v>
      </c>
      <c r="G16" s="561">
        <f ca="1">(IFERROR(IFERROR(VALUE(_xll.BDH(G$4,"CURRENT_EV_TO_T12M_EBITDA",$B16,$B16)),VALUE(_xll.BDH(G$4,"CURRENT_EV_TO_T12M_EBITDA",$B16+1,$B16+1))),G17))</f>
        <v>0</v>
      </c>
      <c r="H16" s="561">
        <f ca="1">(IFERROR(IFERROR(VALUE(_xll.BDH(H$4,"CURRENT_EV_TO_T12M_EBITDA",$B16,$B16)),VALUE(_xll.BDH(H$4,"CURRENT_EV_TO_T12M_EBITDA",$B16+1,$B16+1))),H17))</f>
        <v>0</v>
      </c>
      <c r="I16" s="565">
        <f t="shared" ca="1" si="3"/>
        <v>45863</v>
      </c>
      <c r="J16" s="561">
        <f ca="1">(IFERROR(IFERROR(VALUE(_xll.BDH(J$4,"PE_RATIO",$B16,$B16)),VALUE(_xll.BDH(J$4,"PE_RATIO",$B16+1,$B16+1))),J17))</f>
        <v>0</v>
      </c>
      <c r="K16" s="561">
        <f ca="1">(IFERROR(IFERROR(VALUE(_xll.BDH(K$4,"PE_RATIO",$B16,$B16)),VALUE(_xll.BDH(K$4,"PE_RATIO",$B16+1,$B16+1))),K17))</f>
        <v>0</v>
      </c>
      <c r="L16" s="561">
        <f ca="1">(IFERROR(IFERROR(VALUE(_xll.BDH(L$4,"PE_RATIO",$B16,$B16)),VALUE(_xll.BDH(L$4,"PE_RATIO",$B16+1,$B16+1))),L17))</f>
        <v>0</v>
      </c>
      <c r="M16" s="561">
        <f ca="1">(IFERROR(IFERROR(VALUE(_xll.BDH(M$4,"PE_RATIO",$B16,$B16)),VALUE(_xll.BDH(M$4,"PE_RATIO",$B16+1,$B16+1))),M17))</f>
        <v>0</v>
      </c>
      <c r="N16" s="561">
        <f ca="1">(IFERROR(IFERROR(VALUE(_xll.BDH(N$4,"PE_RATIO",$B16,$B16)),VALUE(_xll.BDH(N$4,"PE_RATIO",$B16+1,$B16+1))),N17))</f>
        <v>0</v>
      </c>
      <c r="O16" s="561">
        <f ca="1">(IFERROR(IFERROR(VALUE(_xll.BDH(O$4,"PE_RATIO",$B16,$B16)),VALUE(_xll.BDH(O$4,"PE_RATIO",$B16+1,$B16+1))),O17))</f>
        <v>0</v>
      </c>
      <c r="P16" s="561"/>
      <c r="Q16" s="565">
        <f t="shared" ca="1" si="4"/>
        <v>45863</v>
      </c>
      <c r="R16" s="4">
        <v>101.86</v>
      </c>
      <c r="S16" s="4">
        <v>6092.18</v>
      </c>
      <c r="T16" s="4">
        <v>368.98399999999998</v>
      </c>
      <c r="U16" s="4">
        <v>1.6828019164050882</v>
      </c>
      <c r="V16" s="4">
        <v>1.6703305742071513</v>
      </c>
      <c r="W16" s="4" t="e">
        <v>#DIV/0!</v>
      </c>
      <c r="Y16" s="561">
        <f t="shared" si="5"/>
        <v>101.86</v>
      </c>
      <c r="Z16" s="4">
        <f ca="1">IFERROR(VALUE(_xll.BDH(Z$4,"PX_LAST",$Q16,$Q16)),Z17)</f>
        <v>0</v>
      </c>
      <c r="AA16" s="4">
        <f ca="1">IFERROR(VALUE(_xll.BDH(AA$4,"PX_LAST",$Q16,$Q16)),AA17)</f>
        <v>0</v>
      </c>
      <c r="AB16" s="4">
        <f ca="1">IFERROR(VALUE(_xll.BDH(AB$4,"PX_LAST",$Q16,$Q16)),AB17)</f>
        <v>0</v>
      </c>
      <c r="AC16" s="4">
        <f ca="1">IFERROR(VALUE(_xll.BDH(AC$4,"PX_LAST",$Q16,$Q16)),AC17)</f>
        <v>0</v>
      </c>
      <c r="AD16" s="4">
        <f ca="1">IFERROR(VALUE(_xll.BDH(AD$4,"PX_LAST",$Q16,$Q16)),AD17)</f>
        <v>0</v>
      </c>
      <c r="AF16" s="4">
        <f t="shared" si="6"/>
        <v>1.6828019164050882</v>
      </c>
      <c r="AG16" s="4" t="e">
        <f t="shared" ca="1" si="7"/>
        <v>#DIV/0!</v>
      </c>
      <c r="AH16" s="4" t="e">
        <f t="shared" ca="1" si="8"/>
        <v>#DIV/0!</v>
      </c>
      <c r="AI16" s="4" t="e">
        <f t="shared" ca="1" si="9"/>
        <v>#DIV/0!</v>
      </c>
      <c r="AJ16" s="4" t="e">
        <f t="shared" ca="1" si="10"/>
        <v>#DIV/0!</v>
      </c>
      <c r="AK16" s="4" t="e">
        <f t="shared" ca="1" si="11"/>
        <v>#DIV/0!</v>
      </c>
      <c r="AM16" s="563">
        <f t="shared" ca="1" si="12"/>
        <v>45928</v>
      </c>
      <c r="AN16" s="564">
        <v>115.4</v>
      </c>
      <c r="AO16" s="564">
        <v>470919</v>
      </c>
      <c r="AP16" s="564">
        <v>48497.476999999999</v>
      </c>
      <c r="AQ16" s="564">
        <v>5596608.8458000002</v>
      </c>
      <c r="AR16" s="564">
        <v>1.3191999999999999</v>
      </c>
    </row>
    <row r="17" spans="2:44">
      <c r="B17" s="565">
        <f t="shared" ca="1" si="13"/>
        <v>45856</v>
      </c>
      <c r="C17" s="561">
        <f ca="1">(IFERROR(IFERROR(VALUE(_xll.BDH(C$4,"CURRENT_EV_TO_T12M_EBITDA",$B17,$B17)),VALUE(_xll.BDH(C$4,"CURRENT_EV_TO_T12M_EBITDA",$B17+1,$B17+1))),C18))</f>
        <v>0</v>
      </c>
      <c r="D17" s="561">
        <f ca="1">(IFERROR(IFERROR(VALUE(_xll.BDH(D$4,"CURRENT_EV_TO_T12M_EBITDA",$B17,$B17)),VALUE(_xll.BDH(D$4,"CURRENT_EV_TO_T12M_EBITDA",$B17+1,$B17+1))),D18))</f>
        <v>0</v>
      </c>
      <c r="E17" s="561">
        <f ca="1">(IFERROR(IFERROR(VALUE(_xll.BDH(E$4,"CURRENT_EV_TO_T12M_EBITDA",$B17,$B17)),VALUE(_xll.BDH(E$4,"CURRENT_EV_TO_T12M_EBITDA",$B17+1,$B17+1))),E18))</f>
        <v>0</v>
      </c>
      <c r="F17" s="561">
        <f ca="1">(IFERROR(IFERROR(VALUE(_xll.BDH(F$4,"CURRENT_EV_TO_T12M_EBITDA",$B17,$B17)),VALUE(_xll.BDH(F$4,"CURRENT_EV_TO_T12M_EBITDA",$B17+1,$B17+1))),F18))</f>
        <v>0</v>
      </c>
      <c r="G17" s="561">
        <f ca="1">(IFERROR(IFERROR(VALUE(_xll.BDH(G$4,"CURRENT_EV_TO_T12M_EBITDA",$B17,$B17)),VALUE(_xll.BDH(G$4,"CURRENT_EV_TO_T12M_EBITDA",$B17+1,$B17+1))),G18))</f>
        <v>0</v>
      </c>
      <c r="H17" s="561">
        <f ca="1">(IFERROR(IFERROR(VALUE(_xll.BDH(H$4,"CURRENT_EV_TO_T12M_EBITDA",$B17,$B17)),VALUE(_xll.BDH(H$4,"CURRENT_EV_TO_T12M_EBITDA",$B17+1,$B17+1))),H18))</f>
        <v>0</v>
      </c>
      <c r="I17" s="565">
        <f t="shared" ca="1" si="3"/>
        <v>45856</v>
      </c>
      <c r="J17" s="561">
        <f ca="1">(IFERROR(IFERROR(VALUE(_xll.BDH(J$4,"PE_RATIO",$B17,$B17)),VALUE(_xll.BDH(J$4,"PE_RATIO",$B17+1,$B17+1))),J18))</f>
        <v>0</v>
      </c>
      <c r="K17" s="561">
        <f ca="1">(IFERROR(IFERROR(VALUE(_xll.BDH(K$4,"PE_RATIO",$B17,$B17)),VALUE(_xll.BDH(K$4,"PE_RATIO",$B17+1,$B17+1))),K18))</f>
        <v>0</v>
      </c>
      <c r="L17" s="561">
        <f ca="1">(IFERROR(IFERROR(VALUE(_xll.BDH(L$4,"PE_RATIO",$B17,$B17)),VALUE(_xll.BDH(L$4,"PE_RATIO",$B17+1,$B17+1))),L18))</f>
        <v>0</v>
      </c>
      <c r="M17" s="561">
        <f ca="1">(IFERROR(IFERROR(VALUE(_xll.BDH(M$4,"PE_RATIO",$B17,$B17)),VALUE(_xll.BDH(M$4,"PE_RATIO",$B17+1,$B17+1))),M18))</f>
        <v>0</v>
      </c>
      <c r="N17" s="561">
        <f ca="1">(IFERROR(IFERROR(VALUE(_xll.BDH(N$4,"PE_RATIO",$B17,$B17)),VALUE(_xll.BDH(N$4,"PE_RATIO",$B17+1,$B17+1))),N18))</f>
        <v>0</v>
      </c>
      <c r="O17" s="561">
        <f ca="1">(IFERROR(IFERROR(VALUE(_xll.BDH(O$4,"PE_RATIO",$B17,$B17)),VALUE(_xll.BDH(O$4,"PE_RATIO",$B17+1,$B17+1))),O18))</f>
        <v>0</v>
      </c>
      <c r="P17" s="561"/>
      <c r="Q17" s="565">
        <f t="shared" ca="1" si="4"/>
        <v>45856</v>
      </c>
      <c r="R17" s="4">
        <v>100.61</v>
      </c>
      <c r="S17" s="4">
        <v>5982.72</v>
      </c>
      <c r="T17" s="4">
        <v>368.98399999999998</v>
      </c>
      <c r="U17" s="4">
        <v>1.6621509995043779</v>
      </c>
      <c r="V17" s="4">
        <v>1.6403192507313651</v>
      </c>
      <c r="W17" s="4" t="e">
        <v>#DIV/0!</v>
      </c>
      <c r="Y17" s="561">
        <f t="shared" si="5"/>
        <v>100.61</v>
      </c>
      <c r="Z17" s="4">
        <f ca="1">IFERROR(VALUE(_xll.BDH(Z$4,"PX_LAST",$Q17,$Q17)),Z18)</f>
        <v>0</v>
      </c>
      <c r="AA17" s="4">
        <f ca="1">IFERROR(VALUE(_xll.BDH(AA$4,"PX_LAST",$Q17,$Q17)),AA18)</f>
        <v>0</v>
      </c>
      <c r="AB17" s="4">
        <f ca="1">IFERROR(VALUE(_xll.BDH(AB$4,"PX_LAST",$Q17,$Q17)),AB18)</f>
        <v>0</v>
      </c>
      <c r="AC17" s="4">
        <f ca="1">IFERROR(VALUE(_xll.BDH(AC$4,"PX_LAST",$Q17,$Q17)),AC18)</f>
        <v>0</v>
      </c>
      <c r="AD17" s="4">
        <f ca="1">IFERROR(VALUE(_xll.BDH(AD$4,"PX_LAST",$Q17,$Q17)),AD18)</f>
        <v>0</v>
      </c>
      <c r="AF17" s="4">
        <f t="shared" si="6"/>
        <v>1.6621509995043779</v>
      </c>
      <c r="AG17" s="4" t="e">
        <f t="shared" ca="1" si="7"/>
        <v>#DIV/0!</v>
      </c>
      <c r="AH17" s="4" t="e">
        <f t="shared" ca="1" si="8"/>
        <v>#DIV/0!</v>
      </c>
      <c r="AI17" s="4" t="e">
        <f t="shared" ca="1" si="9"/>
        <v>#DIV/0!</v>
      </c>
      <c r="AJ17" s="4" t="e">
        <f t="shared" ca="1" si="10"/>
        <v>#DIV/0!</v>
      </c>
      <c r="AK17" s="4" t="e">
        <f t="shared" ca="1" si="11"/>
        <v>#DIV/0!</v>
      </c>
      <c r="AM17" s="563">
        <f t="shared" ca="1" si="12"/>
        <v>45927</v>
      </c>
      <c r="AN17" s="564">
        <v>116.8</v>
      </c>
      <c r="AO17" s="564">
        <v>493502</v>
      </c>
      <c r="AP17" s="564">
        <v>48497.476999999999</v>
      </c>
      <c r="AQ17" s="564">
        <v>5664505.3136</v>
      </c>
      <c r="AR17" s="564">
        <v>1.3351999999999999</v>
      </c>
    </row>
    <row r="18" spans="2:44">
      <c r="B18" s="565">
        <f t="shared" ca="1" si="13"/>
        <v>45849</v>
      </c>
      <c r="C18" s="561">
        <f ca="1">(IFERROR(IFERROR(VALUE(_xll.BDH(C$4,"CURRENT_EV_TO_T12M_EBITDA",$B18,$B18)),VALUE(_xll.BDH(C$4,"CURRENT_EV_TO_T12M_EBITDA",$B18+1,$B18+1))),C19))</f>
        <v>0</v>
      </c>
      <c r="D18" s="561">
        <f ca="1">(IFERROR(IFERROR(VALUE(_xll.BDH(D$4,"CURRENT_EV_TO_T12M_EBITDA",$B18,$B18)),VALUE(_xll.BDH(D$4,"CURRENT_EV_TO_T12M_EBITDA",$B18+1,$B18+1))),D19))</f>
        <v>0</v>
      </c>
      <c r="E18" s="561">
        <f ca="1">(IFERROR(IFERROR(VALUE(_xll.BDH(E$4,"CURRENT_EV_TO_T12M_EBITDA",$B18,$B18)),VALUE(_xll.BDH(E$4,"CURRENT_EV_TO_T12M_EBITDA",$B18+1,$B18+1))),E19))</f>
        <v>0</v>
      </c>
      <c r="F18" s="561">
        <f ca="1">(IFERROR(IFERROR(VALUE(_xll.BDH(F$4,"CURRENT_EV_TO_T12M_EBITDA",$B18,$B18)),VALUE(_xll.BDH(F$4,"CURRENT_EV_TO_T12M_EBITDA",$B18+1,$B18+1))),F19))</f>
        <v>0</v>
      </c>
      <c r="G18" s="561">
        <f ca="1">(IFERROR(IFERROR(VALUE(_xll.BDH(G$4,"CURRENT_EV_TO_T12M_EBITDA",$B18,$B18)),VALUE(_xll.BDH(G$4,"CURRENT_EV_TO_T12M_EBITDA",$B18+1,$B18+1))),G19))</f>
        <v>0</v>
      </c>
      <c r="H18" s="561">
        <f ca="1">(IFERROR(IFERROR(VALUE(_xll.BDH(H$4,"CURRENT_EV_TO_T12M_EBITDA",$B18,$B18)),VALUE(_xll.BDH(H$4,"CURRENT_EV_TO_T12M_EBITDA",$B18+1,$B18+1))),H19))</f>
        <v>0</v>
      </c>
      <c r="I18" s="565">
        <f t="shared" ca="1" si="3"/>
        <v>45849</v>
      </c>
      <c r="J18" s="561">
        <f ca="1">(IFERROR(IFERROR(VALUE(_xll.BDH(J$4,"PE_RATIO",$B18,$B18)),VALUE(_xll.BDH(J$4,"PE_RATIO",$B18+1,$B18+1))),J19))</f>
        <v>0</v>
      </c>
      <c r="K18" s="561">
        <f ca="1">(IFERROR(IFERROR(VALUE(_xll.BDH(K$4,"PE_RATIO",$B18,$B18)),VALUE(_xll.BDH(K$4,"PE_RATIO",$B18+1,$B18+1))),K19))</f>
        <v>0</v>
      </c>
      <c r="L18" s="561">
        <f ca="1">(IFERROR(IFERROR(VALUE(_xll.BDH(L$4,"PE_RATIO",$B18,$B18)),VALUE(_xll.BDH(L$4,"PE_RATIO",$B18+1,$B18+1))),L19))</f>
        <v>0</v>
      </c>
      <c r="M18" s="561">
        <f ca="1">(IFERROR(IFERROR(VALUE(_xll.BDH(M$4,"PE_RATIO",$B18,$B18)),VALUE(_xll.BDH(M$4,"PE_RATIO",$B18+1,$B18+1))),M19))</f>
        <v>0</v>
      </c>
      <c r="N18" s="561">
        <f ca="1">(IFERROR(IFERROR(VALUE(_xll.BDH(N$4,"PE_RATIO",$B18,$B18)),VALUE(_xll.BDH(N$4,"PE_RATIO",$B18+1,$B18+1))),N19))</f>
        <v>0</v>
      </c>
      <c r="O18" s="561">
        <f ca="1">(IFERROR(IFERROR(VALUE(_xll.BDH(O$4,"PE_RATIO",$B18,$B18)),VALUE(_xll.BDH(O$4,"PE_RATIO",$B18+1,$B18+1))),O19))</f>
        <v>0</v>
      </c>
      <c r="P18" s="561"/>
      <c r="Q18" s="565">
        <f t="shared" ca="1" si="4"/>
        <v>45849</v>
      </c>
      <c r="R18" s="4">
        <v>96.1</v>
      </c>
      <c r="S18" s="4">
        <v>6038.81</v>
      </c>
      <c r="T18" s="4">
        <v>368.98399999999998</v>
      </c>
      <c r="U18" s="4">
        <v>1.5876424913266147</v>
      </c>
      <c r="V18" s="4">
        <v>1.6556977920593099</v>
      </c>
      <c r="W18" s="4" t="e">
        <v>#DIV/0!</v>
      </c>
      <c r="Y18" s="561">
        <f t="shared" si="5"/>
        <v>96.1</v>
      </c>
      <c r="Z18" s="4">
        <f ca="1">IFERROR(VALUE(_xll.BDH(Z$4,"PX_LAST",$Q18,$Q18)),Z19)</f>
        <v>0</v>
      </c>
      <c r="AA18" s="4">
        <f ca="1">IFERROR(VALUE(_xll.BDH(AA$4,"PX_LAST",$Q18,$Q18)),AA19)</f>
        <v>0</v>
      </c>
      <c r="AB18" s="4">
        <f ca="1">IFERROR(VALUE(_xll.BDH(AB$4,"PX_LAST",$Q18,$Q18)),AB19)</f>
        <v>0</v>
      </c>
      <c r="AC18" s="4">
        <f ca="1">IFERROR(VALUE(_xll.BDH(AC$4,"PX_LAST",$Q18,$Q18)),AC19)</f>
        <v>0</v>
      </c>
      <c r="AD18" s="4">
        <f ca="1">IFERROR(VALUE(_xll.BDH(AD$4,"PX_LAST",$Q18,$Q18)),AD19)</f>
        <v>0</v>
      </c>
      <c r="AF18" s="4">
        <f t="shared" si="6"/>
        <v>1.5876424913266147</v>
      </c>
      <c r="AG18" s="4" t="e">
        <f t="shared" ca="1" si="7"/>
        <v>#DIV/0!</v>
      </c>
      <c r="AH18" s="4" t="e">
        <f t="shared" ca="1" si="8"/>
        <v>#DIV/0!</v>
      </c>
      <c r="AI18" s="4" t="e">
        <f t="shared" ca="1" si="9"/>
        <v>#DIV/0!</v>
      </c>
      <c r="AJ18" s="4" t="e">
        <f t="shared" ca="1" si="10"/>
        <v>#DIV/0!</v>
      </c>
      <c r="AK18" s="4" t="e">
        <f t="shared" ca="1" si="11"/>
        <v>#DIV/0!</v>
      </c>
      <c r="AM18" s="563">
        <f t="shared" ca="1" si="12"/>
        <v>45926</v>
      </c>
      <c r="AN18" s="564">
        <v>114.99</v>
      </c>
      <c r="AO18" s="564">
        <v>676211</v>
      </c>
      <c r="AP18" s="564">
        <v>48497.476999999999</v>
      </c>
      <c r="AQ18" s="564">
        <v>5576724.8802299993</v>
      </c>
      <c r="AR18" s="564">
        <v>1.3145</v>
      </c>
    </row>
    <row r="19" spans="2:44">
      <c r="B19" s="565">
        <f t="shared" ca="1" si="13"/>
        <v>45842</v>
      </c>
      <c r="C19" s="561">
        <f ca="1">(IFERROR(IFERROR(VALUE(_xll.BDH(C$4,"CURRENT_EV_TO_T12M_EBITDA",$B19,$B19)),VALUE(_xll.BDH(C$4,"CURRENT_EV_TO_T12M_EBITDA",$B19+1,$B19+1))),C20))</f>
        <v>0</v>
      </c>
      <c r="D19" s="561">
        <f ca="1">(IFERROR(IFERROR(VALUE(_xll.BDH(D$4,"CURRENT_EV_TO_T12M_EBITDA",$B19,$B19)),VALUE(_xll.BDH(D$4,"CURRENT_EV_TO_T12M_EBITDA",$B19+1,$B19+1))),D20))</f>
        <v>0</v>
      </c>
      <c r="E19" s="561">
        <f ca="1">(IFERROR(IFERROR(VALUE(_xll.BDH(E$4,"CURRENT_EV_TO_T12M_EBITDA",$B19,$B19)),VALUE(_xll.BDH(E$4,"CURRENT_EV_TO_T12M_EBITDA",$B19+1,$B19+1))),E20))</f>
        <v>0</v>
      </c>
      <c r="F19" s="561">
        <f ca="1">(IFERROR(IFERROR(VALUE(_xll.BDH(F$4,"CURRENT_EV_TO_T12M_EBITDA",$B19,$B19)),VALUE(_xll.BDH(F$4,"CURRENT_EV_TO_T12M_EBITDA",$B19+1,$B19+1))),F20))</f>
        <v>0</v>
      </c>
      <c r="G19" s="561">
        <f ca="1">(IFERROR(IFERROR(VALUE(_xll.BDH(G$4,"CURRENT_EV_TO_T12M_EBITDA",$B19,$B19)),VALUE(_xll.BDH(G$4,"CURRENT_EV_TO_T12M_EBITDA",$B19+1,$B19+1))),G20))</f>
        <v>0</v>
      </c>
      <c r="H19" s="561">
        <f ca="1">(IFERROR(IFERROR(VALUE(_xll.BDH(H$4,"CURRENT_EV_TO_T12M_EBITDA",$B19,$B19)),VALUE(_xll.BDH(H$4,"CURRENT_EV_TO_T12M_EBITDA",$B19+1,$B19+1))),H20))</f>
        <v>0</v>
      </c>
      <c r="I19" s="565">
        <f t="shared" ca="1" si="3"/>
        <v>45842</v>
      </c>
      <c r="J19" s="561">
        <f ca="1">(IFERROR(IFERROR(VALUE(_xll.BDH(J$4,"PE_RATIO",$B19,$B19)),VALUE(_xll.BDH(J$4,"PE_RATIO",$B19+1,$B19+1))),J20))</f>
        <v>0</v>
      </c>
      <c r="K19" s="561">
        <f ca="1">(IFERROR(IFERROR(VALUE(_xll.BDH(K$4,"PE_RATIO",$B19,$B19)),VALUE(_xll.BDH(K$4,"PE_RATIO",$B19+1,$B19+1))),K20))</f>
        <v>0</v>
      </c>
      <c r="L19" s="561">
        <f ca="1">(IFERROR(IFERROR(VALUE(_xll.BDH(L$4,"PE_RATIO",$B19,$B19)),VALUE(_xll.BDH(L$4,"PE_RATIO",$B19+1,$B19+1))),L20))</f>
        <v>0</v>
      </c>
      <c r="M19" s="561">
        <f ca="1">(IFERROR(IFERROR(VALUE(_xll.BDH(M$4,"PE_RATIO",$B19,$B19)),VALUE(_xll.BDH(M$4,"PE_RATIO",$B19+1,$B19+1))),M20))</f>
        <v>0</v>
      </c>
      <c r="N19" s="561">
        <f ca="1">(IFERROR(IFERROR(VALUE(_xll.BDH(N$4,"PE_RATIO",$B19,$B19)),VALUE(_xll.BDH(N$4,"PE_RATIO",$B19+1,$B19+1))),N20))</f>
        <v>0</v>
      </c>
      <c r="O19" s="561">
        <f ca="1">(IFERROR(IFERROR(VALUE(_xll.BDH(O$4,"PE_RATIO",$B19,$B19)),VALUE(_xll.BDH(O$4,"PE_RATIO",$B19+1,$B19+1))),O20))</f>
        <v>0</v>
      </c>
      <c r="P19" s="561"/>
      <c r="Q19" s="565">
        <f t="shared" ca="1" si="4"/>
        <v>45842</v>
      </c>
      <c r="R19" s="4">
        <v>97.19</v>
      </c>
      <c r="S19" s="4">
        <v>5970.37</v>
      </c>
      <c r="T19" s="4">
        <v>368.98399999999998</v>
      </c>
      <c r="U19" s="4">
        <v>1.6056500908640343</v>
      </c>
      <c r="V19" s="4">
        <v>1.6369331750422917</v>
      </c>
      <c r="W19" s="4" t="e">
        <v>#DIV/0!</v>
      </c>
      <c r="Y19" s="561">
        <f t="shared" si="5"/>
        <v>97.19</v>
      </c>
      <c r="Z19" s="4">
        <f ca="1">IFERROR(VALUE(_xll.BDH(Z$4,"PX_LAST",$Q19,$Q19)),Z20)</f>
        <v>0</v>
      </c>
      <c r="AA19" s="4">
        <f ca="1">IFERROR(VALUE(_xll.BDH(AA$4,"PX_LAST",$Q19,$Q19)),AA20)</f>
        <v>0</v>
      </c>
      <c r="AB19" s="4">
        <f ca="1">IFERROR(VALUE(_xll.BDH(AB$4,"PX_LAST",$Q19,$Q19)),AB20)</f>
        <v>0</v>
      </c>
      <c r="AC19" s="4">
        <f ca="1">IFERROR(VALUE(_xll.BDH(AC$4,"PX_LAST",$Q19,$Q19)),AC20)</f>
        <v>0</v>
      </c>
      <c r="AD19" s="4">
        <f ca="1">IFERROR(VALUE(_xll.BDH(AD$4,"PX_LAST",$Q19,$Q19)),AD20)</f>
        <v>0</v>
      </c>
      <c r="AF19" s="4">
        <f t="shared" si="6"/>
        <v>1.6056500908640343</v>
      </c>
      <c r="AG19" s="4" t="e">
        <f t="shared" ca="1" si="7"/>
        <v>#DIV/0!</v>
      </c>
      <c r="AH19" s="4" t="e">
        <f t="shared" ca="1" si="8"/>
        <v>#DIV/0!</v>
      </c>
      <c r="AI19" s="4" t="e">
        <f t="shared" ca="1" si="9"/>
        <v>#DIV/0!</v>
      </c>
      <c r="AJ19" s="4" t="e">
        <f t="shared" ca="1" si="10"/>
        <v>#DIV/0!</v>
      </c>
      <c r="AK19" s="4" t="e">
        <f t="shared" ca="1" si="11"/>
        <v>#DIV/0!</v>
      </c>
      <c r="AM19" s="563">
        <f t="shared" ca="1" si="12"/>
        <v>45925</v>
      </c>
      <c r="AN19" s="564">
        <v>115.425</v>
      </c>
      <c r="AO19" s="564">
        <v>585355</v>
      </c>
      <c r="AP19" s="564">
        <v>48497.476999999999</v>
      </c>
      <c r="AQ19" s="564">
        <v>5597821.2827249998</v>
      </c>
      <c r="AR19" s="564">
        <v>1.3194999999999999</v>
      </c>
    </row>
    <row r="20" spans="2:44">
      <c r="B20" s="565">
        <f t="shared" ca="1" si="13"/>
        <v>45835</v>
      </c>
      <c r="C20" s="561">
        <f ca="1">(IFERROR(IFERROR(VALUE(_xll.BDH(C$4,"CURRENT_EV_TO_T12M_EBITDA",$B20,$B20)),VALUE(_xll.BDH(C$4,"CURRENT_EV_TO_T12M_EBITDA",$B20+1,$B20+1))),C21))</f>
        <v>0</v>
      </c>
      <c r="D20" s="561">
        <f ca="1">(IFERROR(IFERROR(VALUE(_xll.BDH(D$4,"CURRENT_EV_TO_T12M_EBITDA",$B20,$B20)),VALUE(_xll.BDH(D$4,"CURRENT_EV_TO_T12M_EBITDA",$B20+1,$B20+1))),D21))</f>
        <v>0</v>
      </c>
      <c r="E20" s="561">
        <f ca="1">(IFERROR(IFERROR(VALUE(_xll.BDH(E$4,"CURRENT_EV_TO_T12M_EBITDA",$B20,$B20)),VALUE(_xll.BDH(E$4,"CURRENT_EV_TO_T12M_EBITDA",$B20+1,$B20+1))),E21))</f>
        <v>0</v>
      </c>
      <c r="F20" s="561">
        <f ca="1">(IFERROR(IFERROR(VALUE(_xll.BDH(F$4,"CURRENT_EV_TO_T12M_EBITDA",$B20,$B20)),VALUE(_xll.BDH(F$4,"CURRENT_EV_TO_T12M_EBITDA",$B20+1,$B20+1))),F21))</f>
        <v>0</v>
      </c>
      <c r="G20" s="561">
        <f ca="1">(IFERROR(IFERROR(VALUE(_xll.BDH(G$4,"CURRENT_EV_TO_T12M_EBITDA",$B20,$B20)),VALUE(_xll.BDH(G$4,"CURRENT_EV_TO_T12M_EBITDA",$B20+1,$B20+1))),G21))</f>
        <v>0</v>
      </c>
      <c r="H20" s="561">
        <f ca="1">(IFERROR(IFERROR(VALUE(_xll.BDH(H$4,"CURRENT_EV_TO_T12M_EBITDA",$B20,$B20)),VALUE(_xll.BDH(H$4,"CURRENT_EV_TO_T12M_EBITDA",$B20+1,$B20+1))),H21))</f>
        <v>0</v>
      </c>
      <c r="I20" s="565">
        <f t="shared" ca="1" si="3"/>
        <v>45835</v>
      </c>
      <c r="J20" s="561">
        <f ca="1">(IFERROR(IFERROR(VALUE(_xll.BDH(J$4,"PE_RATIO",$B20,$B20)),VALUE(_xll.BDH(J$4,"PE_RATIO",$B20+1,$B20+1))),J21))</f>
        <v>0</v>
      </c>
      <c r="K20" s="561">
        <f ca="1">(IFERROR(IFERROR(VALUE(_xll.BDH(K$4,"PE_RATIO",$B20,$B20)),VALUE(_xll.BDH(K$4,"PE_RATIO",$B20+1,$B20+1))),K21))</f>
        <v>0</v>
      </c>
      <c r="L20" s="561">
        <f ca="1">(IFERROR(IFERROR(VALUE(_xll.BDH(L$4,"PE_RATIO",$B20,$B20)),VALUE(_xll.BDH(L$4,"PE_RATIO",$B20+1,$B20+1))),L21))</f>
        <v>0</v>
      </c>
      <c r="M20" s="561">
        <f ca="1">(IFERROR(IFERROR(VALUE(_xll.BDH(M$4,"PE_RATIO",$B20,$B20)),VALUE(_xll.BDH(M$4,"PE_RATIO",$B20+1,$B20+1))),M21))</f>
        <v>0</v>
      </c>
      <c r="N20" s="561">
        <f ca="1">(IFERROR(IFERROR(VALUE(_xll.BDH(N$4,"PE_RATIO",$B20,$B20)),VALUE(_xll.BDH(N$4,"PE_RATIO",$B20+1,$B20+1))),N21))</f>
        <v>0</v>
      </c>
      <c r="O20" s="561">
        <f ca="1">(IFERROR(IFERROR(VALUE(_xll.BDH(O$4,"PE_RATIO",$B20,$B20)),VALUE(_xll.BDH(O$4,"PE_RATIO",$B20+1,$B20+1))),O21))</f>
        <v>0</v>
      </c>
      <c r="P20" s="561"/>
      <c r="Q20" s="565">
        <f t="shared" ca="1" si="4"/>
        <v>45835</v>
      </c>
      <c r="R20" s="4">
        <v>95.52</v>
      </c>
      <c r="S20" s="4">
        <v>5921.54</v>
      </c>
      <c r="T20" s="4">
        <v>368.98399999999998</v>
      </c>
      <c r="U20" s="4">
        <v>1.5780604658846853</v>
      </c>
      <c r="V20" s="4">
        <v>1.6235451527024174</v>
      </c>
      <c r="W20" s="4" t="e">
        <v>#DIV/0!</v>
      </c>
      <c r="Y20" s="561">
        <f t="shared" si="5"/>
        <v>95.52</v>
      </c>
      <c r="Z20" s="4">
        <f ca="1">IFERROR(VALUE(_xll.BDH(Z$4,"PX_LAST",$Q20,$Q20)),Z21)</f>
        <v>0</v>
      </c>
      <c r="AA20" s="4">
        <f ca="1">IFERROR(VALUE(_xll.BDH(AA$4,"PX_LAST",$Q20,$Q20)),AA21)</f>
        <v>0</v>
      </c>
      <c r="AB20" s="4">
        <f ca="1">IFERROR(VALUE(_xll.BDH(AB$4,"PX_LAST",$Q20,$Q20)),AB21)</f>
        <v>0</v>
      </c>
      <c r="AC20" s="4">
        <f ca="1">IFERROR(VALUE(_xll.BDH(AC$4,"PX_LAST",$Q20,$Q20)),AC21)</f>
        <v>0</v>
      </c>
      <c r="AD20" s="4">
        <f ca="1">IFERROR(VALUE(_xll.BDH(AD$4,"PX_LAST",$Q20,$Q20)),AD21)</f>
        <v>0</v>
      </c>
      <c r="AF20" s="4">
        <f t="shared" si="6"/>
        <v>1.5780604658846853</v>
      </c>
      <c r="AG20" s="4" t="e">
        <f t="shared" ca="1" si="7"/>
        <v>#DIV/0!</v>
      </c>
      <c r="AH20" s="4" t="e">
        <f t="shared" ca="1" si="8"/>
        <v>#DIV/0!</v>
      </c>
      <c r="AI20" s="4" t="e">
        <f t="shared" ca="1" si="9"/>
        <v>#DIV/0!</v>
      </c>
      <c r="AJ20" s="4" t="e">
        <f t="shared" ca="1" si="10"/>
        <v>#DIV/0!</v>
      </c>
      <c r="AK20" s="4" t="e">
        <f t="shared" ca="1" si="11"/>
        <v>#DIV/0!</v>
      </c>
      <c r="AM20" s="563">
        <f t="shared" ca="1" si="12"/>
        <v>45924</v>
      </c>
      <c r="AN20" s="564">
        <v>116.04</v>
      </c>
      <c r="AO20" s="564">
        <v>740641</v>
      </c>
      <c r="AP20" s="564">
        <v>48497.476999999999</v>
      </c>
      <c r="AQ20" s="564">
        <v>5627647.2310800003</v>
      </c>
      <c r="AR20" s="564">
        <v>1.3265</v>
      </c>
    </row>
    <row r="21" spans="2:44">
      <c r="B21" s="565">
        <f t="shared" ca="1" si="13"/>
        <v>45828</v>
      </c>
      <c r="C21" s="561">
        <f ca="1">(IFERROR(IFERROR(VALUE(_xll.BDH(C$4,"CURRENT_EV_TO_T12M_EBITDA",$B21,$B21)),VALUE(_xll.BDH(C$4,"CURRENT_EV_TO_T12M_EBITDA",$B21+1,$B21+1))),C22))</f>
        <v>0</v>
      </c>
      <c r="D21" s="561">
        <f ca="1">(IFERROR(IFERROR(VALUE(_xll.BDH(D$4,"CURRENT_EV_TO_T12M_EBITDA",$B21,$B21)),VALUE(_xll.BDH(D$4,"CURRENT_EV_TO_T12M_EBITDA",$B21+1,$B21+1))),D22))</f>
        <v>0</v>
      </c>
      <c r="E21" s="561">
        <f ca="1">(IFERROR(IFERROR(VALUE(_xll.BDH(E$4,"CURRENT_EV_TO_T12M_EBITDA",$B21,$B21)),VALUE(_xll.BDH(E$4,"CURRENT_EV_TO_T12M_EBITDA",$B21+1,$B21+1))),E22))</f>
        <v>0</v>
      </c>
      <c r="F21" s="561">
        <f ca="1">(IFERROR(IFERROR(VALUE(_xll.BDH(F$4,"CURRENT_EV_TO_T12M_EBITDA",$B21,$B21)),VALUE(_xll.BDH(F$4,"CURRENT_EV_TO_T12M_EBITDA",$B21+1,$B21+1))),F22))</f>
        <v>0</v>
      </c>
      <c r="G21" s="561">
        <f ca="1">(IFERROR(IFERROR(VALUE(_xll.BDH(G$4,"CURRENT_EV_TO_T12M_EBITDA",$B21,$B21)),VALUE(_xll.BDH(G$4,"CURRENT_EV_TO_T12M_EBITDA",$B21+1,$B21+1))),G22))</f>
        <v>0</v>
      </c>
      <c r="H21" s="561">
        <f ca="1">(IFERROR(IFERROR(VALUE(_xll.BDH(H$4,"CURRENT_EV_TO_T12M_EBITDA",$B21,$B21)),VALUE(_xll.BDH(H$4,"CURRENT_EV_TO_T12M_EBITDA",$B21+1,$B21+1))),H22))</f>
        <v>0</v>
      </c>
      <c r="I21" s="565">
        <f t="shared" ca="1" si="3"/>
        <v>45828</v>
      </c>
      <c r="J21" s="561">
        <f ca="1">(IFERROR(IFERROR(VALUE(_xll.BDH(J$4,"PE_RATIO",$B21,$B21)),VALUE(_xll.BDH(J$4,"PE_RATIO",$B21+1,$B21+1))),J22))</f>
        <v>0</v>
      </c>
      <c r="K21" s="561">
        <f ca="1">(IFERROR(IFERROR(VALUE(_xll.BDH(K$4,"PE_RATIO",$B21,$B21)),VALUE(_xll.BDH(K$4,"PE_RATIO",$B21+1,$B21+1))),K22))</f>
        <v>0</v>
      </c>
      <c r="L21" s="561">
        <f ca="1">(IFERROR(IFERROR(VALUE(_xll.BDH(L$4,"PE_RATIO",$B21,$B21)),VALUE(_xll.BDH(L$4,"PE_RATIO",$B21+1,$B21+1))),L22))</f>
        <v>0</v>
      </c>
      <c r="M21" s="561">
        <f ca="1">(IFERROR(IFERROR(VALUE(_xll.BDH(M$4,"PE_RATIO",$B21,$B21)),VALUE(_xll.BDH(M$4,"PE_RATIO",$B21+1,$B21+1))),M22))</f>
        <v>0</v>
      </c>
      <c r="N21" s="561">
        <f ca="1">(IFERROR(IFERROR(VALUE(_xll.BDH(N$4,"PE_RATIO",$B21,$B21)),VALUE(_xll.BDH(N$4,"PE_RATIO",$B21+1,$B21+1))),N22))</f>
        <v>0</v>
      </c>
      <c r="O21" s="561">
        <f ca="1">(IFERROR(IFERROR(VALUE(_xll.BDH(O$4,"PE_RATIO",$B21,$B21)),VALUE(_xll.BDH(O$4,"PE_RATIO",$B21+1,$B21+1))),O22))</f>
        <v>0</v>
      </c>
      <c r="P21" s="561"/>
      <c r="Q21" s="565">
        <f t="shared" ca="1" si="4"/>
        <v>45828</v>
      </c>
      <c r="R21" s="4">
        <v>96.36</v>
      </c>
      <c r="S21" s="4">
        <v>5940.46</v>
      </c>
      <c r="T21" s="4">
        <v>368.98399999999998</v>
      </c>
      <c r="U21" s="4">
        <v>1.5919378820419625</v>
      </c>
      <c r="V21" s="4">
        <v>1.6287325658228438</v>
      </c>
      <c r="W21" s="4" t="e">
        <v>#DIV/0!</v>
      </c>
      <c r="Y21" s="561">
        <f t="shared" si="5"/>
        <v>96.36</v>
      </c>
      <c r="Z21" s="4">
        <f ca="1">IFERROR(VALUE(_xll.BDH(Z$4,"PX_LAST",$Q21,$Q21)),Z22)</f>
        <v>0</v>
      </c>
      <c r="AA21" s="4">
        <f ca="1">IFERROR(VALUE(_xll.BDH(AA$4,"PX_LAST",$Q21,$Q21)),AA22)</f>
        <v>0</v>
      </c>
      <c r="AB21" s="4">
        <f ca="1">IFERROR(VALUE(_xll.BDH(AB$4,"PX_LAST",$Q21,$Q21)),AB22)</f>
        <v>0</v>
      </c>
      <c r="AC21" s="4">
        <f ca="1">IFERROR(VALUE(_xll.BDH(AC$4,"PX_LAST",$Q21,$Q21)),AC22)</f>
        <v>0</v>
      </c>
      <c r="AD21" s="4">
        <f ca="1">IFERROR(VALUE(_xll.BDH(AD$4,"PX_LAST",$Q21,$Q21)),AD22)</f>
        <v>0</v>
      </c>
      <c r="AF21" s="4">
        <f t="shared" si="6"/>
        <v>1.5919378820419625</v>
      </c>
      <c r="AG21" s="4" t="e">
        <f t="shared" ca="1" si="7"/>
        <v>#DIV/0!</v>
      </c>
      <c r="AH21" s="4" t="e">
        <f t="shared" ca="1" si="8"/>
        <v>#DIV/0!</v>
      </c>
      <c r="AI21" s="4" t="e">
        <f t="shared" ca="1" si="9"/>
        <v>#DIV/0!</v>
      </c>
      <c r="AJ21" s="4" t="e">
        <f t="shared" ca="1" si="10"/>
        <v>#DIV/0!</v>
      </c>
      <c r="AK21" s="4" t="e">
        <f t="shared" ca="1" si="11"/>
        <v>#DIV/0!</v>
      </c>
      <c r="AM21" s="563">
        <f t="shared" ca="1" si="12"/>
        <v>45923</v>
      </c>
      <c r="AN21" s="564">
        <v>116.04</v>
      </c>
      <c r="AO21" s="564">
        <v>740641</v>
      </c>
      <c r="AP21" s="564">
        <v>48497.476999999999</v>
      </c>
      <c r="AQ21" s="564">
        <v>5627647.2310800003</v>
      </c>
      <c r="AR21" s="564">
        <v>1.3265</v>
      </c>
    </row>
    <row r="22" spans="2:44">
      <c r="B22" s="565">
        <f t="shared" ca="1" si="13"/>
        <v>45821</v>
      </c>
      <c r="C22" s="561">
        <f ca="1">(IFERROR(IFERROR(VALUE(_xll.BDH(C$4,"CURRENT_EV_TO_T12M_EBITDA",$B22,$B22)),VALUE(_xll.BDH(C$4,"CURRENT_EV_TO_T12M_EBITDA",$B22+1,$B22+1))),C23))</f>
        <v>0</v>
      </c>
      <c r="D22" s="561">
        <f ca="1">(IFERROR(IFERROR(VALUE(_xll.BDH(D$4,"CURRENT_EV_TO_T12M_EBITDA",$B22,$B22)),VALUE(_xll.BDH(D$4,"CURRENT_EV_TO_T12M_EBITDA",$B22+1,$B22+1))),D23))</f>
        <v>0</v>
      </c>
      <c r="E22" s="561">
        <f ca="1">(IFERROR(IFERROR(VALUE(_xll.BDH(E$4,"CURRENT_EV_TO_T12M_EBITDA",$B22,$B22)),VALUE(_xll.BDH(E$4,"CURRENT_EV_TO_T12M_EBITDA",$B22+1,$B22+1))),E23))</f>
        <v>0</v>
      </c>
      <c r="F22" s="561">
        <f ca="1">(IFERROR(IFERROR(VALUE(_xll.BDH(F$4,"CURRENT_EV_TO_T12M_EBITDA",$B22,$B22)),VALUE(_xll.BDH(F$4,"CURRENT_EV_TO_T12M_EBITDA",$B22+1,$B22+1))),F23))</f>
        <v>0</v>
      </c>
      <c r="G22" s="561">
        <f ca="1">(IFERROR(IFERROR(VALUE(_xll.BDH(G$4,"CURRENT_EV_TO_T12M_EBITDA",$B22,$B22)),VALUE(_xll.BDH(G$4,"CURRENT_EV_TO_T12M_EBITDA",$B22+1,$B22+1))),G23))</f>
        <v>0</v>
      </c>
      <c r="H22" s="561">
        <f ca="1">(IFERROR(IFERROR(VALUE(_xll.BDH(H$4,"CURRENT_EV_TO_T12M_EBITDA",$B22,$B22)),VALUE(_xll.BDH(H$4,"CURRENT_EV_TO_T12M_EBITDA",$B22+1,$B22+1))),H23))</f>
        <v>0</v>
      </c>
      <c r="I22" s="565">
        <f t="shared" ca="1" si="3"/>
        <v>45821</v>
      </c>
      <c r="J22" s="561">
        <f ca="1">(IFERROR(IFERROR(VALUE(_xll.BDH(J$4,"PE_RATIO",$B22,$B22)),VALUE(_xll.BDH(J$4,"PE_RATIO",$B22+1,$B22+1))),J23))</f>
        <v>0</v>
      </c>
      <c r="K22" s="561">
        <f ca="1">(IFERROR(IFERROR(VALUE(_xll.BDH(K$4,"PE_RATIO",$B22,$B22)),VALUE(_xll.BDH(K$4,"PE_RATIO",$B22+1,$B22+1))),K23))</f>
        <v>0</v>
      </c>
      <c r="L22" s="561">
        <f ca="1">(IFERROR(IFERROR(VALUE(_xll.BDH(L$4,"PE_RATIO",$B22,$B22)),VALUE(_xll.BDH(L$4,"PE_RATIO",$B22+1,$B22+1))),L23))</f>
        <v>0</v>
      </c>
      <c r="M22" s="561">
        <f ca="1">(IFERROR(IFERROR(VALUE(_xll.BDH(M$4,"PE_RATIO",$B22,$B22)),VALUE(_xll.BDH(M$4,"PE_RATIO",$B22+1,$B22+1))),M23))</f>
        <v>0</v>
      </c>
      <c r="N22" s="561">
        <f ca="1">(IFERROR(IFERROR(VALUE(_xll.BDH(N$4,"PE_RATIO",$B22,$B22)),VALUE(_xll.BDH(N$4,"PE_RATIO",$B22+1,$B22+1))),N23))</f>
        <v>0</v>
      </c>
      <c r="O22" s="561">
        <f ca="1">(IFERROR(IFERROR(VALUE(_xll.BDH(O$4,"PE_RATIO",$B22,$B22)),VALUE(_xll.BDH(O$4,"PE_RATIO",$B22+1,$B22+1))),O23))</f>
        <v>0</v>
      </c>
      <c r="P22" s="561"/>
      <c r="Q22" s="565">
        <f t="shared" ca="1" si="4"/>
        <v>45821</v>
      </c>
      <c r="R22" s="4">
        <v>93.95</v>
      </c>
      <c r="S22" s="4">
        <v>5886.55</v>
      </c>
      <c r="T22" s="4">
        <v>368.98399999999998</v>
      </c>
      <c r="U22" s="4">
        <v>1.5521229142573931</v>
      </c>
      <c r="V22" s="4">
        <v>1.6139517285436584</v>
      </c>
      <c r="W22" s="4" t="e">
        <v>#DIV/0!</v>
      </c>
      <c r="Y22" s="561">
        <f t="shared" si="5"/>
        <v>93.95</v>
      </c>
      <c r="Z22" s="4">
        <f ca="1">IFERROR(VALUE(_xll.BDH(Z$4,"PX_LAST",$Q22,$Q22)),Z23)</f>
        <v>0</v>
      </c>
      <c r="AA22" s="4">
        <f ca="1">IFERROR(VALUE(_xll.BDH(AA$4,"PX_LAST",$Q22,$Q22)),AA23)</f>
        <v>0</v>
      </c>
      <c r="AB22" s="4">
        <f ca="1">IFERROR(VALUE(_xll.BDH(AB$4,"PX_LAST",$Q22,$Q22)),AB23)</f>
        <v>0</v>
      </c>
      <c r="AC22" s="4">
        <f ca="1">IFERROR(VALUE(_xll.BDH(AC$4,"PX_LAST",$Q22,$Q22)),AC23)</f>
        <v>0</v>
      </c>
      <c r="AD22" s="4">
        <f ca="1">IFERROR(VALUE(_xll.BDH(AD$4,"PX_LAST",$Q22,$Q22)),AD23)</f>
        <v>0</v>
      </c>
      <c r="AF22" s="4">
        <f t="shared" si="6"/>
        <v>1.5521229142573931</v>
      </c>
      <c r="AG22" s="4" t="e">
        <f t="shared" ca="1" si="7"/>
        <v>#DIV/0!</v>
      </c>
      <c r="AH22" s="4" t="e">
        <f t="shared" ca="1" si="8"/>
        <v>#DIV/0!</v>
      </c>
      <c r="AI22" s="4" t="e">
        <f t="shared" ca="1" si="9"/>
        <v>#DIV/0!</v>
      </c>
      <c r="AJ22" s="4" t="e">
        <f t="shared" ca="1" si="10"/>
        <v>#DIV/0!</v>
      </c>
      <c r="AK22" s="4" t="e">
        <f t="shared" ca="1" si="11"/>
        <v>#DIV/0!</v>
      </c>
      <c r="AM22" s="563">
        <f t="shared" ca="1" si="12"/>
        <v>45922</v>
      </c>
      <c r="AN22" s="564">
        <v>116.04</v>
      </c>
      <c r="AO22" s="564">
        <v>740641</v>
      </c>
      <c r="AP22" s="564">
        <v>48497.476999999999</v>
      </c>
      <c r="AQ22" s="564">
        <v>5627647.2310800003</v>
      </c>
      <c r="AR22" s="564">
        <v>1.3265</v>
      </c>
    </row>
    <row r="23" spans="2:44">
      <c r="B23" s="565">
        <f t="shared" ca="1" si="13"/>
        <v>45814</v>
      </c>
      <c r="C23" s="561">
        <f ca="1">(IFERROR(IFERROR(VALUE(_xll.BDH(C$4,"CURRENT_EV_TO_T12M_EBITDA",$B23,$B23)),VALUE(_xll.BDH(C$4,"CURRENT_EV_TO_T12M_EBITDA",$B23+1,$B23+1))),C24))</f>
        <v>0</v>
      </c>
      <c r="D23" s="561">
        <f ca="1">(IFERROR(IFERROR(VALUE(_xll.BDH(D$4,"CURRENT_EV_TO_T12M_EBITDA",$B23,$B23)),VALUE(_xll.BDH(D$4,"CURRENT_EV_TO_T12M_EBITDA",$B23+1,$B23+1))),D24))</f>
        <v>0</v>
      </c>
      <c r="E23" s="561">
        <f ca="1">(IFERROR(IFERROR(VALUE(_xll.BDH(E$4,"CURRENT_EV_TO_T12M_EBITDA",$B23,$B23)),VALUE(_xll.BDH(E$4,"CURRENT_EV_TO_T12M_EBITDA",$B23+1,$B23+1))),E24))</f>
        <v>0</v>
      </c>
      <c r="F23" s="561">
        <f ca="1">(IFERROR(IFERROR(VALUE(_xll.BDH(F$4,"CURRENT_EV_TO_T12M_EBITDA",$B23,$B23)),VALUE(_xll.BDH(F$4,"CURRENT_EV_TO_T12M_EBITDA",$B23+1,$B23+1))),F24))</f>
        <v>0</v>
      </c>
      <c r="G23" s="561">
        <f ca="1">(IFERROR(IFERROR(VALUE(_xll.BDH(G$4,"CURRENT_EV_TO_T12M_EBITDA",$B23,$B23)),VALUE(_xll.BDH(G$4,"CURRENT_EV_TO_T12M_EBITDA",$B23+1,$B23+1))),G24))</f>
        <v>0</v>
      </c>
      <c r="H23" s="561">
        <f ca="1">(IFERROR(IFERROR(VALUE(_xll.BDH(H$4,"CURRENT_EV_TO_T12M_EBITDA",$B23,$B23)),VALUE(_xll.BDH(H$4,"CURRENT_EV_TO_T12M_EBITDA",$B23+1,$B23+1))),H24))</f>
        <v>0</v>
      </c>
      <c r="I23" s="565">
        <f t="shared" ca="1" si="3"/>
        <v>45814</v>
      </c>
      <c r="J23" s="561">
        <f ca="1">(IFERROR(IFERROR(VALUE(_xll.BDH(J$4,"PE_RATIO",$B23,$B23)),VALUE(_xll.BDH(J$4,"PE_RATIO",$B23+1,$B23+1))),J24))</f>
        <v>0</v>
      </c>
      <c r="K23" s="561">
        <f ca="1">(IFERROR(IFERROR(VALUE(_xll.BDH(K$4,"PE_RATIO",$B23,$B23)),VALUE(_xll.BDH(K$4,"PE_RATIO",$B23+1,$B23+1))),K24))</f>
        <v>0</v>
      </c>
      <c r="L23" s="561">
        <f ca="1">(IFERROR(IFERROR(VALUE(_xll.BDH(L$4,"PE_RATIO",$B23,$B23)),VALUE(_xll.BDH(L$4,"PE_RATIO",$B23+1,$B23+1))),L24))</f>
        <v>0</v>
      </c>
      <c r="M23" s="561">
        <f ca="1">(IFERROR(IFERROR(VALUE(_xll.BDH(M$4,"PE_RATIO",$B23,$B23)),VALUE(_xll.BDH(M$4,"PE_RATIO",$B23+1,$B23+1))),M24))</f>
        <v>0</v>
      </c>
      <c r="N23" s="561">
        <f ca="1">(IFERROR(IFERROR(VALUE(_xll.BDH(N$4,"PE_RATIO",$B23,$B23)),VALUE(_xll.BDH(N$4,"PE_RATIO",$B23+1,$B23+1))),N24))</f>
        <v>0</v>
      </c>
      <c r="O23" s="561">
        <f ca="1">(IFERROR(IFERROR(VALUE(_xll.BDH(O$4,"PE_RATIO",$B23,$B23)),VALUE(_xll.BDH(O$4,"PE_RATIO",$B23+1,$B23+1))),O24))</f>
        <v>0</v>
      </c>
      <c r="P23" s="561"/>
      <c r="Q23" s="565">
        <f t="shared" ca="1" si="4"/>
        <v>45814</v>
      </c>
      <c r="R23" s="4">
        <v>96.87</v>
      </c>
      <c r="S23" s="4">
        <v>5606.91</v>
      </c>
      <c r="T23" s="4">
        <v>368.98399999999998</v>
      </c>
      <c r="U23" s="4">
        <v>1.6003634561374525</v>
      </c>
      <c r="V23" s="4">
        <v>1.5372811046009502</v>
      </c>
      <c r="W23" s="4" t="e">
        <v>#DIV/0!</v>
      </c>
      <c r="Y23" s="561">
        <f t="shared" si="5"/>
        <v>96.87</v>
      </c>
      <c r="Z23" s="4">
        <f ca="1">IFERROR(VALUE(_xll.BDH(Z$4,"PX_LAST",$Q23,$Q23)),Z24)</f>
        <v>0</v>
      </c>
      <c r="AA23" s="4">
        <f ca="1">IFERROR(VALUE(_xll.BDH(AA$4,"PX_LAST",$Q23,$Q23)),AA24)</f>
        <v>0</v>
      </c>
      <c r="AB23" s="4">
        <f ca="1">IFERROR(VALUE(_xll.BDH(AB$4,"PX_LAST",$Q23,$Q23)),AB24)</f>
        <v>0</v>
      </c>
      <c r="AC23" s="4">
        <f ca="1">IFERROR(VALUE(_xll.BDH(AC$4,"PX_LAST",$Q23,$Q23)),AC24)</f>
        <v>0</v>
      </c>
      <c r="AD23" s="4">
        <f ca="1">IFERROR(VALUE(_xll.BDH(AD$4,"PX_LAST",$Q23,$Q23)),AD24)</f>
        <v>0</v>
      </c>
      <c r="AF23" s="4">
        <f t="shared" si="6"/>
        <v>1.6003634561374525</v>
      </c>
      <c r="AG23" s="4" t="e">
        <f t="shared" ca="1" si="7"/>
        <v>#DIV/0!</v>
      </c>
      <c r="AH23" s="4" t="e">
        <f t="shared" ca="1" si="8"/>
        <v>#DIV/0!</v>
      </c>
      <c r="AI23" s="4" t="e">
        <f t="shared" ca="1" si="9"/>
        <v>#DIV/0!</v>
      </c>
      <c r="AJ23" s="4" t="e">
        <f t="shared" ca="1" si="10"/>
        <v>#DIV/0!</v>
      </c>
      <c r="AK23" s="4" t="e">
        <f t="shared" ca="1" si="11"/>
        <v>#DIV/0!</v>
      </c>
      <c r="AM23" s="563">
        <f t="shared" ca="1" si="12"/>
        <v>45921</v>
      </c>
      <c r="AN23" s="564">
        <v>113.25</v>
      </c>
      <c r="AO23" s="564">
        <v>700776</v>
      </c>
      <c r="AP23" s="564">
        <v>48497.476999999999</v>
      </c>
      <c r="AQ23" s="564">
        <v>5492339.2702500001</v>
      </c>
      <c r="AR23" s="564">
        <v>1.2946</v>
      </c>
    </row>
    <row r="24" spans="2:44">
      <c r="B24" s="565">
        <f t="shared" ca="1" si="13"/>
        <v>45807</v>
      </c>
      <c r="C24" s="561">
        <f ca="1">(IFERROR(IFERROR(VALUE(_xll.BDH(C$4,"CURRENT_EV_TO_T12M_EBITDA",$B24,$B24)),VALUE(_xll.BDH(C$4,"CURRENT_EV_TO_T12M_EBITDA",$B24+1,$B24+1))),C25))</f>
        <v>0</v>
      </c>
      <c r="D24" s="561">
        <f ca="1">(IFERROR(IFERROR(VALUE(_xll.BDH(D$4,"CURRENT_EV_TO_T12M_EBITDA",$B24,$B24)),VALUE(_xll.BDH(D$4,"CURRENT_EV_TO_T12M_EBITDA",$B24+1,$B24+1))),D25))</f>
        <v>0</v>
      </c>
      <c r="E24" s="561">
        <f ca="1">(IFERROR(IFERROR(VALUE(_xll.BDH(E$4,"CURRENT_EV_TO_T12M_EBITDA",$B24,$B24)),VALUE(_xll.BDH(E$4,"CURRENT_EV_TO_T12M_EBITDA",$B24+1,$B24+1))),E25))</f>
        <v>0</v>
      </c>
      <c r="F24" s="561">
        <f ca="1">(IFERROR(IFERROR(VALUE(_xll.BDH(F$4,"CURRENT_EV_TO_T12M_EBITDA",$B24,$B24)),VALUE(_xll.BDH(F$4,"CURRENT_EV_TO_T12M_EBITDA",$B24+1,$B24+1))),F25))</f>
        <v>0</v>
      </c>
      <c r="G24" s="561">
        <f ca="1">(IFERROR(IFERROR(VALUE(_xll.BDH(G$4,"CURRENT_EV_TO_T12M_EBITDA",$B24,$B24)),VALUE(_xll.BDH(G$4,"CURRENT_EV_TO_T12M_EBITDA",$B24+1,$B24+1))),G25))</f>
        <v>0</v>
      </c>
      <c r="H24" s="561">
        <f ca="1">(IFERROR(IFERROR(VALUE(_xll.BDH(H$4,"CURRENT_EV_TO_T12M_EBITDA",$B24,$B24)),VALUE(_xll.BDH(H$4,"CURRENT_EV_TO_T12M_EBITDA",$B24+1,$B24+1))),H25))</f>
        <v>0</v>
      </c>
      <c r="I24" s="565">
        <f t="shared" ca="1" si="3"/>
        <v>45807</v>
      </c>
      <c r="J24" s="561">
        <f ca="1">(IFERROR(IFERROR(VALUE(_xll.BDH(J$4,"PE_RATIO",$B24,$B24)),VALUE(_xll.BDH(J$4,"PE_RATIO",$B24+1,$B24+1))),J25))</f>
        <v>0</v>
      </c>
      <c r="K24" s="561">
        <f ca="1">(IFERROR(IFERROR(VALUE(_xll.BDH(K$4,"PE_RATIO",$B24,$B24)),VALUE(_xll.BDH(K$4,"PE_RATIO",$B24+1,$B24+1))),K25))</f>
        <v>0</v>
      </c>
      <c r="L24" s="561">
        <f ca="1">(IFERROR(IFERROR(VALUE(_xll.BDH(L$4,"PE_RATIO",$B24,$B24)),VALUE(_xll.BDH(L$4,"PE_RATIO",$B24+1,$B24+1))),L25))</f>
        <v>0</v>
      </c>
      <c r="M24" s="561">
        <f ca="1">(IFERROR(IFERROR(VALUE(_xll.BDH(M$4,"PE_RATIO",$B24,$B24)),VALUE(_xll.BDH(M$4,"PE_RATIO",$B24+1,$B24+1))),M25))</f>
        <v>0</v>
      </c>
      <c r="N24" s="561">
        <f ca="1">(IFERROR(IFERROR(VALUE(_xll.BDH(N$4,"PE_RATIO",$B24,$B24)),VALUE(_xll.BDH(N$4,"PE_RATIO",$B24+1,$B24+1))),N25))</f>
        <v>0</v>
      </c>
      <c r="O24" s="561">
        <f ca="1">(IFERROR(IFERROR(VALUE(_xll.BDH(O$4,"PE_RATIO",$B24,$B24)),VALUE(_xll.BDH(O$4,"PE_RATIO",$B24+1,$B24+1))),O25))</f>
        <v>0</v>
      </c>
      <c r="P24" s="561"/>
      <c r="Q24" s="565">
        <f t="shared" ca="1" si="4"/>
        <v>45807</v>
      </c>
      <c r="R24" s="4">
        <v>96.84</v>
      </c>
      <c r="S24" s="4">
        <v>5560.83</v>
      </c>
      <c r="T24" s="4">
        <v>368.98399999999998</v>
      </c>
      <c r="U24" s="4">
        <v>1.5998678341318355</v>
      </c>
      <c r="V24" s="4">
        <v>1.5246470667262544</v>
      </c>
      <c r="W24" s="4" t="e">
        <v>#DIV/0!</v>
      </c>
      <c r="Y24" s="561">
        <f t="shared" si="5"/>
        <v>96.84</v>
      </c>
      <c r="Z24" s="4">
        <f ca="1">IFERROR(VALUE(_xll.BDH(Z$4,"PX_LAST",$Q24,$Q24)),Z25)</f>
        <v>0</v>
      </c>
      <c r="AA24" s="4">
        <f ca="1">IFERROR(VALUE(_xll.BDH(AA$4,"PX_LAST",$Q24,$Q24)),AA25)</f>
        <v>0</v>
      </c>
      <c r="AB24" s="4">
        <f ca="1">IFERROR(VALUE(_xll.BDH(AB$4,"PX_LAST",$Q24,$Q24)),AB25)</f>
        <v>0</v>
      </c>
      <c r="AC24" s="4">
        <f ca="1">IFERROR(VALUE(_xll.BDH(AC$4,"PX_LAST",$Q24,$Q24)),AC25)</f>
        <v>0</v>
      </c>
      <c r="AD24" s="4">
        <f ca="1">IFERROR(VALUE(_xll.BDH(AD$4,"PX_LAST",$Q24,$Q24)),AD25)</f>
        <v>0</v>
      </c>
      <c r="AF24" s="4">
        <f t="shared" si="6"/>
        <v>1.5998678341318355</v>
      </c>
      <c r="AG24" s="4" t="e">
        <f t="shared" ca="1" si="7"/>
        <v>#DIV/0!</v>
      </c>
      <c r="AH24" s="4" t="e">
        <f t="shared" ca="1" si="8"/>
        <v>#DIV/0!</v>
      </c>
      <c r="AI24" s="4" t="e">
        <f t="shared" ca="1" si="9"/>
        <v>#DIV/0!</v>
      </c>
      <c r="AJ24" s="4" t="e">
        <f t="shared" ca="1" si="10"/>
        <v>#DIV/0!</v>
      </c>
      <c r="AK24" s="4" t="e">
        <f t="shared" ca="1" si="11"/>
        <v>#DIV/0!</v>
      </c>
      <c r="AM24" s="563">
        <f t="shared" ca="1" si="12"/>
        <v>45920</v>
      </c>
      <c r="AN24" s="564">
        <v>114.2</v>
      </c>
      <c r="AO24" s="564">
        <v>803294</v>
      </c>
      <c r="AP24" s="564">
        <v>48497.476999999999</v>
      </c>
      <c r="AQ24" s="564">
        <v>5538411.8733999999</v>
      </c>
      <c r="AR24" s="564">
        <v>1.3055000000000001</v>
      </c>
    </row>
    <row r="25" spans="2:44">
      <c r="B25" s="565">
        <f t="shared" ca="1" si="13"/>
        <v>45800</v>
      </c>
      <c r="C25" s="561">
        <f ca="1">(IFERROR(IFERROR(VALUE(_xll.BDH(C$4,"CURRENT_EV_TO_T12M_EBITDA",$B25,$B25)),VALUE(_xll.BDH(C$4,"CURRENT_EV_TO_T12M_EBITDA",$B25+1,$B25+1))),C26))</f>
        <v>0</v>
      </c>
      <c r="D25" s="561">
        <f ca="1">(IFERROR(IFERROR(VALUE(_xll.BDH(D$4,"CURRENT_EV_TO_T12M_EBITDA",$B25,$B25)),VALUE(_xll.BDH(D$4,"CURRENT_EV_TO_T12M_EBITDA",$B25+1,$B25+1))),D26))</f>
        <v>0</v>
      </c>
      <c r="E25" s="561">
        <f ca="1">(IFERROR(IFERROR(VALUE(_xll.BDH(E$4,"CURRENT_EV_TO_T12M_EBITDA",$B25,$B25)),VALUE(_xll.BDH(E$4,"CURRENT_EV_TO_T12M_EBITDA",$B25+1,$B25+1))),E26))</f>
        <v>0</v>
      </c>
      <c r="F25" s="561">
        <f ca="1">(IFERROR(IFERROR(VALUE(_xll.BDH(F$4,"CURRENT_EV_TO_T12M_EBITDA",$B25,$B25)),VALUE(_xll.BDH(F$4,"CURRENT_EV_TO_T12M_EBITDA",$B25+1,$B25+1))),F26))</f>
        <v>0</v>
      </c>
      <c r="G25" s="561">
        <f ca="1">(IFERROR(IFERROR(VALUE(_xll.BDH(G$4,"CURRENT_EV_TO_T12M_EBITDA",$B25,$B25)),VALUE(_xll.BDH(G$4,"CURRENT_EV_TO_T12M_EBITDA",$B25+1,$B25+1))),G26))</f>
        <v>0</v>
      </c>
      <c r="H25" s="561">
        <f ca="1">(IFERROR(IFERROR(VALUE(_xll.BDH(H$4,"CURRENT_EV_TO_T12M_EBITDA",$B25,$B25)),VALUE(_xll.BDH(H$4,"CURRENT_EV_TO_T12M_EBITDA",$B25+1,$B25+1))),H26))</f>
        <v>0</v>
      </c>
      <c r="I25" s="565">
        <f t="shared" ca="1" si="3"/>
        <v>45800</v>
      </c>
      <c r="J25" s="561">
        <f ca="1">(IFERROR(IFERROR(VALUE(_xll.BDH(J$4,"PE_RATIO",$B25,$B25)),VALUE(_xll.BDH(J$4,"PE_RATIO",$B25+1,$B25+1))),J26))</f>
        <v>0</v>
      </c>
      <c r="K25" s="561">
        <f ca="1">(IFERROR(IFERROR(VALUE(_xll.BDH(K$4,"PE_RATIO",$B25,$B25)),VALUE(_xll.BDH(K$4,"PE_RATIO",$B25+1,$B25+1))),K26))</f>
        <v>0</v>
      </c>
      <c r="L25" s="561">
        <f ca="1">(IFERROR(IFERROR(VALUE(_xll.BDH(L$4,"PE_RATIO",$B25,$B25)),VALUE(_xll.BDH(L$4,"PE_RATIO",$B25+1,$B25+1))),L26))</f>
        <v>0</v>
      </c>
      <c r="M25" s="561">
        <f ca="1">(IFERROR(IFERROR(VALUE(_xll.BDH(M$4,"PE_RATIO",$B25,$B25)),VALUE(_xll.BDH(M$4,"PE_RATIO",$B25+1,$B25+1))),M26))</f>
        <v>0</v>
      </c>
      <c r="N25" s="561">
        <f ca="1">(IFERROR(IFERROR(VALUE(_xll.BDH(N$4,"PE_RATIO",$B25,$B25)),VALUE(_xll.BDH(N$4,"PE_RATIO",$B25+1,$B25+1))),N26))</f>
        <v>0</v>
      </c>
      <c r="O25" s="561">
        <f ca="1">(IFERROR(IFERROR(VALUE(_xll.BDH(O$4,"PE_RATIO",$B25,$B25)),VALUE(_xll.BDH(O$4,"PE_RATIO",$B25+1,$B25+1))),O26))</f>
        <v>0</v>
      </c>
      <c r="P25" s="561"/>
      <c r="Q25" s="565">
        <f t="shared" ca="1" si="4"/>
        <v>45800</v>
      </c>
      <c r="R25" s="4">
        <v>93.1</v>
      </c>
      <c r="S25" s="4">
        <v>5287.76</v>
      </c>
      <c r="T25" s="4">
        <v>368.98399999999998</v>
      </c>
      <c r="U25" s="4">
        <v>1.5380802907649098</v>
      </c>
      <c r="V25" s="4">
        <v>1.4497777802148994</v>
      </c>
      <c r="W25" s="4" t="e">
        <v>#DIV/0!</v>
      </c>
      <c r="Y25" s="561">
        <f t="shared" si="5"/>
        <v>93.1</v>
      </c>
      <c r="Z25" s="4">
        <f ca="1">IFERROR(VALUE(_xll.BDH(Z$4,"PX_LAST",$Q25,$Q25)),Z26)</f>
        <v>0</v>
      </c>
      <c r="AA25" s="4">
        <f ca="1">IFERROR(VALUE(_xll.BDH(AA$4,"PX_LAST",$Q25,$Q25)),AA26)</f>
        <v>0</v>
      </c>
      <c r="AB25" s="4">
        <f ca="1">IFERROR(VALUE(_xll.BDH(AB$4,"PX_LAST",$Q25,$Q25)),AB26)</f>
        <v>0</v>
      </c>
      <c r="AC25" s="4">
        <f ca="1">IFERROR(VALUE(_xll.BDH(AC$4,"PX_LAST",$Q25,$Q25)),AC26)</f>
        <v>0</v>
      </c>
      <c r="AD25" s="4">
        <f ca="1">IFERROR(VALUE(_xll.BDH(AD$4,"PX_LAST",$Q25,$Q25)),AD26)</f>
        <v>0</v>
      </c>
      <c r="AF25" s="4">
        <f t="shared" si="6"/>
        <v>1.5380802907649098</v>
      </c>
      <c r="AG25" s="4" t="e">
        <f t="shared" ca="1" si="7"/>
        <v>#DIV/0!</v>
      </c>
      <c r="AH25" s="4" t="e">
        <f t="shared" ca="1" si="8"/>
        <v>#DIV/0!</v>
      </c>
      <c r="AI25" s="4" t="e">
        <f t="shared" ca="1" si="9"/>
        <v>#DIV/0!</v>
      </c>
      <c r="AJ25" s="4" t="e">
        <f t="shared" ca="1" si="10"/>
        <v>#DIV/0!</v>
      </c>
      <c r="AK25" s="4" t="e">
        <f t="shared" ca="1" si="11"/>
        <v>#DIV/0!</v>
      </c>
      <c r="AM25" s="563">
        <f t="shared" ca="1" si="12"/>
        <v>45919</v>
      </c>
      <c r="AN25" s="564">
        <v>110.06</v>
      </c>
      <c r="AO25" s="564">
        <v>558742</v>
      </c>
      <c r="AP25" s="564">
        <v>48497.476999999999</v>
      </c>
      <c r="AQ25" s="564">
        <v>5337632.31862</v>
      </c>
      <c r="AR25" s="564">
        <v>1.2582</v>
      </c>
    </row>
    <row r="26" spans="2:44">
      <c r="B26" s="565">
        <f t="shared" ca="1" si="13"/>
        <v>45793</v>
      </c>
      <c r="C26" s="561">
        <f ca="1">(IFERROR(IFERROR(VALUE(_xll.BDH(C$4,"CURRENT_EV_TO_T12M_EBITDA",$B26,$B26)),VALUE(_xll.BDH(C$4,"CURRENT_EV_TO_T12M_EBITDA",$B26+1,$B26+1))),C27))</f>
        <v>0</v>
      </c>
      <c r="D26" s="561">
        <f ca="1">(IFERROR(IFERROR(VALUE(_xll.BDH(D$4,"CURRENT_EV_TO_T12M_EBITDA",$B26,$B26)),VALUE(_xll.BDH(D$4,"CURRENT_EV_TO_T12M_EBITDA",$B26+1,$B26+1))),D27))</f>
        <v>0</v>
      </c>
      <c r="E26" s="561">
        <f ca="1">(IFERROR(IFERROR(VALUE(_xll.BDH(E$4,"CURRENT_EV_TO_T12M_EBITDA",$B26,$B26)),VALUE(_xll.BDH(E$4,"CURRENT_EV_TO_T12M_EBITDA",$B26+1,$B26+1))),E27))</f>
        <v>0</v>
      </c>
      <c r="F26" s="561">
        <f ca="1">(IFERROR(IFERROR(VALUE(_xll.BDH(F$4,"CURRENT_EV_TO_T12M_EBITDA",$B26,$B26)),VALUE(_xll.BDH(F$4,"CURRENT_EV_TO_T12M_EBITDA",$B26+1,$B26+1))),F27))</f>
        <v>0</v>
      </c>
      <c r="G26" s="561">
        <f ca="1">(IFERROR(IFERROR(VALUE(_xll.BDH(G$4,"CURRENT_EV_TO_T12M_EBITDA",$B26,$B26)),VALUE(_xll.BDH(G$4,"CURRENT_EV_TO_T12M_EBITDA",$B26+1,$B26+1))),G27))</f>
        <v>0</v>
      </c>
      <c r="H26" s="561">
        <f ca="1">(IFERROR(IFERROR(VALUE(_xll.BDH(H$4,"CURRENT_EV_TO_T12M_EBITDA",$B26,$B26)),VALUE(_xll.BDH(H$4,"CURRENT_EV_TO_T12M_EBITDA",$B26+1,$B26+1))),H27))</f>
        <v>0</v>
      </c>
      <c r="I26" s="565">
        <f t="shared" ca="1" si="3"/>
        <v>45793</v>
      </c>
      <c r="J26" s="561">
        <f ca="1">(IFERROR(IFERROR(VALUE(_xll.BDH(J$4,"PE_RATIO",$B26,$B26)),VALUE(_xll.BDH(J$4,"PE_RATIO",$B26+1,$B26+1))),J27))</f>
        <v>0</v>
      </c>
      <c r="K26" s="561">
        <f ca="1">(IFERROR(IFERROR(VALUE(_xll.BDH(K$4,"PE_RATIO",$B26,$B26)),VALUE(_xll.BDH(K$4,"PE_RATIO",$B26+1,$B26+1))),K27))</f>
        <v>0</v>
      </c>
      <c r="L26" s="561">
        <f ca="1">(IFERROR(IFERROR(VALUE(_xll.BDH(L$4,"PE_RATIO",$B26,$B26)),VALUE(_xll.BDH(L$4,"PE_RATIO",$B26+1,$B26+1))),L27))</f>
        <v>0</v>
      </c>
      <c r="M26" s="561">
        <f ca="1">(IFERROR(IFERROR(VALUE(_xll.BDH(M$4,"PE_RATIO",$B26,$B26)),VALUE(_xll.BDH(M$4,"PE_RATIO",$B26+1,$B26+1))),M27))</f>
        <v>0</v>
      </c>
      <c r="N26" s="561">
        <f ca="1">(IFERROR(IFERROR(VALUE(_xll.BDH(N$4,"PE_RATIO",$B26,$B26)),VALUE(_xll.BDH(N$4,"PE_RATIO",$B26+1,$B26+1))),N27))</f>
        <v>0</v>
      </c>
      <c r="O26" s="561">
        <f ca="1">(IFERROR(IFERROR(VALUE(_xll.BDH(O$4,"PE_RATIO",$B26,$B26)),VALUE(_xll.BDH(O$4,"PE_RATIO",$B26+1,$B26+1))),O27))</f>
        <v>0</v>
      </c>
      <c r="P26" s="561"/>
      <c r="Q26" s="565">
        <f t="shared" ca="1" si="4"/>
        <v>45793</v>
      </c>
      <c r="R26" s="4">
        <v>96.55</v>
      </c>
      <c r="S26" s="4">
        <v>5396.63</v>
      </c>
      <c r="T26" s="4">
        <v>368.98399999999998</v>
      </c>
      <c r="U26" s="4">
        <v>1.5950768214108706</v>
      </c>
      <c r="V26" s="4">
        <v>1.4796273397508837</v>
      </c>
      <c r="W26" s="4" t="e">
        <v>#DIV/0!</v>
      </c>
      <c r="Y26" s="561">
        <f t="shared" si="5"/>
        <v>96.55</v>
      </c>
      <c r="Z26" s="4">
        <f ca="1">IFERROR(VALUE(_xll.BDH(Z$4,"PX_LAST",$Q26,$Q26)),Z27)</f>
        <v>0</v>
      </c>
      <c r="AA26" s="4">
        <f ca="1">IFERROR(VALUE(_xll.BDH(AA$4,"PX_LAST",$Q26,$Q26)),AA27)</f>
        <v>0</v>
      </c>
      <c r="AB26" s="4">
        <f ca="1">IFERROR(VALUE(_xll.BDH(AB$4,"PX_LAST",$Q26,$Q26)),AB27)</f>
        <v>0</v>
      </c>
      <c r="AC26" s="4">
        <f ca="1">IFERROR(VALUE(_xll.BDH(AC$4,"PX_LAST",$Q26,$Q26)),AC27)</f>
        <v>0</v>
      </c>
      <c r="AD26" s="4">
        <f ca="1">IFERROR(VALUE(_xll.BDH(AD$4,"PX_LAST",$Q26,$Q26)),AD27)</f>
        <v>0</v>
      </c>
      <c r="AF26" s="4">
        <f t="shared" si="6"/>
        <v>1.5950768214108706</v>
      </c>
      <c r="AG26" s="4" t="e">
        <f t="shared" ca="1" si="7"/>
        <v>#DIV/0!</v>
      </c>
      <c r="AH26" s="4" t="e">
        <f t="shared" ca="1" si="8"/>
        <v>#DIV/0!</v>
      </c>
      <c r="AI26" s="4" t="e">
        <f t="shared" ca="1" si="9"/>
        <v>#DIV/0!</v>
      </c>
      <c r="AJ26" s="4" t="e">
        <f t="shared" ca="1" si="10"/>
        <v>#DIV/0!</v>
      </c>
      <c r="AK26" s="4" t="e">
        <f t="shared" ca="1" si="11"/>
        <v>#DIV/0!</v>
      </c>
      <c r="AM26" s="563">
        <f t="shared" ca="1" si="12"/>
        <v>45918</v>
      </c>
      <c r="AN26" s="564">
        <v>108.9</v>
      </c>
      <c r="AO26" s="564">
        <v>832727</v>
      </c>
      <c r="AP26" s="564">
        <v>48497.476999999999</v>
      </c>
      <c r="AQ26" s="564">
        <v>5281375.2453000005</v>
      </c>
      <c r="AR26" s="564">
        <v>1.2448999999999999</v>
      </c>
    </row>
    <row r="27" spans="2:44">
      <c r="B27" s="565">
        <f t="shared" ca="1" si="13"/>
        <v>45786</v>
      </c>
      <c r="C27" s="561">
        <f ca="1">(IFERROR(IFERROR(VALUE(_xll.BDH(C$4,"CURRENT_EV_TO_T12M_EBITDA",$B27,$B27)),VALUE(_xll.BDH(C$4,"CURRENT_EV_TO_T12M_EBITDA",$B27+1,$B27+1))),C28))</f>
        <v>0</v>
      </c>
      <c r="D27" s="561">
        <f ca="1">(IFERROR(IFERROR(VALUE(_xll.BDH(D$4,"CURRENT_EV_TO_T12M_EBITDA",$B27,$B27)),VALUE(_xll.BDH(D$4,"CURRENT_EV_TO_T12M_EBITDA",$B27+1,$B27+1))),D28))</f>
        <v>0</v>
      </c>
      <c r="E27" s="561">
        <f ca="1">(IFERROR(IFERROR(VALUE(_xll.BDH(E$4,"CURRENT_EV_TO_T12M_EBITDA",$B27,$B27)),VALUE(_xll.BDH(E$4,"CURRENT_EV_TO_T12M_EBITDA",$B27+1,$B27+1))),E28))</f>
        <v>0</v>
      </c>
      <c r="F27" s="561">
        <f ca="1">(IFERROR(IFERROR(VALUE(_xll.BDH(F$4,"CURRENT_EV_TO_T12M_EBITDA",$B27,$B27)),VALUE(_xll.BDH(F$4,"CURRENT_EV_TO_T12M_EBITDA",$B27+1,$B27+1))),F28))</f>
        <v>0</v>
      </c>
      <c r="G27" s="561">
        <f ca="1">(IFERROR(IFERROR(VALUE(_xll.BDH(G$4,"CURRENT_EV_TO_T12M_EBITDA",$B27,$B27)),VALUE(_xll.BDH(G$4,"CURRENT_EV_TO_T12M_EBITDA",$B27+1,$B27+1))),G28))</f>
        <v>0</v>
      </c>
      <c r="H27" s="561">
        <f ca="1">(IFERROR(IFERROR(VALUE(_xll.BDH(H$4,"CURRENT_EV_TO_T12M_EBITDA",$B27,$B27)),VALUE(_xll.BDH(H$4,"CURRENT_EV_TO_T12M_EBITDA",$B27+1,$B27+1))),H28))</f>
        <v>0</v>
      </c>
      <c r="I27" s="565">
        <f t="shared" ca="1" si="3"/>
        <v>45786</v>
      </c>
      <c r="J27" s="561">
        <f ca="1">(IFERROR(IFERROR(VALUE(_xll.BDH(J$4,"PE_RATIO",$B27,$B27)),VALUE(_xll.BDH(J$4,"PE_RATIO",$B27+1,$B27+1))),J28))</f>
        <v>0</v>
      </c>
      <c r="K27" s="561">
        <f ca="1">(IFERROR(IFERROR(VALUE(_xll.BDH(K$4,"PE_RATIO",$B27,$B27)),VALUE(_xll.BDH(K$4,"PE_RATIO",$B27+1,$B27+1))),K28))</f>
        <v>0</v>
      </c>
      <c r="L27" s="561">
        <f ca="1">(IFERROR(IFERROR(VALUE(_xll.BDH(L$4,"PE_RATIO",$B27,$B27)),VALUE(_xll.BDH(L$4,"PE_RATIO",$B27+1,$B27+1))),L28))</f>
        <v>0</v>
      </c>
      <c r="M27" s="561">
        <f ca="1">(IFERROR(IFERROR(VALUE(_xll.BDH(M$4,"PE_RATIO",$B27,$B27)),VALUE(_xll.BDH(M$4,"PE_RATIO",$B27+1,$B27+1))),M28))</f>
        <v>0</v>
      </c>
      <c r="N27" s="561">
        <f ca="1">(IFERROR(IFERROR(VALUE(_xll.BDH(N$4,"PE_RATIO",$B27,$B27)),VALUE(_xll.BDH(N$4,"PE_RATIO",$B27+1,$B27+1))),N28))</f>
        <v>0</v>
      </c>
      <c r="O27" s="561">
        <f ca="1">(IFERROR(IFERROR(VALUE(_xll.BDH(O$4,"PE_RATIO",$B27,$B27)),VALUE(_xll.BDH(O$4,"PE_RATIO",$B27+1,$B27+1))),O28))</f>
        <v>0</v>
      </c>
      <c r="P27" s="561"/>
      <c r="Q27" s="565">
        <f t="shared" ca="1" si="4"/>
        <v>45786</v>
      </c>
      <c r="R27" s="4">
        <v>90.33</v>
      </c>
      <c r="S27" s="4">
        <v>4982.7700000000004</v>
      </c>
      <c r="T27" s="4">
        <v>368.98399999999998</v>
      </c>
      <c r="U27" s="4">
        <v>1.4923178589129358</v>
      </c>
      <c r="V27" s="4">
        <v>1.3661567903840934</v>
      </c>
      <c r="W27" s="4" t="e">
        <v>#DIV/0!</v>
      </c>
      <c r="Y27" s="561">
        <f t="shared" si="5"/>
        <v>90.33</v>
      </c>
      <c r="Z27" s="4">
        <f ca="1">IFERROR(VALUE(_xll.BDH(Z$4,"PX_LAST",$Q27,$Q27)),Z28)</f>
        <v>0</v>
      </c>
      <c r="AA27" s="4">
        <f ca="1">IFERROR(VALUE(_xll.BDH(AA$4,"PX_LAST",$Q27,$Q27)),AA28)</f>
        <v>0</v>
      </c>
      <c r="AB27" s="4">
        <f ca="1">IFERROR(VALUE(_xll.BDH(AB$4,"PX_LAST",$Q27,$Q27)),AB28)</f>
        <v>0</v>
      </c>
      <c r="AC27" s="4">
        <f ca="1">IFERROR(VALUE(_xll.BDH(AC$4,"PX_LAST",$Q27,$Q27)),AC28)</f>
        <v>0</v>
      </c>
      <c r="AD27" s="4">
        <f ca="1">IFERROR(VALUE(_xll.BDH(AD$4,"PX_LAST",$Q27,$Q27)),AD28)</f>
        <v>0</v>
      </c>
      <c r="AF27" s="4">
        <f t="shared" si="6"/>
        <v>1.4923178589129358</v>
      </c>
      <c r="AG27" s="4" t="e">
        <f t="shared" ca="1" si="7"/>
        <v>#DIV/0!</v>
      </c>
      <c r="AH27" s="4" t="e">
        <f t="shared" ca="1" si="8"/>
        <v>#DIV/0!</v>
      </c>
      <c r="AI27" s="4" t="e">
        <f t="shared" ca="1" si="9"/>
        <v>#DIV/0!</v>
      </c>
      <c r="AJ27" s="4" t="e">
        <f t="shared" ca="1" si="10"/>
        <v>#DIV/0!</v>
      </c>
      <c r="AK27" s="4" t="e">
        <f t="shared" ca="1" si="11"/>
        <v>#DIV/0!</v>
      </c>
      <c r="AM27" s="563">
        <f t="shared" ca="1" si="12"/>
        <v>45917</v>
      </c>
      <c r="AN27" s="564">
        <v>110.65</v>
      </c>
      <c r="AO27" s="564">
        <v>1086165</v>
      </c>
      <c r="AP27" s="564">
        <v>48497.476999999999</v>
      </c>
      <c r="AQ27" s="564">
        <v>5366245.83005</v>
      </c>
      <c r="AR27" s="564">
        <v>1.2648999999999999</v>
      </c>
    </row>
    <row r="28" spans="2:44">
      <c r="B28" s="565">
        <f t="shared" ca="1" si="13"/>
        <v>45779</v>
      </c>
      <c r="C28" s="561">
        <f ca="1">(IFERROR(IFERROR(VALUE(_xll.BDH(C$4,"CURRENT_EV_TO_T12M_EBITDA",$B28,$B28)),VALUE(_xll.BDH(C$4,"CURRENT_EV_TO_T12M_EBITDA",$B28+1,$B28+1))),C29))</f>
        <v>0</v>
      </c>
      <c r="D28" s="561">
        <f ca="1">(IFERROR(IFERROR(VALUE(_xll.BDH(D$4,"CURRENT_EV_TO_T12M_EBITDA",$B28,$B28)),VALUE(_xll.BDH(D$4,"CURRENT_EV_TO_T12M_EBITDA",$B28+1,$B28+1))),D29))</f>
        <v>0</v>
      </c>
      <c r="E28" s="561">
        <f ca="1">(IFERROR(IFERROR(VALUE(_xll.BDH(E$4,"CURRENT_EV_TO_T12M_EBITDA",$B28,$B28)),VALUE(_xll.BDH(E$4,"CURRENT_EV_TO_T12M_EBITDA",$B28+1,$B28+1))),E29))</f>
        <v>0</v>
      </c>
      <c r="F28" s="561">
        <f ca="1">(IFERROR(IFERROR(VALUE(_xll.BDH(F$4,"CURRENT_EV_TO_T12M_EBITDA",$B28,$B28)),VALUE(_xll.BDH(F$4,"CURRENT_EV_TO_T12M_EBITDA",$B28+1,$B28+1))),F29))</f>
        <v>0</v>
      </c>
      <c r="G28" s="561">
        <f ca="1">(IFERROR(IFERROR(VALUE(_xll.BDH(G$4,"CURRENT_EV_TO_T12M_EBITDA",$B28,$B28)),VALUE(_xll.BDH(G$4,"CURRENT_EV_TO_T12M_EBITDA",$B28+1,$B28+1))),G29))</f>
        <v>0</v>
      </c>
      <c r="H28" s="561">
        <f ca="1">(IFERROR(IFERROR(VALUE(_xll.BDH(H$4,"CURRENT_EV_TO_T12M_EBITDA",$B28,$B28)),VALUE(_xll.BDH(H$4,"CURRENT_EV_TO_T12M_EBITDA",$B28+1,$B28+1))),H29))</f>
        <v>0</v>
      </c>
      <c r="I28" s="565">
        <f t="shared" ca="1" si="3"/>
        <v>45779</v>
      </c>
      <c r="J28" s="561">
        <f ca="1">(IFERROR(IFERROR(VALUE(_xll.BDH(J$4,"PE_RATIO",$B28,$B28)),VALUE(_xll.BDH(J$4,"PE_RATIO",$B28+1,$B28+1))),J29))</f>
        <v>0</v>
      </c>
      <c r="K28" s="561">
        <f ca="1">(IFERROR(IFERROR(VALUE(_xll.BDH(K$4,"PE_RATIO",$B28,$B28)),VALUE(_xll.BDH(K$4,"PE_RATIO",$B28+1,$B28+1))),K29))</f>
        <v>0</v>
      </c>
      <c r="L28" s="561">
        <f ca="1">(IFERROR(IFERROR(VALUE(_xll.BDH(L$4,"PE_RATIO",$B28,$B28)),VALUE(_xll.BDH(L$4,"PE_RATIO",$B28+1,$B28+1))),L29))</f>
        <v>0</v>
      </c>
      <c r="M28" s="561">
        <f ca="1">(IFERROR(IFERROR(VALUE(_xll.BDH(M$4,"PE_RATIO",$B28,$B28)),VALUE(_xll.BDH(M$4,"PE_RATIO",$B28+1,$B28+1))),M29))</f>
        <v>0</v>
      </c>
      <c r="N28" s="561">
        <f ca="1">(IFERROR(IFERROR(VALUE(_xll.BDH(N$4,"PE_RATIO",$B28,$B28)),VALUE(_xll.BDH(N$4,"PE_RATIO",$B28+1,$B28+1))),N29))</f>
        <v>0</v>
      </c>
      <c r="O28" s="561">
        <f ca="1">(IFERROR(IFERROR(VALUE(_xll.BDH(O$4,"PE_RATIO",$B28,$B28)),VALUE(_xll.BDH(O$4,"PE_RATIO",$B28+1,$B28+1))),O29))</f>
        <v>0</v>
      </c>
      <c r="P28" s="561"/>
      <c r="Q28" s="565">
        <f t="shared" ca="1" si="4"/>
        <v>45779</v>
      </c>
      <c r="R28" s="4">
        <v>91.4</v>
      </c>
      <c r="S28" s="4">
        <v>5633.07</v>
      </c>
      <c r="T28" s="4">
        <v>368.98399999999998</v>
      </c>
      <c r="U28" s="4">
        <v>1.5099950437799439</v>
      </c>
      <c r="V28" s="4">
        <v>1.5444535531860641</v>
      </c>
      <c r="W28" s="4" t="e">
        <v>#DIV/0!</v>
      </c>
      <c r="Y28" s="561">
        <f t="shared" si="5"/>
        <v>91.4</v>
      </c>
      <c r="Z28" s="4">
        <f ca="1">IFERROR(VALUE(_xll.BDH(Z$4,"PX_LAST",$Q28,$Q28)),Z29)</f>
        <v>0</v>
      </c>
      <c r="AA28" s="4">
        <f ca="1">IFERROR(VALUE(_xll.BDH(AA$4,"PX_LAST",$Q28,$Q28)),AA29)</f>
        <v>0</v>
      </c>
      <c r="AB28" s="4">
        <f ca="1">IFERROR(VALUE(_xll.BDH(AB$4,"PX_LAST",$Q28,$Q28)),AB29)</f>
        <v>0</v>
      </c>
      <c r="AC28" s="4">
        <f ca="1">IFERROR(VALUE(_xll.BDH(AC$4,"PX_LAST",$Q28,$Q28)),AC29)</f>
        <v>0</v>
      </c>
      <c r="AD28" s="4">
        <f ca="1">IFERROR(VALUE(_xll.BDH(AD$4,"PX_LAST",$Q28,$Q28)),AD29)</f>
        <v>0</v>
      </c>
      <c r="AF28" s="4">
        <f t="shared" si="6"/>
        <v>1.5099950437799439</v>
      </c>
      <c r="AG28" s="4" t="e">
        <f t="shared" ca="1" si="7"/>
        <v>#DIV/0!</v>
      </c>
      <c r="AH28" s="4" t="e">
        <f t="shared" ca="1" si="8"/>
        <v>#DIV/0!</v>
      </c>
      <c r="AI28" s="4" t="e">
        <f t="shared" ca="1" si="9"/>
        <v>#DIV/0!</v>
      </c>
      <c r="AJ28" s="4" t="e">
        <f t="shared" ca="1" si="10"/>
        <v>#DIV/0!</v>
      </c>
      <c r="AK28" s="4" t="e">
        <f t="shared" ca="1" si="11"/>
        <v>#DIV/0!</v>
      </c>
      <c r="AM28" s="563">
        <f t="shared" ca="1" si="12"/>
        <v>45916</v>
      </c>
      <c r="AN28" s="564">
        <v>110.65</v>
      </c>
      <c r="AO28" s="564">
        <v>1086165</v>
      </c>
      <c r="AP28" s="564">
        <v>48497.476999999999</v>
      </c>
      <c r="AQ28" s="564">
        <v>5366245.83005</v>
      </c>
      <c r="AR28" s="564">
        <v>1.2648999999999999</v>
      </c>
    </row>
    <row r="29" spans="2:44">
      <c r="B29" s="565">
        <f t="shared" ca="1" si="13"/>
        <v>45772</v>
      </c>
      <c r="C29" s="561">
        <f ca="1">(IFERROR(IFERROR(VALUE(_xll.BDH(C$4,"CURRENT_EV_TO_T12M_EBITDA",$B29,$B29)),VALUE(_xll.BDH(C$4,"CURRENT_EV_TO_T12M_EBITDA",$B29+1,$B29+1))),C30))</f>
        <v>0</v>
      </c>
      <c r="D29" s="561">
        <f ca="1">(IFERROR(IFERROR(VALUE(_xll.BDH(D$4,"CURRENT_EV_TO_T12M_EBITDA",$B29,$B29)),VALUE(_xll.BDH(D$4,"CURRENT_EV_TO_T12M_EBITDA",$B29+1,$B29+1))),D30))</f>
        <v>0</v>
      </c>
      <c r="E29" s="561">
        <f ca="1">(IFERROR(IFERROR(VALUE(_xll.BDH(E$4,"CURRENT_EV_TO_T12M_EBITDA",$B29,$B29)),VALUE(_xll.BDH(E$4,"CURRENT_EV_TO_T12M_EBITDA",$B29+1,$B29+1))),E30))</f>
        <v>0</v>
      </c>
      <c r="F29" s="561">
        <f ca="1">(IFERROR(IFERROR(VALUE(_xll.BDH(F$4,"CURRENT_EV_TO_T12M_EBITDA",$B29,$B29)),VALUE(_xll.BDH(F$4,"CURRENT_EV_TO_T12M_EBITDA",$B29+1,$B29+1))),F30))</f>
        <v>0</v>
      </c>
      <c r="G29" s="561">
        <f ca="1">(IFERROR(IFERROR(VALUE(_xll.BDH(G$4,"CURRENT_EV_TO_T12M_EBITDA",$B29,$B29)),VALUE(_xll.BDH(G$4,"CURRENT_EV_TO_T12M_EBITDA",$B29+1,$B29+1))),G30))</f>
        <v>0</v>
      </c>
      <c r="H29" s="561">
        <f ca="1">(IFERROR(IFERROR(VALUE(_xll.BDH(H$4,"CURRENT_EV_TO_T12M_EBITDA",$B29,$B29)),VALUE(_xll.BDH(H$4,"CURRENT_EV_TO_T12M_EBITDA",$B29+1,$B29+1))),H30))</f>
        <v>0</v>
      </c>
      <c r="I29" s="565">
        <f t="shared" ca="1" si="3"/>
        <v>45772</v>
      </c>
      <c r="J29" s="561">
        <f ca="1">(IFERROR(IFERROR(VALUE(_xll.BDH(J$4,"PE_RATIO",$B29,$B29)),VALUE(_xll.BDH(J$4,"PE_RATIO",$B29+1,$B29+1))),J30))</f>
        <v>0</v>
      </c>
      <c r="K29" s="561">
        <f ca="1">(IFERROR(IFERROR(VALUE(_xll.BDH(K$4,"PE_RATIO",$B29,$B29)),VALUE(_xll.BDH(K$4,"PE_RATIO",$B29+1,$B29+1))),K30))</f>
        <v>0</v>
      </c>
      <c r="L29" s="561">
        <f ca="1">(IFERROR(IFERROR(VALUE(_xll.BDH(L$4,"PE_RATIO",$B29,$B29)),VALUE(_xll.BDH(L$4,"PE_RATIO",$B29+1,$B29+1))),L30))</f>
        <v>0</v>
      </c>
      <c r="M29" s="561">
        <f ca="1">(IFERROR(IFERROR(VALUE(_xll.BDH(M$4,"PE_RATIO",$B29,$B29)),VALUE(_xll.BDH(M$4,"PE_RATIO",$B29+1,$B29+1))),M30))</f>
        <v>0</v>
      </c>
      <c r="N29" s="561">
        <f ca="1">(IFERROR(IFERROR(VALUE(_xll.BDH(N$4,"PE_RATIO",$B29,$B29)),VALUE(_xll.BDH(N$4,"PE_RATIO",$B29+1,$B29+1))),N30))</f>
        <v>0</v>
      </c>
      <c r="O29" s="561">
        <f ca="1">(IFERROR(IFERROR(VALUE(_xll.BDH(O$4,"PE_RATIO",$B29,$B29)),VALUE(_xll.BDH(O$4,"PE_RATIO",$B29+1,$B29+1))),O30))</f>
        <v>0</v>
      </c>
      <c r="P29" s="561"/>
      <c r="Q29" s="565">
        <f t="shared" ca="1" si="4"/>
        <v>45772</v>
      </c>
      <c r="R29" s="4">
        <v>94.03</v>
      </c>
      <c r="S29" s="4">
        <v>5776.65</v>
      </c>
      <c r="T29" s="4">
        <v>368.98399999999998</v>
      </c>
      <c r="U29" s="4">
        <v>1.5534445729390385</v>
      </c>
      <c r="V29" s="4">
        <v>1.5838197675534438</v>
      </c>
      <c r="W29" s="4" t="e">
        <v>#DIV/0!</v>
      </c>
      <c r="Y29" s="561">
        <f t="shared" si="5"/>
        <v>94.03</v>
      </c>
      <c r="Z29" s="4">
        <f ca="1">IFERROR(VALUE(_xll.BDH(Z$4,"PX_LAST",$Q29,$Q29)),Z30)</f>
        <v>0</v>
      </c>
      <c r="AA29" s="4">
        <f ca="1">IFERROR(VALUE(_xll.BDH(AA$4,"PX_LAST",$Q29,$Q29)),AA30)</f>
        <v>0</v>
      </c>
      <c r="AB29" s="4">
        <f ca="1">IFERROR(VALUE(_xll.BDH(AB$4,"PX_LAST",$Q29,$Q29)),AB30)</f>
        <v>0</v>
      </c>
      <c r="AC29" s="4">
        <f ca="1">IFERROR(VALUE(_xll.BDH(AC$4,"PX_LAST",$Q29,$Q29)),AC30)</f>
        <v>0</v>
      </c>
      <c r="AD29" s="4">
        <f ca="1">IFERROR(VALUE(_xll.BDH(AD$4,"PX_LAST",$Q29,$Q29)),AD30)</f>
        <v>0</v>
      </c>
      <c r="AF29" s="4">
        <f t="shared" si="6"/>
        <v>1.5534445729390385</v>
      </c>
      <c r="AG29" s="4" t="e">
        <f t="shared" ca="1" si="7"/>
        <v>#DIV/0!</v>
      </c>
      <c r="AH29" s="4" t="e">
        <f t="shared" ca="1" si="8"/>
        <v>#DIV/0!</v>
      </c>
      <c r="AI29" s="4" t="e">
        <f t="shared" ca="1" si="9"/>
        <v>#DIV/0!</v>
      </c>
      <c r="AJ29" s="4" t="e">
        <f t="shared" ca="1" si="10"/>
        <v>#DIV/0!</v>
      </c>
      <c r="AK29" s="4" t="e">
        <f t="shared" ca="1" si="11"/>
        <v>#DIV/0!</v>
      </c>
      <c r="AM29" s="563">
        <f t="shared" ca="1" si="12"/>
        <v>45915</v>
      </c>
      <c r="AN29" s="564">
        <v>110.65</v>
      </c>
      <c r="AO29" s="564">
        <v>1086165</v>
      </c>
      <c r="AP29" s="564">
        <v>48497.476999999999</v>
      </c>
      <c r="AQ29" s="564">
        <v>5366245.83005</v>
      </c>
      <c r="AR29" s="564">
        <v>1.2648999999999999</v>
      </c>
    </row>
    <row r="30" spans="2:44">
      <c r="B30" s="565">
        <f t="shared" ca="1" si="13"/>
        <v>45765</v>
      </c>
      <c r="C30" s="561">
        <f ca="1">(IFERROR(IFERROR(VALUE(_xll.BDH(C$4,"CURRENT_EV_TO_T12M_EBITDA",$B30,$B30)),VALUE(_xll.BDH(C$4,"CURRENT_EV_TO_T12M_EBITDA",$B30+1,$B30+1))),C31))</f>
        <v>0</v>
      </c>
      <c r="D30" s="561">
        <f ca="1">(IFERROR(IFERROR(VALUE(_xll.BDH(D$4,"CURRENT_EV_TO_T12M_EBITDA",$B30,$B30)),VALUE(_xll.BDH(D$4,"CURRENT_EV_TO_T12M_EBITDA",$B30+1,$B30+1))),D31))</f>
        <v>0</v>
      </c>
      <c r="E30" s="561">
        <f ca="1">(IFERROR(IFERROR(VALUE(_xll.BDH(E$4,"CURRENT_EV_TO_T12M_EBITDA",$B30,$B30)),VALUE(_xll.BDH(E$4,"CURRENT_EV_TO_T12M_EBITDA",$B30+1,$B30+1))),E31))</f>
        <v>0</v>
      </c>
      <c r="F30" s="561">
        <f ca="1">(IFERROR(IFERROR(VALUE(_xll.BDH(F$4,"CURRENT_EV_TO_T12M_EBITDA",$B30,$B30)),VALUE(_xll.BDH(F$4,"CURRENT_EV_TO_T12M_EBITDA",$B30+1,$B30+1))),F31))</f>
        <v>0</v>
      </c>
      <c r="G30" s="561">
        <f ca="1">(IFERROR(IFERROR(VALUE(_xll.BDH(G$4,"CURRENT_EV_TO_T12M_EBITDA",$B30,$B30)),VALUE(_xll.BDH(G$4,"CURRENT_EV_TO_T12M_EBITDA",$B30+1,$B30+1))),G31))</f>
        <v>0</v>
      </c>
      <c r="H30" s="561">
        <f ca="1">(IFERROR(IFERROR(VALUE(_xll.BDH(H$4,"CURRENT_EV_TO_T12M_EBITDA",$B30,$B30)),VALUE(_xll.BDH(H$4,"CURRENT_EV_TO_T12M_EBITDA",$B30+1,$B30+1))),H31))</f>
        <v>0</v>
      </c>
      <c r="I30" s="565">
        <f t="shared" ca="1" si="3"/>
        <v>45765</v>
      </c>
      <c r="J30" s="561">
        <f ca="1">(IFERROR(IFERROR(VALUE(_xll.BDH(J$4,"PE_RATIO",$B30,$B30)),VALUE(_xll.BDH(J$4,"PE_RATIO",$B30+1,$B30+1))),J31))</f>
        <v>0</v>
      </c>
      <c r="K30" s="561">
        <f ca="1">(IFERROR(IFERROR(VALUE(_xll.BDH(K$4,"PE_RATIO",$B30,$B30)),VALUE(_xll.BDH(K$4,"PE_RATIO",$B30+1,$B30+1))),K31))</f>
        <v>0</v>
      </c>
      <c r="L30" s="561">
        <f ca="1">(IFERROR(IFERROR(VALUE(_xll.BDH(L$4,"PE_RATIO",$B30,$B30)),VALUE(_xll.BDH(L$4,"PE_RATIO",$B30+1,$B30+1))),L31))</f>
        <v>0</v>
      </c>
      <c r="M30" s="561">
        <f ca="1">(IFERROR(IFERROR(VALUE(_xll.BDH(M$4,"PE_RATIO",$B30,$B30)),VALUE(_xll.BDH(M$4,"PE_RATIO",$B30+1,$B30+1))),M31))</f>
        <v>0</v>
      </c>
      <c r="N30" s="561">
        <f ca="1">(IFERROR(IFERROR(VALUE(_xll.BDH(N$4,"PE_RATIO",$B30,$B30)),VALUE(_xll.BDH(N$4,"PE_RATIO",$B30+1,$B30+1))),N31))</f>
        <v>0</v>
      </c>
      <c r="O30" s="561">
        <f ca="1">(IFERROR(IFERROR(VALUE(_xll.BDH(O$4,"PE_RATIO",$B30,$B30)),VALUE(_xll.BDH(O$4,"PE_RATIO",$B30+1,$B30+1))),O31))</f>
        <v>0</v>
      </c>
      <c r="P30" s="561"/>
      <c r="Q30" s="565">
        <f t="shared" ca="1" si="4"/>
        <v>45765</v>
      </c>
      <c r="R30" s="4">
        <v>87.97</v>
      </c>
      <c r="S30" s="4">
        <v>5614.66</v>
      </c>
      <c r="T30" s="4">
        <v>368.98399999999998</v>
      </c>
      <c r="U30" s="4">
        <v>1.4533289278043944</v>
      </c>
      <c r="V30" s="4">
        <v>1.5394059699119071</v>
      </c>
      <c r="W30" s="4" t="e">
        <v>#DIV/0!</v>
      </c>
      <c r="Y30" s="561">
        <f t="shared" si="5"/>
        <v>87.97</v>
      </c>
      <c r="Z30" s="4">
        <f ca="1">IFERROR(VALUE(_xll.BDH(Z$4,"PX_LAST",$Q30,$Q30)),Z31)</f>
        <v>0</v>
      </c>
      <c r="AA30" s="4">
        <f ca="1">IFERROR(VALUE(_xll.BDH(AA$4,"PX_LAST",$Q30,$Q30)),AA31)</f>
        <v>0</v>
      </c>
      <c r="AB30" s="4">
        <f ca="1">IFERROR(VALUE(_xll.BDH(AB$4,"PX_LAST",$Q30,$Q30)),AB31)</f>
        <v>0</v>
      </c>
      <c r="AC30" s="4">
        <f ca="1">IFERROR(VALUE(_xll.BDH(AC$4,"PX_LAST",$Q30,$Q30)),AC31)</f>
        <v>0</v>
      </c>
      <c r="AD30" s="4">
        <f ca="1">IFERROR(VALUE(_xll.BDH(AD$4,"PX_LAST",$Q30,$Q30)),AD31)</f>
        <v>0</v>
      </c>
      <c r="AF30" s="4">
        <f t="shared" si="6"/>
        <v>1.4533289278043944</v>
      </c>
      <c r="AG30" s="4" t="e">
        <f t="shared" ca="1" si="7"/>
        <v>#DIV/0!</v>
      </c>
      <c r="AH30" s="4" t="e">
        <f t="shared" ca="1" si="8"/>
        <v>#DIV/0!</v>
      </c>
      <c r="AI30" s="4" t="e">
        <f t="shared" ca="1" si="9"/>
        <v>#DIV/0!</v>
      </c>
      <c r="AJ30" s="4" t="e">
        <f t="shared" ca="1" si="10"/>
        <v>#DIV/0!</v>
      </c>
      <c r="AK30" s="4" t="e">
        <f t="shared" ca="1" si="11"/>
        <v>#DIV/0!</v>
      </c>
      <c r="AM30" s="563">
        <f t="shared" ca="1" si="12"/>
        <v>45914</v>
      </c>
      <c r="AN30" s="564">
        <v>107.99</v>
      </c>
      <c r="AO30" s="564">
        <v>490006</v>
      </c>
      <c r="AP30" s="564">
        <v>48497.476999999999</v>
      </c>
      <c r="AQ30" s="564">
        <v>5237242.5412299996</v>
      </c>
      <c r="AR30" s="564">
        <v>1.2344999999999999</v>
      </c>
    </row>
    <row r="31" spans="2:44">
      <c r="B31" s="565">
        <f t="shared" ca="1" si="13"/>
        <v>45758</v>
      </c>
      <c r="C31" s="561">
        <f ca="1">(IFERROR(IFERROR(VALUE(_xll.BDH(C$4,"CURRENT_EV_TO_T12M_EBITDA",$B31,$B31)),VALUE(_xll.BDH(C$4,"CURRENT_EV_TO_T12M_EBITDA",$B31+1,$B31+1))),C32))</f>
        <v>0</v>
      </c>
      <c r="D31" s="561">
        <f ca="1">(IFERROR(IFERROR(VALUE(_xll.BDH(D$4,"CURRENT_EV_TO_T12M_EBITDA",$B31,$B31)),VALUE(_xll.BDH(D$4,"CURRENT_EV_TO_T12M_EBITDA",$B31+1,$B31+1))),D32))</f>
        <v>0</v>
      </c>
      <c r="E31" s="561">
        <f ca="1">(IFERROR(IFERROR(VALUE(_xll.BDH(E$4,"CURRENT_EV_TO_T12M_EBITDA",$B31,$B31)),VALUE(_xll.BDH(E$4,"CURRENT_EV_TO_T12M_EBITDA",$B31+1,$B31+1))),E32))</f>
        <v>0</v>
      </c>
      <c r="F31" s="561">
        <f ca="1">(IFERROR(IFERROR(VALUE(_xll.BDH(F$4,"CURRENT_EV_TO_T12M_EBITDA",$B31,$B31)),VALUE(_xll.BDH(F$4,"CURRENT_EV_TO_T12M_EBITDA",$B31+1,$B31+1))),F32))</f>
        <v>0</v>
      </c>
      <c r="G31" s="561">
        <f ca="1">(IFERROR(IFERROR(VALUE(_xll.BDH(G$4,"CURRENT_EV_TO_T12M_EBITDA",$B31,$B31)),VALUE(_xll.BDH(G$4,"CURRENT_EV_TO_T12M_EBITDA",$B31+1,$B31+1))),G32))</f>
        <v>0</v>
      </c>
      <c r="H31" s="561">
        <f ca="1">(IFERROR(IFERROR(VALUE(_xll.BDH(H$4,"CURRENT_EV_TO_T12M_EBITDA",$B31,$B31)),VALUE(_xll.BDH(H$4,"CURRENT_EV_TO_T12M_EBITDA",$B31+1,$B31+1))),H32))</f>
        <v>0</v>
      </c>
      <c r="I31" s="565">
        <f t="shared" ca="1" si="3"/>
        <v>45758</v>
      </c>
      <c r="J31" s="561">
        <f ca="1">(IFERROR(IFERROR(VALUE(_xll.BDH(J$4,"PE_RATIO",$B31,$B31)),VALUE(_xll.BDH(J$4,"PE_RATIO",$B31+1,$B31+1))),J32))</f>
        <v>0</v>
      </c>
      <c r="K31" s="561">
        <f ca="1">(IFERROR(IFERROR(VALUE(_xll.BDH(K$4,"PE_RATIO",$B31,$B31)),VALUE(_xll.BDH(K$4,"PE_RATIO",$B31+1,$B31+1))),K32))</f>
        <v>0</v>
      </c>
      <c r="L31" s="561">
        <f ca="1">(IFERROR(IFERROR(VALUE(_xll.BDH(L$4,"PE_RATIO",$B31,$B31)),VALUE(_xll.BDH(L$4,"PE_RATIO",$B31+1,$B31+1))),L32))</f>
        <v>0</v>
      </c>
      <c r="M31" s="561">
        <f ca="1">(IFERROR(IFERROR(VALUE(_xll.BDH(M$4,"PE_RATIO",$B31,$B31)),VALUE(_xll.BDH(M$4,"PE_RATIO",$B31+1,$B31+1))),M32))</f>
        <v>0</v>
      </c>
      <c r="N31" s="561">
        <f ca="1">(IFERROR(IFERROR(VALUE(_xll.BDH(N$4,"PE_RATIO",$B31,$B31)),VALUE(_xll.BDH(N$4,"PE_RATIO",$B31+1,$B31+1))),N32))</f>
        <v>0</v>
      </c>
      <c r="O31" s="561">
        <f ca="1">(IFERROR(IFERROR(VALUE(_xll.BDH(O$4,"PE_RATIO",$B31,$B31)),VALUE(_xll.BDH(O$4,"PE_RATIO",$B31+1,$B31+1))),O32))</f>
        <v>0</v>
      </c>
      <c r="P31" s="561"/>
      <c r="Q31" s="565">
        <f t="shared" ca="1" si="4"/>
        <v>45758</v>
      </c>
      <c r="R31" s="4">
        <v>87.63</v>
      </c>
      <c r="S31" s="4">
        <v>5572.07</v>
      </c>
      <c r="T31" s="4">
        <v>368.98399999999998</v>
      </c>
      <c r="U31" s="4">
        <v>1.4477118784074012</v>
      </c>
      <c r="V31" s="4">
        <v>1.5277288068675645</v>
      </c>
      <c r="W31" s="4" t="e">
        <v>#DIV/0!</v>
      </c>
      <c r="Y31" s="561">
        <f t="shared" si="5"/>
        <v>87.63</v>
      </c>
      <c r="Z31" s="4">
        <f ca="1">IFERROR(VALUE(_xll.BDH(Z$4,"PX_LAST",$Q31,$Q31)),Z32)</f>
        <v>0</v>
      </c>
      <c r="AA31" s="4">
        <f ca="1">IFERROR(VALUE(_xll.BDH(AA$4,"PX_LAST",$Q31,$Q31)),AA32)</f>
        <v>0</v>
      </c>
      <c r="AB31" s="4">
        <f ca="1">IFERROR(VALUE(_xll.BDH(AB$4,"PX_LAST",$Q31,$Q31)),AB32)</f>
        <v>0</v>
      </c>
      <c r="AC31" s="4">
        <f ca="1">IFERROR(VALUE(_xll.BDH(AC$4,"PX_LAST",$Q31,$Q31)),AC32)</f>
        <v>0</v>
      </c>
      <c r="AD31" s="4">
        <f ca="1">IFERROR(VALUE(_xll.BDH(AD$4,"PX_LAST",$Q31,$Q31)),AD32)</f>
        <v>0</v>
      </c>
      <c r="AF31" s="4">
        <f t="shared" si="6"/>
        <v>1.4477118784074012</v>
      </c>
      <c r="AG31" s="4" t="e">
        <f t="shared" ca="1" si="7"/>
        <v>#DIV/0!</v>
      </c>
      <c r="AH31" s="4" t="e">
        <f t="shared" ca="1" si="8"/>
        <v>#DIV/0!</v>
      </c>
      <c r="AI31" s="4" t="e">
        <f t="shared" ca="1" si="9"/>
        <v>#DIV/0!</v>
      </c>
      <c r="AJ31" s="4" t="e">
        <f t="shared" ca="1" si="10"/>
        <v>#DIV/0!</v>
      </c>
      <c r="AK31" s="4" t="e">
        <f t="shared" ca="1" si="11"/>
        <v>#DIV/0!</v>
      </c>
      <c r="AM31" s="563">
        <f t="shared" ca="1" si="12"/>
        <v>45913</v>
      </c>
      <c r="AN31" s="564">
        <v>109.65</v>
      </c>
      <c r="AO31" s="564">
        <v>1052453</v>
      </c>
      <c r="AP31" s="564">
        <v>48497.476999999999</v>
      </c>
      <c r="AQ31" s="564">
        <v>5317748.35305</v>
      </c>
      <c r="AR31" s="564">
        <v>1.2535000000000001</v>
      </c>
    </row>
    <row r="32" spans="2:44">
      <c r="B32" s="565">
        <f t="shared" ca="1" si="13"/>
        <v>45751</v>
      </c>
      <c r="C32" s="561">
        <f ca="1">(IFERROR(IFERROR(VALUE(_xll.BDH(C$4,"CURRENT_EV_TO_T12M_EBITDA",$B32,$B32)),VALUE(_xll.BDH(C$4,"CURRENT_EV_TO_T12M_EBITDA",$B32+1,$B32+1))),C33))</f>
        <v>0</v>
      </c>
      <c r="D32" s="561">
        <f ca="1">(IFERROR(IFERROR(VALUE(_xll.BDH(D$4,"CURRENT_EV_TO_T12M_EBITDA",$B32,$B32)),VALUE(_xll.BDH(D$4,"CURRENT_EV_TO_T12M_EBITDA",$B32+1,$B32+1))),D33))</f>
        <v>0</v>
      </c>
      <c r="E32" s="561">
        <f ca="1">(IFERROR(IFERROR(VALUE(_xll.BDH(E$4,"CURRENT_EV_TO_T12M_EBITDA",$B32,$B32)),VALUE(_xll.BDH(E$4,"CURRENT_EV_TO_T12M_EBITDA",$B32+1,$B32+1))),E33))</f>
        <v>0</v>
      </c>
      <c r="F32" s="561">
        <f ca="1">(IFERROR(IFERROR(VALUE(_xll.BDH(F$4,"CURRENT_EV_TO_T12M_EBITDA",$B32,$B32)),VALUE(_xll.BDH(F$4,"CURRENT_EV_TO_T12M_EBITDA",$B32+1,$B32+1))),F33))</f>
        <v>0</v>
      </c>
      <c r="G32" s="561">
        <f ca="1">(IFERROR(IFERROR(VALUE(_xll.BDH(G$4,"CURRENT_EV_TO_T12M_EBITDA",$B32,$B32)),VALUE(_xll.BDH(G$4,"CURRENT_EV_TO_T12M_EBITDA",$B32+1,$B32+1))),G33))</f>
        <v>0</v>
      </c>
      <c r="H32" s="561">
        <f ca="1">(IFERROR(IFERROR(VALUE(_xll.BDH(H$4,"CURRENT_EV_TO_T12M_EBITDA",$B32,$B32)),VALUE(_xll.BDH(H$4,"CURRENT_EV_TO_T12M_EBITDA",$B32+1,$B32+1))),H33))</f>
        <v>0</v>
      </c>
      <c r="I32" s="565">
        <f t="shared" ca="1" si="3"/>
        <v>45751</v>
      </c>
      <c r="J32" s="561">
        <f ca="1">(IFERROR(IFERROR(VALUE(_xll.BDH(J$4,"PE_RATIO",$B32,$B32)),VALUE(_xll.BDH(J$4,"PE_RATIO",$B32+1,$B32+1))),J33))</f>
        <v>0</v>
      </c>
      <c r="K32" s="561">
        <f ca="1">(IFERROR(IFERROR(VALUE(_xll.BDH(K$4,"PE_RATIO",$B32,$B32)),VALUE(_xll.BDH(K$4,"PE_RATIO",$B32+1,$B32+1))),K33))</f>
        <v>0</v>
      </c>
      <c r="L32" s="561">
        <f ca="1">(IFERROR(IFERROR(VALUE(_xll.BDH(L$4,"PE_RATIO",$B32,$B32)),VALUE(_xll.BDH(L$4,"PE_RATIO",$B32+1,$B32+1))),L33))</f>
        <v>0</v>
      </c>
      <c r="M32" s="561">
        <f ca="1">(IFERROR(IFERROR(VALUE(_xll.BDH(M$4,"PE_RATIO",$B32,$B32)),VALUE(_xll.BDH(M$4,"PE_RATIO",$B32+1,$B32+1))),M33))</f>
        <v>0</v>
      </c>
      <c r="N32" s="561">
        <f ca="1">(IFERROR(IFERROR(VALUE(_xll.BDH(N$4,"PE_RATIO",$B32,$B32)),VALUE(_xll.BDH(N$4,"PE_RATIO",$B32+1,$B32+1))),N33))</f>
        <v>0</v>
      </c>
      <c r="O32" s="561">
        <f ca="1">(IFERROR(IFERROR(VALUE(_xll.BDH(O$4,"PE_RATIO",$B32,$B32)),VALUE(_xll.BDH(O$4,"PE_RATIO",$B32+1,$B32+1))),O33))</f>
        <v>0</v>
      </c>
      <c r="P32" s="561"/>
      <c r="Q32" s="565">
        <f t="shared" ca="1" si="4"/>
        <v>45751</v>
      </c>
      <c r="R32" s="4">
        <v>88.54</v>
      </c>
      <c r="S32" s="4">
        <v>5778.15</v>
      </c>
      <c r="T32" s="4">
        <v>368.98399999999998</v>
      </c>
      <c r="U32" s="4">
        <v>1.4627457459111186</v>
      </c>
      <c r="V32" s="4">
        <v>1.5842310318071773</v>
      </c>
      <c r="W32" s="4" t="e">
        <v>#DIV/0!</v>
      </c>
      <c r="Y32" s="561">
        <f t="shared" si="5"/>
        <v>88.54</v>
      </c>
      <c r="Z32" s="4">
        <f ca="1">IFERROR(VALUE(_xll.BDH(Z$4,"PX_LAST",$Q32,$Q32)),Z33)</f>
        <v>0</v>
      </c>
      <c r="AA32" s="4">
        <f ca="1">IFERROR(VALUE(_xll.BDH(AA$4,"PX_LAST",$Q32,$Q32)),AA33)</f>
        <v>0</v>
      </c>
      <c r="AB32" s="4">
        <f ca="1">IFERROR(VALUE(_xll.BDH(AB$4,"PX_LAST",$Q32,$Q32)),AB33)</f>
        <v>0</v>
      </c>
      <c r="AC32" s="4">
        <f ca="1">IFERROR(VALUE(_xll.BDH(AC$4,"PX_LAST",$Q32,$Q32)),AC33)</f>
        <v>0</v>
      </c>
      <c r="AD32" s="4">
        <f ca="1">IFERROR(VALUE(_xll.BDH(AD$4,"PX_LAST",$Q32,$Q32)),AD33)</f>
        <v>0</v>
      </c>
      <c r="AF32" s="4">
        <f t="shared" si="6"/>
        <v>1.4627457459111186</v>
      </c>
      <c r="AG32" s="4" t="e">
        <f t="shared" ca="1" si="7"/>
        <v>#DIV/0!</v>
      </c>
      <c r="AH32" s="4" t="e">
        <f t="shared" ca="1" si="8"/>
        <v>#DIV/0!</v>
      </c>
      <c r="AI32" s="4" t="e">
        <f t="shared" ca="1" si="9"/>
        <v>#DIV/0!</v>
      </c>
      <c r="AJ32" s="4" t="e">
        <f t="shared" ca="1" si="10"/>
        <v>#DIV/0!</v>
      </c>
      <c r="AK32" s="4" t="e">
        <f t="shared" ca="1" si="11"/>
        <v>#DIV/0!</v>
      </c>
      <c r="AM32" s="563">
        <f t="shared" ca="1" si="12"/>
        <v>45912</v>
      </c>
      <c r="AN32" s="564">
        <v>107.83</v>
      </c>
      <c r="AO32" s="564">
        <v>455226</v>
      </c>
      <c r="AP32" s="564">
        <v>48497.476999999999</v>
      </c>
      <c r="AQ32" s="564">
        <v>5229482.9449100001</v>
      </c>
      <c r="AR32" s="564">
        <v>1.2326999999999999</v>
      </c>
    </row>
    <row r="33" spans="2:44">
      <c r="B33" s="565">
        <f t="shared" ca="1" si="13"/>
        <v>45744</v>
      </c>
      <c r="C33" s="561">
        <f ca="1">(IFERROR(IFERROR(VALUE(_xll.BDH(C$4,"CURRENT_EV_TO_T12M_EBITDA",$B33,$B33)),VALUE(_xll.BDH(C$4,"CURRENT_EV_TO_T12M_EBITDA",$B33+1,$B33+1))),C34))</f>
        <v>0</v>
      </c>
      <c r="D33" s="561">
        <f ca="1">(IFERROR(IFERROR(VALUE(_xll.BDH(D$4,"CURRENT_EV_TO_T12M_EBITDA",$B33,$B33)),VALUE(_xll.BDH(D$4,"CURRENT_EV_TO_T12M_EBITDA",$B33+1,$B33+1))),D34))</f>
        <v>0</v>
      </c>
      <c r="E33" s="561">
        <f ca="1">(IFERROR(IFERROR(VALUE(_xll.BDH(E$4,"CURRENT_EV_TO_T12M_EBITDA",$B33,$B33)),VALUE(_xll.BDH(E$4,"CURRENT_EV_TO_T12M_EBITDA",$B33+1,$B33+1))),E34))</f>
        <v>0</v>
      </c>
      <c r="F33" s="561">
        <f ca="1">(IFERROR(IFERROR(VALUE(_xll.BDH(F$4,"CURRENT_EV_TO_T12M_EBITDA",$B33,$B33)),VALUE(_xll.BDH(F$4,"CURRENT_EV_TO_T12M_EBITDA",$B33+1,$B33+1))),F34))</f>
        <v>0</v>
      </c>
      <c r="G33" s="561">
        <f ca="1">(IFERROR(IFERROR(VALUE(_xll.BDH(G$4,"CURRENT_EV_TO_T12M_EBITDA",$B33,$B33)),VALUE(_xll.BDH(G$4,"CURRENT_EV_TO_T12M_EBITDA",$B33+1,$B33+1))),G34))</f>
        <v>0</v>
      </c>
      <c r="H33" s="561">
        <f ca="1">(IFERROR(IFERROR(VALUE(_xll.BDH(H$4,"CURRENT_EV_TO_T12M_EBITDA",$B33,$B33)),VALUE(_xll.BDH(H$4,"CURRENT_EV_TO_T12M_EBITDA",$B33+1,$B33+1))),H34))</f>
        <v>0</v>
      </c>
      <c r="I33" s="565">
        <f t="shared" ca="1" si="3"/>
        <v>45744</v>
      </c>
      <c r="J33" s="561">
        <f ca="1">(IFERROR(IFERROR(VALUE(_xll.BDH(J$4,"PE_RATIO",$B33,$B33)),VALUE(_xll.BDH(J$4,"PE_RATIO",$B33+1,$B33+1))),J34))</f>
        <v>0</v>
      </c>
      <c r="K33" s="561">
        <f ca="1">(IFERROR(IFERROR(VALUE(_xll.BDH(K$4,"PE_RATIO",$B33,$B33)),VALUE(_xll.BDH(K$4,"PE_RATIO",$B33+1,$B33+1))),K34))</f>
        <v>0</v>
      </c>
      <c r="L33" s="561">
        <f ca="1">(IFERROR(IFERROR(VALUE(_xll.BDH(L$4,"PE_RATIO",$B33,$B33)),VALUE(_xll.BDH(L$4,"PE_RATIO",$B33+1,$B33+1))),L34))</f>
        <v>0</v>
      </c>
      <c r="M33" s="561">
        <f ca="1">(IFERROR(IFERROR(VALUE(_xll.BDH(M$4,"PE_RATIO",$B33,$B33)),VALUE(_xll.BDH(M$4,"PE_RATIO",$B33+1,$B33+1))),M34))</f>
        <v>0</v>
      </c>
      <c r="N33" s="561">
        <f ca="1">(IFERROR(IFERROR(VALUE(_xll.BDH(N$4,"PE_RATIO",$B33,$B33)),VALUE(_xll.BDH(N$4,"PE_RATIO",$B33+1,$B33+1))),N34))</f>
        <v>0</v>
      </c>
      <c r="O33" s="561">
        <f ca="1">(IFERROR(IFERROR(VALUE(_xll.BDH(O$4,"PE_RATIO",$B33,$B33)),VALUE(_xll.BDH(O$4,"PE_RATIO",$B33+1,$B33+1))),O34))</f>
        <v>0</v>
      </c>
      <c r="P33" s="561"/>
      <c r="Q33" s="565">
        <f t="shared" ca="1" si="4"/>
        <v>45744</v>
      </c>
      <c r="R33" s="4">
        <v>88.07</v>
      </c>
      <c r="S33" s="4">
        <v>5955.25</v>
      </c>
      <c r="T33" s="4">
        <v>368.98399999999998</v>
      </c>
      <c r="U33" s="4">
        <v>1.4549810011564512</v>
      </c>
      <c r="V33" s="4">
        <v>1.632787631364657</v>
      </c>
      <c r="W33" s="4" t="e">
        <v>#DIV/0!</v>
      </c>
      <c r="Y33" s="561">
        <f t="shared" si="5"/>
        <v>88.07</v>
      </c>
      <c r="Z33" s="4">
        <f ca="1">IFERROR(VALUE(_xll.BDH(Z$4,"PX_LAST",$Q33,$Q33)),Z34)</f>
        <v>0</v>
      </c>
      <c r="AA33" s="4">
        <f ca="1">IFERROR(VALUE(_xll.BDH(AA$4,"PX_LAST",$Q33,$Q33)),AA34)</f>
        <v>0</v>
      </c>
      <c r="AB33" s="4">
        <f ca="1">IFERROR(VALUE(_xll.BDH(AB$4,"PX_LAST",$Q33,$Q33)),AB34)</f>
        <v>0</v>
      </c>
      <c r="AC33" s="4">
        <f ca="1">IFERROR(VALUE(_xll.BDH(AC$4,"PX_LAST",$Q33,$Q33)),AC34)</f>
        <v>0</v>
      </c>
      <c r="AD33" s="4">
        <f ca="1">IFERROR(VALUE(_xll.BDH(AD$4,"PX_LAST",$Q33,$Q33)),AD34)</f>
        <v>0</v>
      </c>
      <c r="AF33" s="4">
        <f t="shared" si="6"/>
        <v>1.4549810011564512</v>
      </c>
      <c r="AG33" s="4" t="e">
        <f t="shared" ca="1" si="7"/>
        <v>#DIV/0!</v>
      </c>
      <c r="AH33" s="4" t="e">
        <f t="shared" ca="1" si="8"/>
        <v>#DIV/0!</v>
      </c>
      <c r="AI33" s="4" t="e">
        <f t="shared" ca="1" si="9"/>
        <v>#DIV/0!</v>
      </c>
      <c r="AJ33" s="4" t="e">
        <f t="shared" ca="1" si="10"/>
        <v>#DIV/0!</v>
      </c>
      <c r="AK33" s="4" t="e">
        <f t="shared" ca="1" si="11"/>
        <v>#DIV/0!</v>
      </c>
      <c r="AM33" s="563">
        <f t="shared" ca="1" si="12"/>
        <v>45911</v>
      </c>
      <c r="AN33" s="564">
        <v>107.53</v>
      </c>
      <c r="AO33" s="564">
        <v>749732</v>
      </c>
      <c r="AP33" s="564">
        <v>48497.476999999999</v>
      </c>
      <c r="AQ33" s="564">
        <v>5214933.7018099995</v>
      </c>
      <c r="AR33" s="564">
        <v>1.2292000000000001</v>
      </c>
    </row>
    <row r="34" spans="2:44">
      <c r="B34" s="565">
        <f t="shared" ca="1" si="13"/>
        <v>45737</v>
      </c>
      <c r="C34" s="561">
        <f ca="1">(IFERROR(IFERROR(VALUE(_xll.BDH(C$4,"CURRENT_EV_TO_T12M_EBITDA",$B34,$B34)),VALUE(_xll.BDH(C$4,"CURRENT_EV_TO_T12M_EBITDA",$B34+1,$B34+1))),C35))</f>
        <v>0</v>
      </c>
      <c r="D34" s="561">
        <f ca="1">(IFERROR(IFERROR(VALUE(_xll.BDH(D$4,"CURRENT_EV_TO_T12M_EBITDA",$B34,$B34)),VALUE(_xll.BDH(D$4,"CURRENT_EV_TO_T12M_EBITDA",$B34+1,$B34+1))),D35))</f>
        <v>0</v>
      </c>
      <c r="E34" s="561">
        <f ca="1">(IFERROR(IFERROR(VALUE(_xll.BDH(E$4,"CURRENT_EV_TO_T12M_EBITDA",$B34,$B34)),VALUE(_xll.BDH(E$4,"CURRENT_EV_TO_T12M_EBITDA",$B34+1,$B34+1))),E35))</f>
        <v>0</v>
      </c>
      <c r="F34" s="561">
        <f ca="1">(IFERROR(IFERROR(VALUE(_xll.BDH(F$4,"CURRENT_EV_TO_T12M_EBITDA",$B34,$B34)),VALUE(_xll.BDH(F$4,"CURRENT_EV_TO_T12M_EBITDA",$B34+1,$B34+1))),F35))</f>
        <v>0</v>
      </c>
      <c r="G34" s="561">
        <f ca="1">(IFERROR(IFERROR(VALUE(_xll.BDH(G$4,"CURRENT_EV_TO_T12M_EBITDA",$B34,$B34)),VALUE(_xll.BDH(G$4,"CURRENT_EV_TO_T12M_EBITDA",$B34+1,$B34+1))),G35))</f>
        <v>0</v>
      </c>
      <c r="H34" s="561">
        <f ca="1">(IFERROR(IFERROR(VALUE(_xll.BDH(H$4,"CURRENT_EV_TO_T12M_EBITDA",$B34,$B34)),VALUE(_xll.BDH(H$4,"CURRENT_EV_TO_T12M_EBITDA",$B34+1,$B34+1))),H35))</f>
        <v>0</v>
      </c>
      <c r="I34" s="565">
        <f t="shared" ca="1" si="3"/>
        <v>45737</v>
      </c>
      <c r="J34" s="561">
        <f ca="1">(IFERROR(IFERROR(VALUE(_xll.BDH(J$4,"PE_RATIO",$B34,$B34)),VALUE(_xll.BDH(J$4,"PE_RATIO",$B34+1,$B34+1))),J35))</f>
        <v>0</v>
      </c>
      <c r="K34" s="561">
        <f ca="1">(IFERROR(IFERROR(VALUE(_xll.BDH(K$4,"PE_RATIO",$B34,$B34)),VALUE(_xll.BDH(K$4,"PE_RATIO",$B34+1,$B34+1))),K35))</f>
        <v>0</v>
      </c>
      <c r="L34" s="561">
        <f ca="1">(IFERROR(IFERROR(VALUE(_xll.BDH(L$4,"PE_RATIO",$B34,$B34)),VALUE(_xll.BDH(L$4,"PE_RATIO",$B34+1,$B34+1))),L35))</f>
        <v>0</v>
      </c>
      <c r="M34" s="561">
        <f ca="1">(IFERROR(IFERROR(VALUE(_xll.BDH(M$4,"PE_RATIO",$B34,$B34)),VALUE(_xll.BDH(M$4,"PE_RATIO",$B34+1,$B34+1))),M35))</f>
        <v>0</v>
      </c>
      <c r="N34" s="561">
        <f ca="1">(IFERROR(IFERROR(VALUE(_xll.BDH(N$4,"PE_RATIO",$B34,$B34)),VALUE(_xll.BDH(N$4,"PE_RATIO",$B34+1,$B34+1))),N35))</f>
        <v>0</v>
      </c>
      <c r="O34" s="561">
        <f ca="1">(IFERROR(IFERROR(VALUE(_xll.BDH(O$4,"PE_RATIO",$B34,$B34)),VALUE(_xll.BDH(O$4,"PE_RATIO",$B34+1,$B34+1))),O35))</f>
        <v>0</v>
      </c>
      <c r="P34" s="561"/>
      <c r="Q34" s="565">
        <f t="shared" ca="1" si="4"/>
        <v>45737</v>
      </c>
      <c r="R34" s="4">
        <v>90.96</v>
      </c>
      <c r="S34" s="4">
        <v>6129.58</v>
      </c>
      <c r="T34" s="4">
        <v>368.98399999999998</v>
      </c>
      <c r="U34" s="4">
        <v>1.5027259210308936</v>
      </c>
      <c r="V34" s="4">
        <v>1.6805847629335753</v>
      </c>
      <c r="W34" s="4" t="e">
        <v>#DIV/0!</v>
      </c>
      <c r="Y34" s="561">
        <f t="shared" si="5"/>
        <v>90.96</v>
      </c>
      <c r="Z34" s="4">
        <f ca="1">IFERROR(VALUE(_xll.BDH(Z$4,"PX_LAST",$Q34,$Q34)),Z35)</f>
        <v>0</v>
      </c>
      <c r="AA34" s="4">
        <f ca="1">IFERROR(VALUE(_xll.BDH(AA$4,"PX_LAST",$Q34,$Q34)),AA35)</f>
        <v>0</v>
      </c>
      <c r="AB34" s="4">
        <f ca="1">IFERROR(VALUE(_xll.BDH(AB$4,"PX_LAST",$Q34,$Q34)),AB35)</f>
        <v>0</v>
      </c>
      <c r="AC34" s="4">
        <f ca="1">IFERROR(VALUE(_xll.BDH(AC$4,"PX_LAST",$Q34,$Q34)),AC35)</f>
        <v>0</v>
      </c>
      <c r="AD34" s="4">
        <f ca="1">IFERROR(VALUE(_xll.BDH(AD$4,"PX_LAST",$Q34,$Q34)),AD35)</f>
        <v>0</v>
      </c>
      <c r="AF34" s="4">
        <f t="shared" si="6"/>
        <v>1.5027259210308936</v>
      </c>
      <c r="AG34" s="4" t="e">
        <f t="shared" ca="1" si="7"/>
        <v>#DIV/0!</v>
      </c>
      <c r="AH34" s="4" t="e">
        <f t="shared" ca="1" si="8"/>
        <v>#DIV/0!</v>
      </c>
      <c r="AI34" s="4" t="e">
        <f t="shared" ca="1" si="9"/>
        <v>#DIV/0!</v>
      </c>
      <c r="AJ34" s="4" t="e">
        <f t="shared" ca="1" si="10"/>
        <v>#DIV/0!</v>
      </c>
      <c r="AK34" s="4" t="e">
        <f t="shared" ca="1" si="11"/>
        <v>#DIV/0!</v>
      </c>
      <c r="AM34" s="563">
        <f t="shared" ca="1" si="12"/>
        <v>45910</v>
      </c>
      <c r="AN34" s="564">
        <v>107.74</v>
      </c>
      <c r="AO34" s="564">
        <v>723771</v>
      </c>
      <c r="AP34" s="564">
        <v>48497.476999999999</v>
      </c>
      <c r="AQ34" s="564">
        <v>5225118.1719800001</v>
      </c>
      <c r="AR34" s="564">
        <v>1.2316</v>
      </c>
    </row>
    <row r="35" spans="2:44">
      <c r="B35" s="565">
        <f t="shared" ca="1" si="13"/>
        <v>45730</v>
      </c>
      <c r="C35" s="561">
        <f ca="1">(IFERROR(IFERROR(VALUE(_xll.BDH(C$4,"CURRENT_EV_TO_T12M_EBITDA",$B35,$B35)),VALUE(_xll.BDH(C$4,"CURRENT_EV_TO_T12M_EBITDA",$B35+1,$B35+1))),C36))</f>
        <v>0</v>
      </c>
      <c r="D35" s="561">
        <f ca="1">(IFERROR(IFERROR(VALUE(_xll.BDH(D$4,"CURRENT_EV_TO_T12M_EBITDA",$B35,$B35)),VALUE(_xll.BDH(D$4,"CURRENT_EV_TO_T12M_EBITDA",$B35+1,$B35+1))),D36))</f>
        <v>0</v>
      </c>
      <c r="E35" s="561">
        <f ca="1">(IFERROR(IFERROR(VALUE(_xll.BDH(E$4,"CURRENT_EV_TO_T12M_EBITDA",$B35,$B35)),VALUE(_xll.BDH(E$4,"CURRENT_EV_TO_T12M_EBITDA",$B35+1,$B35+1))),E36))</f>
        <v>0</v>
      </c>
      <c r="F35" s="561">
        <f ca="1">(IFERROR(IFERROR(VALUE(_xll.BDH(F$4,"CURRENT_EV_TO_T12M_EBITDA",$B35,$B35)),VALUE(_xll.BDH(F$4,"CURRENT_EV_TO_T12M_EBITDA",$B35+1,$B35+1))),F36))</f>
        <v>0</v>
      </c>
      <c r="G35" s="561">
        <f ca="1">(IFERROR(IFERROR(VALUE(_xll.BDH(G$4,"CURRENT_EV_TO_T12M_EBITDA",$B35,$B35)),VALUE(_xll.BDH(G$4,"CURRENT_EV_TO_T12M_EBITDA",$B35+1,$B35+1))),G36))</f>
        <v>0</v>
      </c>
      <c r="H35" s="561">
        <f ca="1">(IFERROR(IFERROR(VALUE(_xll.BDH(H$4,"CURRENT_EV_TO_T12M_EBITDA",$B35,$B35)),VALUE(_xll.BDH(H$4,"CURRENT_EV_TO_T12M_EBITDA",$B35+1,$B35+1))),H36))</f>
        <v>0</v>
      </c>
      <c r="I35" s="565">
        <f t="shared" ca="1" si="3"/>
        <v>45730</v>
      </c>
      <c r="J35" s="561">
        <f ca="1">(IFERROR(IFERROR(VALUE(_xll.BDH(J$4,"PE_RATIO",$B35,$B35)),VALUE(_xll.BDH(J$4,"PE_RATIO",$B35+1,$B35+1))),J36))</f>
        <v>0</v>
      </c>
      <c r="K35" s="561">
        <f ca="1">(IFERROR(IFERROR(VALUE(_xll.BDH(K$4,"PE_RATIO",$B35,$B35)),VALUE(_xll.BDH(K$4,"PE_RATIO",$B35+1,$B35+1))),K36))</f>
        <v>0</v>
      </c>
      <c r="L35" s="561">
        <f ca="1">(IFERROR(IFERROR(VALUE(_xll.BDH(L$4,"PE_RATIO",$B35,$B35)),VALUE(_xll.BDH(L$4,"PE_RATIO",$B35+1,$B35+1))),L36))</f>
        <v>0</v>
      </c>
      <c r="M35" s="561">
        <f ca="1">(IFERROR(IFERROR(VALUE(_xll.BDH(M$4,"PE_RATIO",$B35,$B35)),VALUE(_xll.BDH(M$4,"PE_RATIO",$B35+1,$B35+1))),M36))</f>
        <v>0</v>
      </c>
      <c r="N35" s="561">
        <f ca="1">(IFERROR(IFERROR(VALUE(_xll.BDH(N$4,"PE_RATIO",$B35,$B35)),VALUE(_xll.BDH(N$4,"PE_RATIO",$B35+1,$B35+1))),N36))</f>
        <v>0</v>
      </c>
      <c r="O35" s="561">
        <f ca="1">(IFERROR(IFERROR(VALUE(_xll.BDH(O$4,"PE_RATIO",$B35,$B35)),VALUE(_xll.BDH(O$4,"PE_RATIO",$B35+1,$B35+1))),O36))</f>
        <v>0</v>
      </c>
      <c r="P35" s="561"/>
      <c r="Q35" s="565">
        <f t="shared" ca="1" si="4"/>
        <v>45730</v>
      </c>
      <c r="R35" s="4">
        <v>113.98</v>
      </c>
      <c r="S35" s="4">
        <v>6068.5</v>
      </c>
      <c r="T35" s="4">
        <v>368.98399999999998</v>
      </c>
      <c r="U35" s="4">
        <v>1.8830332066743765</v>
      </c>
      <c r="V35" s="4">
        <v>1.6638380825215433</v>
      </c>
      <c r="W35" s="4" t="e">
        <v>#DIV/0!</v>
      </c>
      <c r="Y35" s="561">
        <f t="shared" si="5"/>
        <v>113.98</v>
      </c>
      <c r="Z35" s="4">
        <f ca="1">IFERROR(VALUE(_xll.BDH(Z$4,"PX_LAST",$Q35,$Q35)),Z36)</f>
        <v>0</v>
      </c>
      <c r="AA35" s="4">
        <f ca="1">IFERROR(VALUE(_xll.BDH(AA$4,"PX_LAST",$Q35,$Q35)),AA36)</f>
        <v>0</v>
      </c>
      <c r="AB35" s="4">
        <f ca="1">IFERROR(VALUE(_xll.BDH(AB$4,"PX_LAST",$Q35,$Q35)),AB36)</f>
        <v>0</v>
      </c>
      <c r="AC35" s="4">
        <f ca="1">IFERROR(VALUE(_xll.BDH(AC$4,"PX_LAST",$Q35,$Q35)),AC36)</f>
        <v>0</v>
      </c>
      <c r="AD35" s="4">
        <f ca="1">IFERROR(VALUE(_xll.BDH(AD$4,"PX_LAST",$Q35,$Q35)),AD36)</f>
        <v>0</v>
      </c>
      <c r="AF35" s="4">
        <f t="shared" si="6"/>
        <v>1.8830332066743765</v>
      </c>
      <c r="AG35" s="4" t="e">
        <f t="shared" ca="1" si="7"/>
        <v>#DIV/0!</v>
      </c>
      <c r="AH35" s="4" t="e">
        <f t="shared" ca="1" si="8"/>
        <v>#DIV/0!</v>
      </c>
      <c r="AI35" s="4" t="e">
        <f t="shared" ca="1" si="9"/>
        <v>#DIV/0!</v>
      </c>
      <c r="AJ35" s="4" t="e">
        <f t="shared" ca="1" si="10"/>
        <v>#DIV/0!</v>
      </c>
      <c r="AK35" s="4" t="e">
        <f t="shared" ca="1" si="11"/>
        <v>#DIV/0!</v>
      </c>
      <c r="AM35" s="563">
        <f t="shared" ca="1" si="12"/>
        <v>45909</v>
      </c>
      <c r="AN35" s="564">
        <v>107.74</v>
      </c>
      <c r="AO35" s="564">
        <v>723771</v>
      </c>
      <c r="AP35" s="564">
        <v>48497.476999999999</v>
      </c>
      <c r="AQ35" s="564">
        <v>5225118.1719800001</v>
      </c>
      <c r="AR35" s="564">
        <v>1.2316</v>
      </c>
    </row>
    <row r="36" spans="2:44">
      <c r="B36" s="565">
        <f t="shared" ca="1" si="13"/>
        <v>45723</v>
      </c>
      <c r="C36" s="561">
        <f ca="1">(IFERROR(IFERROR(VALUE(_xll.BDH(C$4,"CURRENT_EV_TO_T12M_EBITDA",$B36,$B36)),VALUE(_xll.BDH(C$4,"CURRENT_EV_TO_T12M_EBITDA",$B36+1,$B36+1))),C37))</f>
        <v>0</v>
      </c>
      <c r="D36" s="561">
        <f ca="1">(IFERROR(IFERROR(VALUE(_xll.BDH(D$4,"CURRENT_EV_TO_T12M_EBITDA",$B36,$B36)),VALUE(_xll.BDH(D$4,"CURRENT_EV_TO_T12M_EBITDA",$B36+1,$B36+1))),D37))</f>
        <v>0</v>
      </c>
      <c r="E36" s="561">
        <f ca="1">(IFERROR(IFERROR(VALUE(_xll.BDH(E$4,"CURRENT_EV_TO_T12M_EBITDA",$B36,$B36)),VALUE(_xll.BDH(E$4,"CURRENT_EV_TO_T12M_EBITDA",$B36+1,$B36+1))),E37))</f>
        <v>0</v>
      </c>
      <c r="F36" s="561">
        <f ca="1">(IFERROR(IFERROR(VALUE(_xll.BDH(F$4,"CURRENT_EV_TO_T12M_EBITDA",$B36,$B36)),VALUE(_xll.BDH(F$4,"CURRENT_EV_TO_T12M_EBITDA",$B36+1,$B36+1))),F37))</f>
        <v>0</v>
      </c>
      <c r="G36" s="561">
        <f ca="1">(IFERROR(IFERROR(VALUE(_xll.BDH(G$4,"CURRENT_EV_TO_T12M_EBITDA",$B36,$B36)),VALUE(_xll.BDH(G$4,"CURRENT_EV_TO_T12M_EBITDA",$B36+1,$B36+1))),G37))</f>
        <v>0</v>
      </c>
      <c r="H36" s="561">
        <f ca="1">(IFERROR(IFERROR(VALUE(_xll.BDH(H$4,"CURRENT_EV_TO_T12M_EBITDA",$B36,$B36)),VALUE(_xll.BDH(H$4,"CURRENT_EV_TO_T12M_EBITDA",$B36+1,$B36+1))),H37))</f>
        <v>0</v>
      </c>
      <c r="I36" s="565">
        <f t="shared" ca="1" si="3"/>
        <v>45723</v>
      </c>
      <c r="J36" s="561">
        <f ca="1">(IFERROR(IFERROR(VALUE(_xll.BDH(J$4,"PE_RATIO",$B36,$B36)),VALUE(_xll.BDH(J$4,"PE_RATIO",$B36+1,$B36+1))),J37))</f>
        <v>0</v>
      </c>
      <c r="K36" s="561">
        <f ca="1">(IFERROR(IFERROR(VALUE(_xll.BDH(K$4,"PE_RATIO",$B36,$B36)),VALUE(_xll.BDH(K$4,"PE_RATIO",$B36+1,$B36+1))),K37))</f>
        <v>0</v>
      </c>
      <c r="L36" s="561">
        <f ca="1">(IFERROR(IFERROR(VALUE(_xll.BDH(L$4,"PE_RATIO",$B36,$B36)),VALUE(_xll.BDH(L$4,"PE_RATIO",$B36+1,$B36+1))),L37))</f>
        <v>0</v>
      </c>
      <c r="M36" s="561">
        <f ca="1">(IFERROR(IFERROR(VALUE(_xll.BDH(M$4,"PE_RATIO",$B36,$B36)),VALUE(_xll.BDH(M$4,"PE_RATIO",$B36+1,$B36+1))),M37))</f>
        <v>0</v>
      </c>
      <c r="N36" s="561">
        <f ca="1">(IFERROR(IFERROR(VALUE(_xll.BDH(N$4,"PE_RATIO",$B36,$B36)),VALUE(_xll.BDH(N$4,"PE_RATIO",$B36+1,$B36+1))),N37))</f>
        <v>0</v>
      </c>
      <c r="O36" s="561">
        <f ca="1">(IFERROR(IFERROR(VALUE(_xll.BDH(O$4,"PE_RATIO",$B36,$B36)),VALUE(_xll.BDH(O$4,"PE_RATIO",$B36+1,$B36+1))),O37))</f>
        <v>0</v>
      </c>
      <c r="P36" s="561"/>
      <c r="Q36" s="565">
        <f t="shared" ca="1" si="4"/>
        <v>45723</v>
      </c>
      <c r="R36" s="4">
        <v>107.64</v>
      </c>
      <c r="S36" s="4">
        <v>6037.88</v>
      </c>
      <c r="T36" s="4">
        <v>368.98399999999998</v>
      </c>
      <c r="U36" s="4">
        <v>1.7782917561539733</v>
      </c>
      <c r="V36" s="4">
        <v>1.655442808221995</v>
      </c>
      <c r="W36" s="4" t="e">
        <v>#DIV/0!</v>
      </c>
      <c r="Y36" s="561">
        <f t="shared" si="5"/>
        <v>107.64</v>
      </c>
      <c r="Z36" s="4">
        <f ca="1">IFERROR(VALUE(_xll.BDH(Z$4,"PX_LAST",$Q36,$Q36)),Z37)</f>
        <v>0</v>
      </c>
      <c r="AA36" s="4">
        <f ca="1">IFERROR(VALUE(_xll.BDH(AA$4,"PX_LAST",$Q36,$Q36)),AA37)</f>
        <v>0</v>
      </c>
      <c r="AB36" s="4">
        <f ca="1">IFERROR(VALUE(_xll.BDH(AB$4,"PX_LAST",$Q36,$Q36)),AB37)</f>
        <v>0</v>
      </c>
      <c r="AC36" s="4">
        <f ca="1">IFERROR(VALUE(_xll.BDH(AC$4,"PX_LAST",$Q36,$Q36)),AC37)</f>
        <v>0</v>
      </c>
      <c r="AD36" s="4">
        <f ca="1">IFERROR(VALUE(_xll.BDH(AD$4,"PX_LAST",$Q36,$Q36)),AD37)</f>
        <v>0</v>
      </c>
      <c r="AF36" s="4">
        <f t="shared" si="6"/>
        <v>1.7782917561539733</v>
      </c>
      <c r="AG36" s="4" t="e">
        <f t="shared" ca="1" si="7"/>
        <v>#DIV/0!</v>
      </c>
      <c r="AH36" s="4" t="e">
        <f t="shared" ca="1" si="8"/>
        <v>#DIV/0!</v>
      </c>
      <c r="AI36" s="4" t="e">
        <f t="shared" ca="1" si="9"/>
        <v>#DIV/0!</v>
      </c>
      <c r="AJ36" s="4" t="e">
        <f t="shared" ca="1" si="10"/>
        <v>#DIV/0!</v>
      </c>
      <c r="AK36" s="4" t="e">
        <f t="shared" ca="1" si="11"/>
        <v>#DIV/0!</v>
      </c>
      <c r="AM36" s="563">
        <f t="shared" ca="1" si="12"/>
        <v>45908</v>
      </c>
      <c r="AN36" s="564">
        <v>107.74</v>
      </c>
      <c r="AO36" s="564">
        <v>723771</v>
      </c>
      <c r="AP36" s="564">
        <v>48497.476999999999</v>
      </c>
      <c r="AQ36" s="564">
        <v>5225118.1719800001</v>
      </c>
      <c r="AR36" s="564">
        <v>1.2316</v>
      </c>
    </row>
    <row r="37" spans="2:44">
      <c r="B37" s="565">
        <f t="shared" ca="1" si="13"/>
        <v>45716</v>
      </c>
      <c r="C37" s="561">
        <f ca="1">(IFERROR(IFERROR(VALUE(_xll.BDH(C$4,"CURRENT_EV_TO_T12M_EBITDA",$B37,$B37)),VALUE(_xll.BDH(C$4,"CURRENT_EV_TO_T12M_EBITDA",$B37+1,$B37+1))),C38))</f>
        <v>0</v>
      </c>
      <c r="D37" s="561">
        <f ca="1">(IFERROR(IFERROR(VALUE(_xll.BDH(D$4,"CURRENT_EV_TO_T12M_EBITDA",$B37,$B37)),VALUE(_xll.BDH(D$4,"CURRENT_EV_TO_T12M_EBITDA",$B37+1,$B37+1))),D38))</f>
        <v>0</v>
      </c>
      <c r="E37" s="561">
        <f ca="1">(IFERROR(IFERROR(VALUE(_xll.BDH(E$4,"CURRENT_EV_TO_T12M_EBITDA",$B37,$B37)),VALUE(_xll.BDH(E$4,"CURRENT_EV_TO_T12M_EBITDA",$B37+1,$B37+1))),E38))</f>
        <v>0</v>
      </c>
      <c r="F37" s="561">
        <f ca="1">(IFERROR(IFERROR(VALUE(_xll.BDH(F$4,"CURRENT_EV_TO_T12M_EBITDA",$B37,$B37)),VALUE(_xll.BDH(F$4,"CURRENT_EV_TO_T12M_EBITDA",$B37+1,$B37+1))),F38))</f>
        <v>0</v>
      </c>
      <c r="G37" s="561">
        <f ca="1">(IFERROR(IFERROR(VALUE(_xll.BDH(G$4,"CURRENT_EV_TO_T12M_EBITDA",$B37,$B37)),VALUE(_xll.BDH(G$4,"CURRENT_EV_TO_T12M_EBITDA",$B37+1,$B37+1))),G38))</f>
        <v>0</v>
      </c>
      <c r="H37" s="561">
        <f ca="1">(IFERROR(IFERROR(VALUE(_xll.BDH(H$4,"CURRENT_EV_TO_T12M_EBITDA",$B37,$B37)),VALUE(_xll.BDH(H$4,"CURRENT_EV_TO_T12M_EBITDA",$B37+1,$B37+1))),H38))</f>
        <v>0</v>
      </c>
      <c r="I37" s="565">
        <f t="shared" ref="I37:I68" ca="1" si="14">+B37</f>
        <v>45716</v>
      </c>
      <c r="J37" s="561">
        <f ca="1">(IFERROR(IFERROR(VALUE(_xll.BDH(J$4,"PE_RATIO",$B37,$B37)),VALUE(_xll.BDH(J$4,"PE_RATIO",$B37+1,$B37+1))),J38))</f>
        <v>0</v>
      </c>
      <c r="K37" s="561">
        <f ca="1">(IFERROR(IFERROR(VALUE(_xll.BDH(K$4,"PE_RATIO",$B37,$B37)),VALUE(_xll.BDH(K$4,"PE_RATIO",$B37+1,$B37+1))),K38))</f>
        <v>0</v>
      </c>
      <c r="L37" s="561">
        <f ca="1">(IFERROR(IFERROR(VALUE(_xll.BDH(L$4,"PE_RATIO",$B37,$B37)),VALUE(_xll.BDH(L$4,"PE_RATIO",$B37+1,$B37+1))),L38))</f>
        <v>0</v>
      </c>
      <c r="M37" s="561">
        <f ca="1">(IFERROR(IFERROR(VALUE(_xll.BDH(M$4,"PE_RATIO",$B37,$B37)),VALUE(_xll.BDH(M$4,"PE_RATIO",$B37+1,$B37+1))),M38))</f>
        <v>0</v>
      </c>
      <c r="N37" s="561">
        <f ca="1">(IFERROR(IFERROR(VALUE(_xll.BDH(N$4,"PE_RATIO",$B37,$B37)),VALUE(_xll.BDH(N$4,"PE_RATIO",$B37+1,$B37+1))),N38))</f>
        <v>0</v>
      </c>
      <c r="O37" s="561">
        <f ca="1">(IFERROR(IFERROR(VALUE(_xll.BDH(O$4,"PE_RATIO",$B37,$B37)),VALUE(_xll.BDH(O$4,"PE_RATIO",$B37+1,$B37+1))),O38))</f>
        <v>0</v>
      </c>
      <c r="P37" s="561"/>
      <c r="Q37" s="565">
        <f t="shared" ref="Q37:Q68" ca="1" si="15">+I37</f>
        <v>45716</v>
      </c>
      <c r="R37" s="4">
        <v>111.21</v>
      </c>
      <c r="S37" s="4">
        <v>6067.7</v>
      </c>
      <c r="T37" s="4">
        <v>368.98399999999998</v>
      </c>
      <c r="U37" s="4">
        <v>1.837270774822402</v>
      </c>
      <c r="V37" s="4">
        <v>1.6636187415862187</v>
      </c>
      <c r="W37" s="4" t="e">
        <v>#DIV/0!</v>
      </c>
      <c r="Y37" s="561">
        <f t="shared" ref="Y37:Y68" si="16">+R37</f>
        <v>111.21</v>
      </c>
      <c r="Z37" s="4">
        <f ca="1">IFERROR(VALUE(_xll.BDH(Z$4,"PX_LAST",$Q37,$Q37)),Z38)</f>
        <v>0</v>
      </c>
      <c r="AA37" s="4">
        <f ca="1">IFERROR(VALUE(_xll.BDH(AA$4,"PX_LAST",$Q37,$Q37)),AA38)</f>
        <v>0</v>
      </c>
      <c r="AB37" s="4">
        <f ca="1">IFERROR(VALUE(_xll.BDH(AB$4,"PX_LAST",$Q37,$Q37)),AB38)</f>
        <v>0</v>
      </c>
      <c r="AC37" s="4">
        <f ca="1">IFERROR(VALUE(_xll.BDH(AC$4,"PX_LAST",$Q37,$Q37)),AC38)</f>
        <v>0</v>
      </c>
      <c r="AD37" s="4">
        <f ca="1">IFERROR(VALUE(_xll.BDH(AD$4,"PX_LAST",$Q37,$Q37)),AD38)</f>
        <v>0</v>
      </c>
      <c r="AF37" s="4">
        <f t="shared" ref="AF37:AF68" si="17">+Y37/Y$159</f>
        <v>1.837270774822402</v>
      </c>
      <c r="AG37" s="4" t="e">
        <f t="shared" ref="AG37:AG68" ca="1" si="18">+Z37/Z$159</f>
        <v>#DIV/0!</v>
      </c>
      <c r="AH37" s="4" t="e">
        <f t="shared" ref="AH37:AH68" ca="1" si="19">+AA37/AA$159</f>
        <v>#DIV/0!</v>
      </c>
      <c r="AI37" s="4" t="e">
        <f t="shared" ref="AI37:AI68" ca="1" si="20">+AB37/AB$159</f>
        <v>#DIV/0!</v>
      </c>
      <c r="AJ37" s="4" t="e">
        <f t="shared" ref="AJ37:AJ68" ca="1" si="21">+AC37/AC$159</f>
        <v>#DIV/0!</v>
      </c>
      <c r="AK37" s="4" t="e">
        <f t="shared" ref="AK37:AK68" ca="1" si="22">+AD37/AD$159</f>
        <v>#DIV/0!</v>
      </c>
      <c r="AM37" s="563">
        <f t="shared" ca="1" si="12"/>
        <v>45907</v>
      </c>
      <c r="AN37" s="564">
        <v>105.76</v>
      </c>
      <c r="AO37" s="564">
        <v>572733</v>
      </c>
      <c r="AP37" s="564">
        <v>48497.476999999999</v>
      </c>
      <c r="AQ37" s="564">
        <v>5129093.1675200006</v>
      </c>
      <c r="AR37" s="564">
        <v>1.2090000000000001</v>
      </c>
    </row>
    <row r="38" spans="2:44">
      <c r="B38" s="565">
        <f t="shared" ref="B38:B69" ca="1" si="23">+B37-7</f>
        <v>45709</v>
      </c>
      <c r="C38" s="561">
        <f ca="1">(IFERROR(IFERROR(VALUE(_xll.BDH(C$4,"CURRENT_EV_TO_T12M_EBITDA",$B38,$B38)),VALUE(_xll.BDH(C$4,"CURRENT_EV_TO_T12M_EBITDA",$B38+1,$B38+1))),C39))</f>
        <v>0</v>
      </c>
      <c r="D38" s="561">
        <f ca="1">(IFERROR(IFERROR(VALUE(_xll.BDH(D$4,"CURRENT_EV_TO_T12M_EBITDA",$B38,$B38)),VALUE(_xll.BDH(D$4,"CURRENT_EV_TO_T12M_EBITDA",$B38+1,$B38+1))),D39))</f>
        <v>0</v>
      </c>
      <c r="E38" s="561">
        <f ca="1">(IFERROR(IFERROR(VALUE(_xll.BDH(E$4,"CURRENT_EV_TO_T12M_EBITDA",$B38,$B38)),VALUE(_xll.BDH(E$4,"CURRENT_EV_TO_T12M_EBITDA",$B38+1,$B38+1))),E39))</f>
        <v>0</v>
      </c>
      <c r="F38" s="561">
        <f ca="1">(IFERROR(IFERROR(VALUE(_xll.BDH(F$4,"CURRENT_EV_TO_T12M_EBITDA",$B38,$B38)),VALUE(_xll.BDH(F$4,"CURRENT_EV_TO_T12M_EBITDA",$B38+1,$B38+1))),F39))</f>
        <v>0</v>
      </c>
      <c r="G38" s="561">
        <f ca="1">(IFERROR(IFERROR(VALUE(_xll.BDH(G$4,"CURRENT_EV_TO_T12M_EBITDA",$B38,$B38)),VALUE(_xll.BDH(G$4,"CURRENT_EV_TO_T12M_EBITDA",$B38+1,$B38+1))),G39))</f>
        <v>0</v>
      </c>
      <c r="H38" s="561">
        <f ca="1">(IFERROR(IFERROR(VALUE(_xll.BDH(H$4,"CURRENT_EV_TO_T12M_EBITDA",$B38,$B38)),VALUE(_xll.BDH(H$4,"CURRENT_EV_TO_T12M_EBITDA",$B38+1,$B38+1))),H39))</f>
        <v>0</v>
      </c>
      <c r="I38" s="565">
        <f t="shared" ca="1" si="14"/>
        <v>45709</v>
      </c>
      <c r="J38" s="561">
        <f ca="1">(IFERROR(IFERROR(VALUE(_xll.BDH(J$4,"PE_RATIO",$B38,$B38)),VALUE(_xll.BDH(J$4,"PE_RATIO",$B38+1,$B38+1))),J39))</f>
        <v>0</v>
      </c>
      <c r="K38" s="561">
        <f ca="1">(IFERROR(IFERROR(VALUE(_xll.BDH(K$4,"PE_RATIO",$B38,$B38)),VALUE(_xll.BDH(K$4,"PE_RATIO",$B38+1,$B38+1))),K39))</f>
        <v>0</v>
      </c>
      <c r="L38" s="561">
        <f ca="1">(IFERROR(IFERROR(VALUE(_xll.BDH(L$4,"PE_RATIO",$B38,$B38)),VALUE(_xll.BDH(L$4,"PE_RATIO",$B38+1,$B38+1))),L39))</f>
        <v>0</v>
      </c>
      <c r="M38" s="561">
        <f ca="1">(IFERROR(IFERROR(VALUE(_xll.BDH(M$4,"PE_RATIO",$B38,$B38)),VALUE(_xll.BDH(M$4,"PE_RATIO",$B38+1,$B38+1))),M39))</f>
        <v>0</v>
      </c>
      <c r="N38" s="561">
        <f ca="1">(IFERROR(IFERROR(VALUE(_xll.BDH(N$4,"PE_RATIO",$B38,$B38)),VALUE(_xll.BDH(N$4,"PE_RATIO",$B38+1,$B38+1))),N39))</f>
        <v>0</v>
      </c>
      <c r="O38" s="561">
        <f ca="1">(IFERROR(IFERROR(VALUE(_xll.BDH(O$4,"PE_RATIO",$B38,$B38)),VALUE(_xll.BDH(O$4,"PE_RATIO",$B38+1,$B38+1))),O39))</f>
        <v>0</v>
      </c>
      <c r="P38" s="561"/>
      <c r="Q38" s="565">
        <f t="shared" ca="1" si="15"/>
        <v>45709</v>
      </c>
      <c r="R38" s="4">
        <v>114.23</v>
      </c>
      <c r="S38" s="4">
        <v>6049.24</v>
      </c>
      <c r="T38" s="4">
        <v>368.98399999999998</v>
      </c>
      <c r="U38" s="4">
        <v>1.8871633900545184</v>
      </c>
      <c r="V38" s="4">
        <v>1.658557449503604</v>
      </c>
      <c r="W38" s="4" t="e">
        <v>#DIV/0!</v>
      </c>
      <c r="Y38" s="561">
        <f t="shared" si="16"/>
        <v>114.23</v>
      </c>
      <c r="Z38" s="4">
        <f ca="1">IFERROR(VALUE(_xll.BDH(Z$4,"PX_LAST",$Q38,$Q38)),Z39)</f>
        <v>0</v>
      </c>
      <c r="AA38" s="4">
        <f ca="1">IFERROR(VALUE(_xll.BDH(AA$4,"PX_LAST",$Q38,$Q38)),AA39)</f>
        <v>0</v>
      </c>
      <c r="AB38" s="4">
        <f ca="1">IFERROR(VALUE(_xll.BDH(AB$4,"PX_LAST",$Q38,$Q38)),AB39)</f>
        <v>0</v>
      </c>
      <c r="AC38" s="4">
        <f ca="1">IFERROR(VALUE(_xll.BDH(AC$4,"PX_LAST",$Q38,$Q38)),AC39)</f>
        <v>0</v>
      </c>
      <c r="AD38" s="4">
        <f ca="1">IFERROR(VALUE(_xll.BDH(AD$4,"PX_LAST",$Q38,$Q38)),AD39)</f>
        <v>0</v>
      </c>
      <c r="AF38" s="4">
        <f t="shared" si="17"/>
        <v>1.8871633900545184</v>
      </c>
      <c r="AG38" s="4" t="e">
        <f t="shared" ca="1" si="18"/>
        <v>#DIV/0!</v>
      </c>
      <c r="AH38" s="4" t="e">
        <f t="shared" ca="1" si="19"/>
        <v>#DIV/0!</v>
      </c>
      <c r="AI38" s="4" t="e">
        <f t="shared" ca="1" si="20"/>
        <v>#DIV/0!</v>
      </c>
      <c r="AJ38" s="4" t="e">
        <f t="shared" ca="1" si="21"/>
        <v>#DIV/0!</v>
      </c>
      <c r="AK38" s="4" t="e">
        <f t="shared" ca="1" si="22"/>
        <v>#DIV/0!</v>
      </c>
      <c r="AM38" s="563">
        <f t="shared" ca="1" si="12"/>
        <v>45906</v>
      </c>
      <c r="AN38" s="564">
        <v>104.45</v>
      </c>
      <c r="AO38" s="564">
        <v>694462</v>
      </c>
      <c r="AP38" s="564">
        <v>48497.476999999999</v>
      </c>
      <c r="AQ38" s="564">
        <v>5065561.4726499999</v>
      </c>
      <c r="AR38" s="564">
        <v>1.194</v>
      </c>
    </row>
    <row r="39" spans="2:44">
      <c r="B39" s="565">
        <f t="shared" ca="1" si="23"/>
        <v>45702</v>
      </c>
      <c r="C39" s="561">
        <f ca="1">(IFERROR(IFERROR(VALUE(_xll.BDH(C$4,"CURRENT_EV_TO_T12M_EBITDA",$B39,$B39)),VALUE(_xll.BDH(C$4,"CURRENT_EV_TO_T12M_EBITDA",$B39+1,$B39+1))),C40))</f>
        <v>0</v>
      </c>
      <c r="D39" s="561">
        <f ca="1">(IFERROR(IFERROR(VALUE(_xll.BDH(D$4,"CURRENT_EV_TO_T12M_EBITDA",$B39,$B39)),VALUE(_xll.BDH(D$4,"CURRENT_EV_TO_T12M_EBITDA",$B39+1,$B39+1))),D40))</f>
        <v>0</v>
      </c>
      <c r="E39" s="561">
        <f ca="1">(IFERROR(IFERROR(VALUE(_xll.BDH(E$4,"CURRENT_EV_TO_T12M_EBITDA",$B39,$B39)),VALUE(_xll.BDH(E$4,"CURRENT_EV_TO_T12M_EBITDA",$B39+1,$B39+1))),E40))</f>
        <v>0</v>
      </c>
      <c r="F39" s="561">
        <f ca="1">(IFERROR(IFERROR(VALUE(_xll.BDH(F$4,"CURRENT_EV_TO_T12M_EBITDA",$B39,$B39)),VALUE(_xll.BDH(F$4,"CURRENT_EV_TO_T12M_EBITDA",$B39+1,$B39+1))),F40))</f>
        <v>0</v>
      </c>
      <c r="G39" s="561">
        <f ca="1">(IFERROR(IFERROR(VALUE(_xll.BDH(G$4,"CURRENT_EV_TO_T12M_EBITDA",$B39,$B39)),VALUE(_xll.BDH(G$4,"CURRENT_EV_TO_T12M_EBITDA",$B39+1,$B39+1))),G40))</f>
        <v>0</v>
      </c>
      <c r="H39" s="561">
        <f ca="1">(IFERROR(IFERROR(VALUE(_xll.BDH(H$4,"CURRENT_EV_TO_T12M_EBITDA",$B39,$B39)),VALUE(_xll.BDH(H$4,"CURRENT_EV_TO_T12M_EBITDA",$B39+1,$B39+1))),H40))</f>
        <v>0</v>
      </c>
      <c r="I39" s="565">
        <f t="shared" ca="1" si="14"/>
        <v>45702</v>
      </c>
      <c r="J39" s="561">
        <f ca="1">(IFERROR(IFERROR(VALUE(_xll.BDH(J$4,"PE_RATIO",$B39,$B39)),VALUE(_xll.BDH(J$4,"PE_RATIO",$B39+1,$B39+1))),J40))</f>
        <v>0</v>
      </c>
      <c r="K39" s="561">
        <f ca="1">(IFERROR(IFERROR(VALUE(_xll.BDH(K$4,"PE_RATIO",$B39,$B39)),VALUE(_xll.BDH(K$4,"PE_RATIO",$B39+1,$B39+1))),K40))</f>
        <v>0</v>
      </c>
      <c r="L39" s="561">
        <f ca="1">(IFERROR(IFERROR(VALUE(_xll.BDH(L$4,"PE_RATIO",$B39,$B39)),VALUE(_xll.BDH(L$4,"PE_RATIO",$B39+1,$B39+1))),L40))</f>
        <v>0</v>
      </c>
      <c r="M39" s="561">
        <f ca="1">(IFERROR(IFERROR(VALUE(_xll.BDH(M$4,"PE_RATIO",$B39,$B39)),VALUE(_xll.BDH(M$4,"PE_RATIO",$B39+1,$B39+1))),M40))</f>
        <v>0</v>
      </c>
      <c r="N39" s="561">
        <f ca="1">(IFERROR(IFERROR(VALUE(_xll.BDH(N$4,"PE_RATIO",$B39,$B39)),VALUE(_xll.BDH(N$4,"PE_RATIO",$B39+1,$B39+1))),N40))</f>
        <v>0</v>
      </c>
      <c r="O39" s="561">
        <f ca="1">(IFERROR(IFERROR(VALUE(_xll.BDH(O$4,"PE_RATIO",$B39,$B39)),VALUE(_xll.BDH(O$4,"PE_RATIO",$B39+1,$B39+1))),O40))</f>
        <v>0</v>
      </c>
      <c r="P39" s="561"/>
      <c r="Q39" s="565">
        <f t="shared" ca="1" si="15"/>
        <v>45702</v>
      </c>
      <c r="R39" s="4">
        <v>109.97</v>
      </c>
      <c r="S39" s="4">
        <v>5842.91</v>
      </c>
      <c r="T39" s="4">
        <v>368.98399999999998</v>
      </c>
      <c r="U39" s="4">
        <v>1.8167850652568973</v>
      </c>
      <c r="V39" s="4">
        <v>1.6019866805217025</v>
      </c>
      <c r="W39" s="4" t="e">
        <v>#DIV/0!</v>
      </c>
      <c r="Y39" s="561">
        <f t="shared" si="16"/>
        <v>109.97</v>
      </c>
      <c r="Z39" s="4">
        <f ca="1">IFERROR(VALUE(_xll.BDH(Z$4,"PX_LAST",$Q39,$Q39)),Z40)</f>
        <v>0</v>
      </c>
      <c r="AA39" s="4">
        <f ca="1">IFERROR(VALUE(_xll.BDH(AA$4,"PX_LAST",$Q39,$Q39)),AA40)</f>
        <v>0</v>
      </c>
      <c r="AB39" s="4">
        <f ca="1">IFERROR(VALUE(_xll.BDH(AB$4,"PX_LAST",$Q39,$Q39)),AB40)</f>
        <v>0</v>
      </c>
      <c r="AC39" s="4">
        <f ca="1">IFERROR(VALUE(_xll.BDH(AC$4,"PX_LAST",$Q39,$Q39)),AC40)</f>
        <v>0</v>
      </c>
      <c r="AD39" s="4">
        <f ca="1">IFERROR(VALUE(_xll.BDH(AD$4,"PX_LAST",$Q39,$Q39)),AD40)</f>
        <v>0</v>
      </c>
      <c r="AF39" s="4">
        <f t="shared" si="17"/>
        <v>1.8167850652568973</v>
      </c>
      <c r="AG39" s="4" t="e">
        <f t="shared" ca="1" si="18"/>
        <v>#DIV/0!</v>
      </c>
      <c r="AH39" s="4" t="e">
        <f t="shared" ca="1" si="19"/>
        <v>#DIV/0!</v>
      </c>
      <c r="AI39" s="4" t="e">
        <f t="shared" ca="1" si="20"/>
        <v>#DIV/0!</v>
      </c>
      <c r="AJ39" s="4" t="e">
        <f t="shared" ca="1" si="21"/>
        <v>#DIV/0!</v>
      </c>
      <c r="AK39" s="4" t="e">
        <f t="shared" ca="1" si="22"/>
        <v>#DIV/0!</v>
      </c>
      <c r="AM39" s="563">
        <f t="shared" ca="1" si="12"/>
        <v>45905</v>
      </c>
      <c r="AN39" s="564">
        <v>105.03</v>
      </c>
      <c r="AO39" s="564">
        <v>864535</v>
      </c>
      <c r="AP39" s="564">
        <v>48497.476999999999</v>
      </c>
      <c r="AQ39" s="564">
        <v>5093690.0093099996</v>
      </c>
      <c r="AR39" s="564">
        <v>1.2007000000000001</v>
      </c>
    </row>
    <row r="40" spans="2:44">
      <c r="B40" s="565">
        <f t="shared" ca="1" si="23"/>
        <v>45695</v>
      </c>
      <c r="C40" s="561">
        <f ca="1">(IFERROR(IFERROR(VALUE(_xll.BDH(C$4,"CURRENT_EV_TO_T12M_EBITDA",$B40,$B40)),VALUE(_xll.BDH(C$4,"CURRENT_EV_TO_T12M_EBITDA",$B40+1,$B40+1))),C41))</f>
        <v>0</v>
      </c>
      <c r="D40" s="561">
        <f ca="1">(IFERROR(IFERROR(VALUE(_xll.BDH(D$4,"CURRENT_EV_TO_T12M_EBITDA",$B40,$B40)),VALUE(_xll.BDH(D$4,"CURRENT_EV_TO_T12M_EBITDA",$B40+1,$B40+1))),D41))</f>
        <v>0</v>
      </c>
      <c r="E40" s="561">
        <f ca="1">(IFERROR(IFERROR(VALUE(_xll.BDH(E$4,"CURRENT_EV_TO_T12M_EBITDA",$B40,$B40)),VALUE(_xll.BDH(E$4,"CURRENT_EV_TO_T12M_EBITDA",$B40+1,$B40+1))),E41))</f>
        <v>0</v>
      </c>
      <c r="F40" s="561">
        <f ca="1">(IFERROR(IFERROR(VALUE(_xll.BDH(F$4,"CURRENT_EV_TO_T12M_EBITDA",$B40,$B40)),VALUE(_xll.BDH(F$4,"CURRENT_EV_TO_T12M_EBITDA",$B40+1,$B40+1))),F41))</f>
        <v>0</v>
      </c>
      <c r="G40" s="561">
        <f ca="1">(IFERROR(IFERROR(VALUE(_xll.BDH(G$4,"CURRENT_EV_TO_T12M_EBITDA",$B40,$B40)),VALUE(_xll.BDH(G$4,"CURRENT_EV_TO_T12M_EBITDA",$B40+1,$B40+1))),G41))</f>
        <v>0</v>
      </c>
      <c r="H40" s="561">
        <f ca="1">(IFERROR(IFERROR(VALUE(_xll.BDH(H$4,"CURRENT_EV_TO_T12M_EBITDA",$B40,$B40)),VALUE(_xll.BDH(H$4,"CURRENT_EV_TO_T12M_EBITDA",$B40+1,$B40+1))),H41))</f>
        <v>0</v>
      </c>
      <c r="I40" s="565">
        <f t="shared" ca="1" si="14"/>
        <v>45695</v>
      </c>
      <c r="J40" s="561">
        <f ca="1">(IFERROR(IFERROR(VALUE(_xll.BDH(J$4,"PE_RATIO",$B40,$B40)),VALUE(_xll.BDH(J$4,"PE_RATIO",$B40+1,$B40+1))),J41))</f>
        <v>0</v>
      </c>
      <c r="K40" s="561">
        <f ca="1">(IFERROR(IFERROR(VALUE(_xll.BDH(K$4,"PE_RATIO",$B40,$B40)),VALUE(_xll.BDH(K$4,"PE_RATIO",$B40+1,$B40+1))),K41))</f>
        <v>0</v>
      </c>
      <c r="L40" s="561">
        <f ca="1">(IFERROR(IFERROR(VALUE(_xll.BDH(L$4,"PE_RATIO",$B40,$B40)),VALUE(_xll.BDH(L$4,"PE_RATIO",$B40+1,$B40+1))),L41))</f>
        <v>0</v>
      </c>
      <c r="M40" s="561">
        <f ca="1">(IFERROR(IFERROR(VALUE(_xll.BDH(M$4,"PE_RATIO",$B40,$B40)),VALUE(_xll.BDH(M$4,"PE_RATIO",$B40+1,$B40+1))),M41))</f>
        <v>0</v>
      </c>
      <c r="N40" s="561">
        <f ca="1">(IFERROR(IFERROR(VALUE(_xll.BDH(N$4,"PE_RATIO",$B40,$B40)),VALUE(_xll.BDH(N$4,"PE_RATIO",$B40+1,$B40+1))),N41))</f>
        <v>0</v>
      </c>
      <c r="O40" s="561">
        <f ca="1">(IFERROR(IFERROR(VALUE(_xll.BDH(O$4,"PE_RATIO",$B40,$B40)),VALUE(_xll.BDH(O$4,"PE_RATIO",$B40+1,$B40+1))),O41))</f>
        <v>0</v>
      </c>
      <c r="P40" s="561"/>
      <c r="Q40" s="565">
        <f t="shared" ca="1" si="15"/>
        <v>45695</v>
      </c>
      <c r="R40" s="4">
        <v>103.68</v>
      </c>
      <c r="S40" s="4">
        <v>5909.03</v>
      </c>
      <c r="T40" s="4">
        <v>368.98399999999998</v>
      </c>
      <c r="U40" s="4">
        <v>1.7128696514125228</v>
      </c>
      <c r="V40" s="4">
        <v>1.6201152088262791</v>
      </c>
      <c r="W40" s="4" t="e">
        <v>#DIV/0!</v>
      </c>
      <c r="Y40" s="561">
        <f t="shared" si="16"/>
        <v>103.68</v>
      </c>
      <c r="Z40" s="4">
        <f ca="1">IFERROR(VALUE(_xll.BDH(Z$4,"PX_LAST",$Q40,$Q40)),Z41)</f>
        <v>0</v>
      </c>
      <c r="AA40" s="4">
        <f ca="1">IFERROR(VALUE(_xll.BDH(AA$4,"PX_LAST",$Q40,$Q40)),AA41)</f>
        <v>0</v>
      </c>
      <c r="AB40" s="4">
        <f ca="1">IFERROR(VALUE(_xll.BDH(AB$4,"PX_LAST",$Q40,$Q40)),AB41)</f>
        <v>0</v>
      </c>
      <c r="AC40" s="4">
        <f ca="1">IFERROR(VALUE(_xll.BDH(AC$4,"PX_LAST",$Q40,$Q40)),AC41)</f>
        <v>0</v>
      </c>
      <c r="AD40" s="4">
        <f ca="1">IFERROR(VALUE(_xll.BDH(AD$4,"PX_LAST",$Q40,$Q40)),AD41)</f>
        <v>0</v>
      </c>
      <c r="AF40" s="4">
        <f t="shared" si="17"/>
        <v>1.7128696514125228</v>
      </c>
      <c r="AG40" s="4" t="e">
        <f t="shared" ca="1" si="18"/>
        <v>#DIV/0!</v>
      </c>
      <c r="AH40" s="4" t="e">
        <f t="shared" ca="1" si="19"/>
        <v>#DIV/0!</v>
      </c>
      <c r="AI40" s="4" t="e">
        <f t="shared" ca="1" si="20"/>
        <v>#DIV/0!</v>
      </c>
      <c r="AJ40" s="4" t="e">
        <f t="shared" ca="1" si="21"/>
        <v>#DIV/0!</v>
      </c>
      <c r="AK40" s="4" t="e">
        <f t="shared" ca="1" si="22"/>
        <v>#DIV/0!</v>
      </c>
      <c r="AM40" s="563">
        <f t="shared" ca="1" si="12"/>
        <v>45904</v>
      </c>
      <c r="AN40" s="564">
        <v>103.61</v>
      </c>
      <c r="AO40" s="564">
        <v>1295835</v>
      </c>
      <c r="AP40" s="564">
        <v>48497.476999999999</v>
      </c>
      <c r="AQ40" s="564">
        <v>5024823.5919699995</v>
      </c>
      <c r="AR40" s="564">
        <v>1.1843999999999999</v>
      </c>
    </row>
    <row r="41" spans="2:44">
      <c r="B41" s="565">
        <f t="shared" ca="1" si="23"/>
        <v>45688</v>
      </c>
      <c r="C41" s="561">
        <f ca="1">(IFERROR(IFERROR(VALUE(_xll.BDH(C$4,"CURRENT_EV_TO_T12M_EBITDA",$B41,$B41)),VALUE(_xll.BDH(C$4,"CURRENT_EV_TO_T12M_EBITDA",$B41+1,$B41+1))),C42))</f>
        <v>0</v>
      </c>
      <c r="D41" s="561">
        <f ca="1">(IFERROR(IFERROR(VALUE(_xll.BDH(D$4,"CURRENT_EV_TO_T12M_EBITDA",$B41,$B41)),VALUE(_xll.BDH(D$4,"CURRENT_EV_TO_T12M_EBITDA",$B41+1,$B41+1))),D42))</f>
        <v>0</v>
      </c>
      <c r="E41" s="561">
        <f ca="1">(IFERROR(IFERROR(VALUE(_xll.BDH(E$4,"CURRENT_EV_TO_T12M_EBITDA",$B41,$B41)),VALUE(_xll.BDH(E$4,"CURRENT_EV_TO_T12M_EBITDA",$B41+1,$B41+1))),E42))</f>
        <v>0</v>
      </c>
      <c r="F41" s="561">
        <f ca="1">(IFERROR(IFERROR(VALUE(_xll.BDH(F$4,"CURRENT_EV_TO_T12M_EBITDA",$B41,$B41)),VALUE(_xll.BDH(F$4,"CURRENT_EV_TO_T12M_EBITDA",$B41+1,$B41+1))),F42))</f>
        <v>0</v>
      </c>
      <c r="G41" s="561">
        <f ca="1">(IFERROR(IFERROR(VALUE(_xll.BDH(G$4,"CURRENT_EV_TO_T12M_EBITDA",$B41,$B41)),VALUE(_xll.BDH(G$4,"CURRENT_EV_TO_T12M_EBITDA",$B41+1,$B41+1))),G42))</f>
        <v>0</v>
      </c>
      <c r="H41" s="561">
        <f ca="1">(IFERROR(IFERROR(VALUE(_xll.BDH(H$4,"CURRENT_EV_TO_T12M_EBITDA",$B41,$B41)),VALUE(_xll.BDH(H$4,"CURRENT_EV_TO_T12M_EBITDA",$B41+1,$B41+1))),H42))</f>
        <v>0</v>
      </c>
      <c r="I41" s="565">
        <f t="shared" ca="1" si="14"/>
        <v>45688</v>
      </c>
      <c r="J41" s="561">
        <f ca="1">(IFERROR(IFERROR(VALUE(_xll.BDH(J$4,"PE_RATIO",$B41,$B41)),VALUE(_xll.BDH(J$4,"PE_RATIO",$B41+1,$B41+1))),J42))</f>
        <v>0</v>
      </c>
      <c r="K41" s="561">
        <f ca="1">(IFERROR(IFERROR(VALUE(_xll.BDH(K$4,"PE_RATIO",$B41,$B41)),VALUE(_xll.BDH(K$4,"PE_RATIO",$B41+1,$B41+1))),K42))</f>
        <v>0</v>
      </c>
      <c r="L41" s="561">
        <f ca="1">(IFERROR(IFERROR(VALUE(_xll.BDH(L$4,"PE_RATIO",$B41,$B41)),VALUE(_xll.BDH(L$4,"PE_RATIO",$B41+1,$B41+1))),L42))</f>
        <v>0</v>
      </c>
      <c r="M41" s="561">
        <f ca="1">(IFERROR(IFERROR(VALUE(_xll.BDH(M$4,"PE_RATIO",$B41,$B41)),VALUE(_xll.BDH(M$4,"PE_RATIO",$B41+1,$B41+1))),M42))</f>
        <v>0</v>
      </c>
      <c r="N41" s="561">
        <f ca="1">(IFERROR(IFERROR(VALUE(_xll.BDH(N$4,"PE_RATIO",$B41,$B41)),VALUE(_xll.BDH(N$4,"PE_RATIO",$B41+1,$B41+1))),N42))</f>
        <v>0</v>
      </c>
      <c r="O41" s="561">
        <f ca="1">(IFERROR(IFERROR(VALUE(_xll.BDH(O$4,"PE_RATIO",$B41,$B41)),VALUE(_xll.BDH(O$4,"PE_RATIO",$B41+1,$B41+1))),O42))</f>
        <v>0</v>
      </c>
      <c r="P41" s="561"/>
      <c r="Q41" s="565">
        <f t="shared" ca="1" si="15"/>
        <v>45688</v>
      </c>
      <c r="R41" s="4">
        <v>102.92</v>
      </c>
      <c r="S41" s="4">
        <v>5881.63</v>
      </c>
      <c r="T41" s="4">
        <v>368.98399999999998</v>
      </c>
      <c r="U41" s="4">
        <v>1.7003138939368907</v>
      </c>
      <c r="V41" s="4">
        <v>1.6126027817914124</v>
      </c>
      <c r="W41" s="4" t="e">
        <v>#DIV/0!</v>
      </c>
      <c r="Y41" s="561">
        <f t="shared" si="16"/>
        <v>102.92</v>
      </c>
      <c r="Z41" s="4">
        <f ca="1">IFERROR(VALUE(_xll.BDH(Z$4,"PX_LAST",$Q41,$Q41)),Z42)</f>
        <v>0</v>
      </c>
      <c r="AA41" s="4">
        <f ca="1">IFERROR(VALUE(_xll.BDH(AA$4,"PX_LAST",$Q41,$Q41)),AA42)</f>
        <v>0</v>
      </c>
      <c r="AB41" s="4">
        <f ca="1">IFERROR(VALUE(_xll.BDH(AB$4,"PX_LAST",$Q41,$Q41)),AB42)</f>
        <v>0</v>
      </c>
      <c r="AC41" s="4">
        <f ca="1">IFERROR(VALUE(_xll.BDH(AC$4,"PX_LAST",$Q41,$Q41)),AC42)</f>
        <v>0</v>
      </c>
      <c r="AD41" s="4">
        <f ca="1">IFERROR(VALUE(_xll.BDH(AD$4,"PX_LAST",$Q41,$Q41)),AD42)</f>
        <v>0</v>
      </c>
      <c r="AF41" s="4">
        <f t="shared" si="17"/>
        <v>1.7003138939368907</v>
      </c>
      <c r="AG41" s="4" t="e">
        <f t="shared" ca="1" si="18"/>
        <v>#DIV/0!</v>
      </c>
      <c r="AH41" s="4" t="e">
        <f t="shared" ca="1" si="19"/>
        <v>#DIV/0!</v>
      </c>
      <c r="AI41" s="4" t="e">
        <f t="shared" ca="1" si="20"/>
        <v>#DIV/0!</v>
      </c>
      <c r="AJ41" s="4" t="e">
        <f t="shared" ca="1" si="21"/>
        <v>#DIV/0!</v>
      </c>
      <c r="AK41" s="4" t="e">
        <f t="shared" ca="1" si="22"/>
        <v>#DIV/0!</v>
      </c>
      <c r="AM41" s="563">
        <f t="shared" ca="1" si="12"/>
        <v>45903</v>
      </c>
      <c r="AN41" s="564">
        <v>107.88</v>
      </c>
      <c r="AO41" s="564">
        <v>927144</v>
      </c>
      <c r="AP41" s="564">
        <v>48497.476999999999</v>
      </c>
      <c r="AQ41" s="564">
        <v>5231907.8187599992</v>
      </c>
      <c r="AR41" s="564">
        <v>1.2332000000000001</v>
      </c>
    </row>
    <row r="42" spans="2:44">
      <c r="B42" s="565">
        <f t="shared" ca="1" si="23"/>
        <v>45681</v>
      </c>
      <c r="C42" s="561">
        <f ca="1">(IFERROR(IFERROR(VALUE(_xll.BDH(C$4,"CURRENT_EV_TO_T12M_EBITDA",$B42,$B42)),VALUE(_xll.BDH(C$4,"CURRENT_EV_TO_T12M_EBITDA",$B42+1,$B42+1))),C43))</f>
        <v>0</v>
      </c>
      <c r="D42" s="561">
        <f ca="1">(IFERROR(IFERROR(VALUE(_xll.BDH(D$4,"CURRENT_EV_TO_T12M_EBITDA",$B42,$B42)),VALUE(_xll.BDH(D$4,"CURRENT_EV_TO_T12M_EBITDA",$B42+1,$B42+1))),D43))</f>
        <v>0</v>
      </c>
      <c r="E42" s="561">
        <f ca="1">(IFERROR(IFERROR(VALUE(_xll.BDH(E$4,"CURRENT_EV_TO_T12M_EBITDA",$B42,$B42)),VALUE(_xll.BDH(E$4,"CURRENT_EV_TO_T12M_EBITDA",$B42+1,$B42+1))),E43))</f>
        <v>0</v>
      </c>
      <c r="F42" s="561">
        <f ca="1">(IFERROR(IFERROR(VALUE(_xll.BDH(F$4,"CURRENT_EV_TO_T12M_EBITDA",$B42,$B42)),VALUE(_xll.BDH(F$4,"CURRENT_EV_TO_T12M_EBITDA",$B42+1,$B42+1))),F43))</f>
        <v>0</v>
      </c>
      <c r="G42" s="561">
        <f ca="1">(IFERROR(IFERROR(VALUE(_xll.BDH(G$4,"CURRENT_EV_TO_T12M_EBITDA",$B42,$B42)),VALUE(_xll.BDH(G$4,"CURRENT_EV_TO_T12M_EBITDA",$B42+1,$B42+1))),G43))</f>
        <v>0</v>
      </c>
      <c r="H42" s="561">
        <f ca="1">(IFERROR(IFERROR(VALUE(_xll.BDH(H$4,"CURRENT_EV_TO_T12M_EBITDA",$B42,$B42)),VALUE(_xll.BDH(H$4,"CURRENT_EV_TO_T12M_EBITDA",$B42+1,$B42+1))),H43))</f>
        <v>0</v>
      </c>
      <c r="I42" s="565">
        <f t="shared" ca="1" si="14"/>
        <v>45681</v>
      </c>
      <c r="J42" s="561">
        <f ca="1">(IFERROR(IFERROR(VALUE(_xll.BDH(J$4,"PE_RATIO",$B42,$B42)),VALUE(_xll.BDH(J$4,"PE_RATIO",$B42+1,$B42+1))),J43))</f>
        <v>0</v>
      </c>
      <c r="K42" s="561">
        <f ca="1">(IFERROR(IFERROR(VALUE(_xll.BDH(K$4,"PE_RATIO",$B42,$B42)),VALUE(_xll.BDH(K$4,"PE_RATIO",$B42+1,$B42+1))),K43))</f>
        <v>0</v>
      </c>
      <c r="L42" s="561">
        <f ca="1">(IFERROR(IFERROR(VALUE(_xll.BDH(L$4,"PE_RATIO",$B42,$B42)),VALUE(_xll.BDH(L$4,"PE_RATIO",$B42+1,$B42+1))),L43))</f>
        <v>0</v>
      </c>
      <c r="M42" s="561">
        <f ca="1">(IFERROR(IFERROR(VALUE(_xll.BDH(M$4,"PE_RATIO",$B42,$B42)),VALUE(_xll.BDH(M$4,"PE_RATIO",$B42+1,$B42+1))),M43))</f>
        <v>0</v>
      </c>
      <c r="N42" s="561">
        <f ca="1">(IFERROR(IFERROR(VALUE(_xll.BDH(N$4,"PE_RATIO",$B42,$B42)),VALUE(_xll.BDH(N$4,"PE_RATIO",$B42+1,$B42+1))),N43))</f>
        <v>0</v>
      </c>
      <c r="O42" s="561">
        <f ca="1">(IFERROR(IFERROR(VALUE(_xll.BDH(O$4,"PE_RATIO",$B42,$B42)),VALUE(_xll.BDH(O$4,"PE_RATIO",$B42+1,$B42+1))),O43))</f>
        <v>0</v>
      </c>
      <c r="P42" s="561"/>
      <c r="Q42" s="565">
        <f t="shared" ca="1" si="15"/>
        <v>45681</v>
      </c>
      <c r="R42" s="4">
        <v>102.75</v>
      </c>
      <c r="S42" s="4">
        <v>6040.04</v>
      </c>
      <c r="T42" s="4">
        <v>335.149</v>
      </c>
      <c r="U42" s="4">
        <v>1.6975053692383941</v>
      </c>
      <c r="V42" s="4">
        <v>1.6560350287473713</v>
      </c>
      <c r="W42" s="4" t="e">
        <v>#DIV/0!</v>
      </c>
      <c r="Y42" s="561">
        <f t="shared" si="16"/>
        <v>102.75</v>
      </c>
      <c r="Z42" s="4">
        <f ca="1">IFERROR(VALUE(_xll.BDH(Z$4,"PX_LAST",$Q42,$Q42)),Z43)</f>
        <v>0</v>
      </c>
      <c r="AA42" s="4">
        <f ca="1">IFERROR(VALUE(_xll.BDH(AA$4,"PX_LAST",$Q42,$Q42)),AA43)</f>
        <v>0</v>
      </c>
      <c r="AB42" s="4">
        <f ca="1">IFERROR(VALUE(_xll.BDH(AB$4,"PX_LAST",$Q42,$Q42)),AB43)</f>
        <v>0</v>
      </c>
      <c r="AC42" s="4">
        <f ca="1">IFERROR(VALUE(_xll.BDH(AC$4,"PX_LAST",$Q42,$Q42)),AC43)</f>
        <v>0</v>
      </c>
      <c r="AD42" s="4">
        <f ca="1">IFERROR(VALUE(_xll.BDH(AD$4,"PX_LAST",$Q42,$Q42)),AD43)</f>
        <v>0</v>
      </c>
      <c r="AF42" s="4">
        <f t="shared" si="17"/>
        <v>1.6975053692383941</v>
      </c>
      <c r="AG42" s="4" t="e">
        <f t="shared" ca="1" si="18"/>
        <v>#DIV/0!</v>
      </c>
      <c r="AH42" s="4" t="e">
        <f t="shared" ca="1" si="19"/>
        <v>#DIV/0!</v>
      </c>
      <c r="AI42" s="4" t="e">
        <f t="shared" ca="1" si="20"/>
        <v>#DIV/0!</v>
      </c>
      <c r="AJ42" s="4" t="e">
        <f t="shared" ca="1" si="21"/>
        <v>#DIV/0!</v>
      </c>
      <c r="AK42" s="4" t="e">
        <f t="shared" ca="1" si="22"/>
        <v>#DIV/0!</v>
      </c>
      <c r="AM42" s="563">
        <f t="shared" ca="1" si="12"/>
        <v>45902</v>
      </c>
      <c r="AN42" s="564">
        <v>107.88</v>
      </c>
      <c r="AO42" s="564">
        <v>927144</v>
      </c>
      <c r="AP42" s="564">
        <v>48497.476999999999</v>
      </c>
      <c r="AQ42" s="564">
        <v>5231907.8187599992</v>
      </c>
      <c r="AR42" s="564">
        <v>1.2332000000000001</v>
      </c>
    </row>
    <row r="43" spans="2:44">
      <c r="B43" s="565">
        <f t="shared" ca="1" si="23"/>
        <v>45674</v>
      </c>
      <c r="C43" s="561">
        <f ca="1">(IFERROR(IFERROR(VALUE(_xll.BDH(C$4,"CURRENT_EV_TO_T12M_EBITDA",$B43,$B43)),VALUE(_xll.BDH(C$4,"CURRENT_EV_TO_T12M_EBITDA",$B43+1,$B43+1))),C44))</f>
        <v>0</v>
      </c>
      <c r="D43" s="561">
        <f ca="1">(IFERROR(IFERROR(VALUE(_xll.BDH(D$4,"CURRENT_EV_TO_T12M_EBITDA",$B43,$B43)),VALUE(_xll.BDH(D$4,"CURRENT_EV_TO_T12M_EBITDA",$B43+1,$B43+1))),D44))</f>
        <v>0</v>
      </c>
      <c r="E43" s="561">
        <f ca="1">(IFERROR(IFERROR(VALUE(_xll.BDH(E$4,"CURRENT_EV_TO_T12M_EBITDA",$B43,$B43)),VALUE(_xll.BDH(E$4,"CURRENT_EV_TO_T12M_EBITDA",$B43+1,$B43+1))),E44))</f>
        <v>0</v>
      </c>
      <c r="F43" s="561">
        <f ca="1">(IFERROR(IFERROR(VALUE(_xll.BDH(F$4,"CURRENT_EV_TO_T12M_EBITDA",$B43,$B43)),VALUE(_xll.BDH(F$4,"CURRENT_EV_TO_T12M_EBITDA",$B43+1,$B43+1))),F44))</f>
        <v>0</v>
      </c>
      <c r="G43" s="561">
        <f ca="1">(IFERROR(IFERROR(VALUE(_xll.BDH(G$4,"CURRENT_EV_TO_T12M_EBITDA",$B43,$B43)),VALUE(_xll.BDH(G$4,"CURRENT_EV_TO_T12M_EBITDA",$B43+1,$B43+1))),G44))</f>
        <v>0</v>
      </c>
      <c r="H43" s="561">
        <f ca="1">(IFERROR(IFERROR(VALUE(_xll.BDH(H$4,"CURRENT_EV_TO_T12M_EBITDA",$B43,$B43)),VALUE(_xll.BDH(H$4,"CURRENT_EV_TO_T12M_EBITDA",$B43+1,$B43+1))),H44))</f>
        <v>0</v>
      </c>
      <c r="I43" s="565">
        <f t="shared" ca="1" si="14"/>
        <v>45674</v>
      </c>
      <c r="J43" s="561">
        <f ca="1">(IFERROR(IFERROR(VALUE(_xll.BDH(J$4,"PE_RATIO",$B43,$B43)),VALUE(_xll.BDH(J$4,"PE_RATIO",$B43+1,$B43+1))),J44))</f>
        <v>0</v>
      </c>
      <c r="K43" s="561">
        <f ca="1">(IFERROR(IFERROR(VALUE(_xll.BDH(K$4,"PE_RATIO",$B43,$B43)),VALUE(_xll.BDH(K$4,"PE_RATIO",$B43+1,$B43+1))),K44))</f>
        <v>0</v>
      </c>
      <c r="L43" s="561">
        <f ca="1">(IFERROR(IFERROR(VALUE(_xll.BDH(L$4,"PE_RATIO",$B43,$B43)),VALUE(_xll.BDH(L$4,"PE_RATIO",$B43+1,$B43+1))),L44))</f>
        <v>0</v>
      </c>
      <c r="M43" s="561">
        <f ca="1">(IFERROR(IFERROR(VALUE(_xll.BDH(M$4,"PE_RATIO",$B43,$B43)),VALUE(_xll.BDH(M$4,"PE_RATIO",$B43+1,$B43+1))),M44))</f>
        <v>0</v>
      </c>
      <c r="N43" s="561">
        <f ca="1">(IFERROR(IFERROR(VALUE(_xll.BDH(N$4,"PE_RATIO",$B43,$B43)),VALUE(_xll.BDH(N$4,"PE_RATIO",$B43+1,$B43+1))),N44))</f>
        <v>0</v>
      </c>
      <c r="O43" s="561">
        <f ca="1">(IFERROR(IFERROR(VALUE(_xll.BDH(O$4,"PE_RATIO",$B43,$B43)),VALUE(_xll.BDH(O$4,"PE_RATIO",$B43+1,$B43+1))),O44))</f>
        <v>0</v>
      </c>
      <c r="P43" s="561"/>
      <c r="Q43" s="565">
        <f t="shared" ca="1" si="15"/>
        <v>45674</v>
      </c>
      <c r="R43" s="4">
        <v>106.66</v>
      </c>
      <c r="S43" s="4">
        <v>6050.61</v>
      </c>
      <c r="T43" s="4">
        <v>335.149</v>
      </c>
      <c r="U43" s="4">
        <v>1.7621014373038162</v>
      </c>
      <c r="V43" s="4">
        <v>1.6589330708553474</v>
      </c>
      <c r="W43" s="4" t="e">
        <v>#DIV/0!</v>
      </c>
      <c r="Y43" s="561">
        <f t="shared" si="16"/>
        <v>106.66</v>
      </c>
      <c r="Z43" s="4">
        <f ca="1">IFERROR(VALUE(_xll.BDH(Z$4,"PX_LAST",$Q43,$Q43)),Z44)</f>
        <v>0</v>
      </c>
      <c r="AA43" s="4">
        <f ca="1">IFERROR(VALUE(_xll.BDH(AA$4,"PX_LAST",$Q43,$Q43)),AA44)</f>
        <v>0</v>
      </c>
      <c r="AB43" s="4">
        <f ca="1">IFERROR(VALUE(_xll.BDH(AB$4,"PX_LAST",$Q43,$Q43)),AB44)</f>
        <v>0</v>
      </c>
      <c r="AC43" s="4">
        <f ca="1">IFERROR(VALUE(_xll.BDH(AC$4,"PX_LAST",$Q43,$Q43)),AC44)</f>
        <v>0</v>
      </c>
      <c r="AD43" s="4">
        <f ca="1">IFERROR(VALUE(_xll.BDH(AD$4,"PX_LAST",$Q43,$Q43)),AD44)</f>
        <v>0</v>
      </c>
      <c r="AF43" s="4">
        <f t="shared" si="17"/>
        <v>1.7621014373038162</v>
      </c>
      <c r="AG43" s="4" t="e">
        <f t="shared" ca="1" si="18"/>
        <v>#DIV/0!</v>
      </c>
      <c r="AH43" s="4" t="e">
        <f t="shared" ca="1" si="19"/>
        <v>#DIV/0!</v>
      </c>
      <c r="AI43" s="4" t="e">
        <f t="shared" ca="1" si="20"/>
        <v>#DIV/0!</v>
      </c>
      <c r="AJ43" s="4" t="e">
        <f t="shared" ca="1" si="21"/>
        <v>#DIV/0!</v>
      </c>
      <c r="AK43" s="4" t="e">
        <f t="shared" ca="1" si="22"/>
        <v>#DIV/0!</v>
      </c>
      <c r="AM43" s="563">
        <f t="shared" ca="1" si="12"/>
        <v>45901</v>
      </c>
      <c r="AN43" s="564">
        <v>107.88</v>
      </c>
      <c r="AO43" s="564">
        <v>927144</v>
      </c>
      <c r="AP43" s="564">
        <v>48497.476999999999</v>
      </c>
      <c r="AQ43" s="564">
        <v>5231907.8187599992</v>
      </c>
      <c r="AR43" s="564">
        <v>1.2332000000000001</v>
      </c>
    </row>
    <row r="44" spans="2:44">
      <c r="B44" s="565">
        <f t="shared" ca="1" si="23"/>
        <v>45667</v>
      </c>
      <c r="C44" s="561">
        <f ca="1">(IFERROR(IFERROR(VALUE(_xll.BDH(C$4,"CURRENT_EV_TO_T12M_EBITDA",$B44,$B44)),VALUE(_xll.BDH(C$4,"CURRENT_EV_TO_T12M_EBITDA",$B44+1,$B44+1))),C45))</f>
        <v>0</v>
      </c>
      <c r="D44" s="561">
        <f ca="1">(IFERROR(IFERROR(VALUE(_xll.BDH(D$4,"CURRENT_EV_TO_T12M_EBITDA",$B44,$B44)),VALUE(_xll.BDH(D$4,"CURRENT_EV_TO_T12M_EBITDA",$B44+1,$B44+1))),D45))</f>
        <v>0</v>
      </c>
      <c r="E44" s="561">
        <f ca="1">(IFERROR(IFERROR(VALUE(_xll.BDH(E$4,"CURRENT_EV_TO_T12M_EBITDA",$B44,$B44)),VALUE(_xll.BDH(E$4,"CURRENT_EV_TO_T12M_EBITDA",$B44+1,$B44+1))),E45))</f>
        <v>0</v>
      </c>
      <c r="F44" s="561">
        <f ca="1">(IFERROR(IFERROR(VALUE(_xll.BDH(F$4,"CURRENT_EV_TO_T12M_EBITDA",$B44,$B44)),VALUE(_xll.BDH(F$4,"CURRENT_EV_TO_T12M_EBITDA",$B44+1,$B44+1))),F45))</f>
        <v>0</v>
      </c>
      <c r="G44" s="561">
        <f ca="1">(IFERROR(IFERROR(VALUE(_xll.BDH(G$4,"CURRENT_EV_TO_T12M_EBITDA",$B44,$B44)),VALUE(_xll.BDH(G$4,"CURRENT_EV_TO_T12M_EBITDA",$B44+1,$B44+1))),G45))</f>
        <v>0</v>
      </c>
      <c r="H44" s="561">
        <f ca="1">(IFERROR(IFERROR(VALUE(_xll.BDH(H$4,"CURRENT_EV_TO_T12M_EBITDA",$B44,$B44)),VALUE(_xll.BDH(H$4,"CURRENT_EV_TO_T12M_EBITDA",$B44+1,$B44+1))),H45))</f>
        <v>0</v>
      </c>
      <c r="I44" s="565">
        <f t="shared" ca="1" si="14"/>
        <v>45667</v>
      </c>
      <c r="J44" s="561">
        <f ca="1">(IFERROR(IFERROR(VALUE(_xll.BDH(J$4,"PE_RATIO",$B44,$B44)),VALUE(_xll.BDH(J$4,"PE_RATIO",$B44+1,$B44+1))),J45))</f>
        <v>0</v>
      </c>
      <c r="K44" s="561">
        <f ca="1">(IFERROR(IFERROR(VALUE(_xll.BDH(K$4,"PE_RATIO",$B44,$B44)),VALUE(_xll.BDH(K$4,"PE_RATIO",$B44+1,$B44+1))),K45))</f>
        <v>0</v>
      </c>
      <c r="L44" s="561">
        <f ca="1">(IFERROR(IFERROR(VALUE(_xll.BDH(L$4,"PE_RATIO",$B44,$B44)),VALUE(_xll.BDH(L$4,"PE_RATIO",$B44+1,$B44+1))),L45))</f>
        <v>0</v>
      </c>
      <c r="M44" s="561">
        <f ca="1">(IFERROR(IFERROR(VALUE(_xll.BDH(M$4,"PE_RATIO",$B44,$B44)),VALUE(_xll.BDH(M$4,"PE_RATIO",$B44+1,$B44+1))),M45))</f>
        <v>0</v>
      </c>
      <c r="N44" s="561">
        <f ca="1">(IFERROR(IFERROR(VALUE(_xll.BDH(N$4,"PE_RATIO",$B44,$B44)),VALUE(_xll.BDH(N$4,"PE_RATIO",$B44+1,$B44+1))),N45))</f>
        <v>0</v>
      </c>
      <c r="O44" s="561">
        <f ca="1">(IFERROR(IFERROR(VALUE(_xll.BDH(O$4,"PE_RATIO",$B44,$B44)),VALUE(_xll.BDH(O$4,"PE_RATIO",$B44+1,$B44+1))),O45))</f>
        <v>0</v>
      </c>
      <c r="P44" s="561"/>
      <c r="Q44" s="565">
        <f t="shared" ca="1" si="15"/>
        <v>45667</v>
      </c>
      <c r="R44" s="4">
        <v>104.2</v>
      </c>
      <c r="S44" s="4">
        <v>6034.91</v>
      </c>
      <c r="T44" s="4">
        <v>335.149</v>
      </c>
      <c r="U44" s="4">
        <v>1.7214604328432181</v>
      </c>
      <c r="V44" s="4">
        <v>1.6546285049996023</v>
      </c>
      <c r="W44" s="4" t="e">
        <v>#DIV/0!</v>
      </c>
      <c r="Y44" s="561">
        <f t="shared" si="16"/>
        <v>104.2</v>
      </c>
      <c r="Z44" s="4">
        <f ca="1">IFERROR(VALUE(_xll.BDH(Z$4,"PX_LAST",$Q44,$Q44)),Z45)</f>
        <v>0</v>
      </c>
      <c r="AA44" s="4">
        <f ca="1">IFERROR(VALUE(_xll.BDH(AA$4,"PX_LAST",$Q44,$Q44)),AA45)</f>
        <v>0</v>
      </c>
      <c r="AB44" s="4">
        <f ca="1">IFERROR(VALUE(_xll.BDH(AB$4,"PX_LAST",$Q44,$Q44)),AB45)</f>
        <v>0</v>
      </c>
      <c r="AC44" s="4">
        <f ca="1">IFERROR(VALUE(_xll.BDH(AC$4,"PX_LAST",$Q44,$Q44)),AC45)</f>
        <v>0</v>
      </c>
      <c r="AD44" s="4">
        <f ca="1">IFERROR(VALUE(_xll.BDH(AD$4,"PX_LAST",$Q44,$Q44)),AD45)</f>
        <v>0</v>
      </c>
      <c r="AF44" s="4">
        <f t="shared" si="17"/>
        <v>1.7214604328432181</v>
      </c>
      <c r="AG44" s="4" t="e">
        <f t="shared" ca="1" si="18"/>
        <v>#DIV/0!</v>
      </c>
      <c r="AH44" s="4" t="e">
        <f t="shared" ca="1" si="19"/>
        <v>#DIV/0!</v>
      </c>
      <c r="AI44" s="4" t="e">
        <f t="shared" ca="1" si="20"/>
        <v>#DIV/0!</v>
      </c>
      <c r="AJ44" s="4" t="e">
        <f t="shared" ca="1" si="21"/>
        <v>#DIV/0!</v>
      </c>
      <c r="AK44" s="4" t="e">
        <f t="shared" ca="1" si="22"/>
        <v>#DIV/0!</v>
      </c>
      <c r="AM44" s="563">
        <f t="shared" ca="1" si="12"/>
        <v>45900</v>
      </c>
      <c r="AN44" s="564">
        <v>111.14</v>
      </c>
      <c r="AO44" s="564">
        <v>857321</v>
      </c>
      <c r="AP44" s="564">
        <v>48497.476999999999</v>
      </c>
      <c r="AQ44" s="564">
        <v>5390009.5937799998</v>
      </c>
      <c r="AR44" s="564">
        <v>1.2705</v>
      </c>
    </row>
    <row r="45" spans="2:44">
      <c r="B45" s="565">
        <f t="shared" ca="1" si="23"/>
        <v>45660</v>
      </c>
      <c r="C45" s="561">
        <f ca="1">(IFERROR(IFERROR(VALUE(_xll.BDH(C$4,"CURRENT_EV_TO_T12M_EBITDA",$B45,$B45)),VALUE(_xll.BDH(C$4,"CURRENT_EV_TO_T12M_EBITDA",$B45+1,$B45+1))),C46))</f>
        <v>0</v>
      </c>
      <c r="D45" s="561">
        <f ca="1">(IFERROR(IFERROR(VALUE(_xll.BDH(D$4,"CURRENT_EV_TO_T12M_EBITDA",$B45,$B45)),VALUE(_xll.BDH(D$4,"CURRENT_EV_TO_T12M_EBITDA",$B45+1,$B45+1))),D46))</f>
        <v>0</v>
      </c>
      <c r="E45" s="561">
        <f ca="1">(IFERROR(IFERROR(VALUE(_xll.BDH(E$4,"CURRENT_EV_TO_T12M_EBITDA",$B45,$B45)),VALUE(_xll.BDH(E$4,"CURRENT_EV_TO_T12M_EBITDA",$B45+1,$B45+1))),E46))</f>
        <v>0</v>
      </c>
      <c r="F45" s="561">
        <f ca="1">(IFERROR(IFERROR(VALUE(_xll.BDH(F$4,"CURRENT_EV_TO_T12M_EBITDA",$B45,$B45)),VALUE(_xll.BDH(F$4,"CURRENT_EV_TO_T12M_EBITDA",$B45+1,$B45+1))),F46))</f>
        <v>0</v>
      </c>
      <c r="G45" s="561">
        <f ca="1">(IFERROR(IFERROR(VALUE(_xll.BDH(G$4,"CURRENT_EV_TO_T12M_EBITDA",$B45,$B45)),VALUE(_xll.BDH(G$4,"CURRENT_EV_TO_T12M_EBITDA",$B45+1,$B45+1))),G46))</f>
        <v>0</v>
      </c>
      <c r="H45" s="561">
        <f ca="1">(IFERROR(IFERROR(VALUE(_xll.BDH(H$4,"CURRENT_EV_TO_T12M_EBITDA",$B45,$B45)),VALUE(_xll.BDH(H$4,"CURRENT_EV_TO_T12M_EBITDA",$B45+1,$B45+1))),H46))</f>
        <v>0</v>
      </c>
      <c r="I45" s="565">
        <f t="shared" ca="1" si="14"/>
        <v>45660</v>
      </c>
      <c r="J45" s="561">
        <f ca="1">(IFERROR(IFERROR(VALUE(_xll.BDH(J$4,"PE_RATIO",$B45,$B45)),VALUE(_xll.BDH(J$4,"PE_RATIO",$B45+1,$B45+1))),J46))</f>
        <v>0</v>
      </c>
      <c r="K45" s="561">
        <f ca="1">(IFERROR(IFERROR(VALUE(_xll.BDH(K$4,"PE_RATIO",$B45,$B45)),VALUE(_xll.BDH(K$4,"PE_RATIO",$B45+1,$B45+1))),K46))</f>
        <v>0</v>
      </c>
      <c r="L45" s="561">
        <f ca="1">(IFERROR(IFERROR(VALUE(_xll.BDH(L$4,"PE_RATIO",$B45,$B45)),VALUE(_xll.BDH(L$4,"PE_RATIO",$B45+1,$B45+1))),L46))</f>
        <v>0</v>
      </c>
      <c r="M45" s="561">
        <f ca="1">(IFERROR(IFERROR(VALUE(_xll.BDH(M$4,"PE_RATIO",$B45,$B45)),VALUE(_xll.BDH(M$4,"PE_RATIO",$B45+1,$B45+1))),M46))</f>
        <v>0</v>
      </c>
      <c r="N45" s="561">
        <f ca="1">(IFERROR(IFERROR(VALUE(_xll.BDH(N$4,"PE_RATIO",$B45,$B45)),VALUE(_xll.BDH(N$4,"PE_RATIO",$B45+1,$B45+1))),N46))</f>
        <v>0</v>
      </c>
      <c r="O45" s="561">
        <f ca="1">(IFERROR(IFERROR(VALUE(_xll.BDH(O$4,"PE_RATIO",$B45,$B45)),VALUE(_xll.BDH(O$4,"PE_RATIO",$B45+1,$B45+1))),O46))</f>
        <v>0</v>
      </c>
      <c r="P45" s="561"/>
      <c r="Q45" s="565">
        <f t="shared" ca="1" si="15"/>
        <v>45660</v>
      </c>
      <c r="R45" s="4">
        <v>98.64</v>
      </c>
      <c r="S45" s="4">
        <v>6049.88</v>
      </c>
      <c r="T45" s="4">
        <v>335.149</v>
      </c>
      <c r="U45" s="4">
        <v>1.6296051544688583</v>
      </c>
      <c r="V45" s="4">
        <v>1.6587329222518639</v>
      </c>
      <c r="W45" s="4" t="e">
        <v>#DIV/0!</v>
      </c>
      <c r="Y45" s="561">
        <f t="shared" si="16"/>
        <v>98.64</v>
      </c>
      <c r="Z45" s="4">
        <f ca="1">IFERROR(VALUE(_xll.BDH(Z$4,"PX_LAST",$Q45,$Q45)),Z46)</f>
        <v>0</v>
      </c>
      <c r="AA45" s="4">
        <f ca="1">IFERROR(VALUE(_xll.BDH(AA$4,"PX_LAST",$Q45,$Q45)),AA46)</f>
        <v>0</v>
      </c>
      <c r="AB45" s="4">
        <f ca="1">IFERROR(VALUE(_xll.BDH(AB$4,"PX_LAST",$Q45,$Q45)),AB46)</f>
        <v>0</v>
      </c>
      <c r="AC45" s="4">
        <f ca="1">IFERROR(VALUE(_xll.BDH(AC$4,"PX_LAST",$Q45,$Q45)),AC46)</f>
        <v>0</v>
      </c>
      <c r="AD45" s="4">
        <f ca="1">IFERROR(VALUE(_xll.BDH(AD$4,"PX_LAST",$Q45,$Q45)),AD46)</f>
        <v>0</v>
      </c>
      <c r="AF45" s="4">
        <f t="shared" si="17"/>
        <v>1.6296051544688583</v>
      </c>
      <c r="AG45" s="4" t="e">
        <f t="shared" ca="1" si="18"/>
        <v>#DIV/0!</v>
      </c>
      <c r="AH45" s="4" t="e">
        <f t="shared" ca="1" si="19"/>
        <v>#DIV/0!</v>
      </c>
      <c r="AI45" s="4" t="e">
        <f t="shared" ca="1" si="20"/>
        <v>#DIV/0!</v>
      </c>
      <c r="AJ45" s="4" t="e">
        <f t="shared" ca="1" si="21"/>
        <v>#DIV/0!</v>
      </c>
      <c r="AK45" s="4" t="e">
        <f t="shared" ca="1" si="22"/>
        <v>#DIV/0!</v>
      </c>
      <c r="AM45" s="563">
        <f t="shared" ca="1" si="12"/>
        <v>45899</v>
      </c>
      <c r="AN45" s="564">
        <v>111.16</v>
      </c>
      <c r="AO45" s="564">
        <v>1475920</v>
      </c>
      <c r="AP45" s="564">
        <v>48497.476999999999</v>
      </c>
      <c r="AQ45" s="564">
        <v>5390979.5433200002</v>
      </c>
      <c r="AR45" s="564">
        <v>1.2706999999999999</v>
      </c>
    </row>
    <row r="46" spans="2:44">
      <c r="B46" s="565">
        <f t="shared" ca="1" si="23"/>
        <v>45653</v>
      </c>
      <c r="C46" s="561">
        <f ca="1">(IFERROR(IFERROR(VALUE(_xll.BDH(C$4,"CURRENT_EV_TO_T12M_EBITDA",$B46,$B46)),VALUE(_xll.BDH(C$4,"CURRENT_EV_TO_T12M_EBITDA",$B46+1,$B46+1))),C47))</f>
        <v>0</v>
      </c>
      <c r="D46" s="561">
        <f ca="1">(IFERROR(IFERROR(VALUE(_xll.BDH(D$4,"CURRENT_EV_TO_T12M_EBITDA",$B46,$B46)),VALUE(_xll.BDH(D$4,"CURRENT_EV_TO_T12M_EBITDA",$B46+1,$B46+1))),D47))</f>
        <v>0</v>
      </c>
      <c r="E46" s="561">
        <f ca="1">(IFERROR(IFERROR(VALUE(_xll.BDH(E$4,"CURRENT_EV_TO_T12M_EBITDA",$B46,$B46)),VALUE(_xll.BDH(E$4,"CURRENT_EV_TO_T12M_EBITDA",$B46+1,$B46+1))),E47))</f>
        <v>0</v>
      </c>
      <c r="F46" s="561">
        <f ca="1">(IFERROR(IFERROR(VALUE(_xll.BDH(F$4,"CURRENT_EV_TO_T12M_EBITDA",$B46,$B46)),VALUE(_xll.BDH(F$4,"CURRENT_EV_TO_T12M_EBITDA",$B46+1,$B46+1))),F47))</f>
        <v>0</v>
      </c>
      <c r="G46" s="561">
        <f ca="1">(IFERROR(IFERROR(VALUE(_xll.BDH(G$4,"CURRENT_EV_TO_T12M_EBITDA",$B46,$B46)),VALUE(_xll.BDH(G$4,"CURRENT_EV_TO_T12M_EBITDA",$B46+1,$B46+1))),G47))</f>
        <v>0</v>
      </c>
      <c r="H46" s="561">
        <f ca="1">(IFERROR(IFERROR(VALUE(_xll.BDH(H$4,"CURRENT_EV_TO_T12M_EBITDA",$B46,$B46)),VALUE(_xll.BDH(H$4,"CURRENT_EV_TO_T12M_EBITDA",$B46+1,$B46+1))),H47))</f>
        <v>0</v>
      </c>
      <c r="I46" s="565">
        <f t="shared" ca="1" si="14"/>
        <v>45653</v>
      </c>
      <c r="J46" s="561">
        <f ca="1">(IFERROR(IFERROR(VALUE(_xll.BDH(J$4,"PE_RATIO",$B46,$B46)),VALUE(_xll.BDH(J$4,"PE_RATIO",$B46+1,$B46+1))),J47))</f>
        <v>0</v>
      </c>
      <c r="K46" s="561">
        <f ca="1">(IFERROR(IFERROR(VALUE(_xll.BDH(K$4,"PE_RATIO",$B46,$B46)),VALUE(_xll.BDH(K$4,"PE_RATIO",$B46+1,$B46+1))),K47))</f>
        <v>0</v>
      </c>
      <c r="L46" s="561">
        <f ca="1">(IFERROR(IFERROR(VALUE(_xll.BDH(L$4,"PE_RATIO",$B46,$B46)),VALUE(_xll.BDH(L$4,"PE_RATIO",$B46+1,$B46+1))),L47))</f>
        <v>0</v>
      </c>
      <c r="M46" s="561">
        <f ca="1">(IFERROR(IFERROR(VALUE(_xll.BDH(M$4,"PE_RATIO",$B46,$B46)),VALUE(_xll.BDH(M$4,"PE_RATIO",$B46+1,$B46+1))),M47))</f>
        <v>0</v>
      </c>
      <c r="N46" s="561">
        <f ca="1">(IFERROR(IFERROR(VALUE(_xll.BDH(N$4,"PE_RATIO",$B46,$B46)),VALUE(_xll.BDH(N$4,"PE_RATIO",$B46+1,$B46+1))),N47))</f>
        <v>0</v>
      </c>
      <c r="O46" s="561">
        <f ca="1">(IFERROR(IFERROR(VALUE(_xll.BDH(O$4,"PE_RATIO",$B46,$B46)),VALUE(_xll.BDH(O$4,"PE_RATIO",$B46+1,$B46+1))),O47))</f>
        <v>0</v>
      </c>
      <c r="P46" s="561"/>
      <c r="Q46" s="565">
        <f t="shared" ca="1" si="15"/>
        <v>45653</v>
      </c>
      <c r="R46" s="4">
        <v>96.62</v>
      </c>
      <c r="S46" s="4">
        <v>6021.63</v>
      </c>
      <c r="T46" s="4">
        <v>335.149</v>
      </c>
      <c r="U46" s="4">
        <v>1.5962332727573105</v>
      </c>
      <c r="V46" s="4">
        <v>1.6509874454732143</v>
      </c>
      <c r="W46" s="4" t="e">
        <v>#DIV/0!</v>
      </c>
      <c r="Y46" s="561">
        <f t="shared" si="16"/>
        <v>96.62</v>
      </c>
      <c r="Z46" s="4">
        <f ca="1">IFERROR(VALUE(_xll.BDH(Z$4,"PX_LAST",$Q46,$Q46)),Z47)</f>
        <v>0</v>
      </c>
      <c r="AA46" s="4">
        <f ca="1">IFERROR(VALUE(_xll.BDH(AA$4,"PX_LAST",$Q46,$Q46)),AA47)</f>
        <v>0</v>
      </c>
      <c r="AB46" s="4">
        <f ca="1">IFERROR(VALUE(_xll.BDH(AB$4,"PX_LAST",$Q46,$Q46)),AB47)</f>
        <v>0</v>
      </c>
      <c r="AC46" s="4">
        <f ca="1">IFERROR(VALUE(_xll.BDH(AC$4,"PX_LAST",$Q46,$Q46)),AC47)</f>
        <v>0</v>
      </c>
      <c r="AD46" s="4">
        <f ca="1">IFERROR(VALUE(_xll.BDH(AD$4,"PX_LAST",$Q46,$Q46)),AD47)</f>
        <v>0</v>
      </c>
      <c r="AF46" s="4">
        <f t="shared" si="17"/>
        <v>1.5962332727573105</v>
      </c>
      <c r="AG46" s="4" t="e">
        <f t="shared" ca="1" si="18"/>
        <v>#DIV/0!</v>
      </c>
      <c r="AH46" s="4" t="e">
        <f t="shared" ca="1" si="19"/>
        <v>#DIV/0!</v>
      </c>
      <c r="AI46" s="4" t="e">
        <f t="shared" ca="1" si="20"/>
        <v>#DIV/0!</v>
      </c>
      <c r="AJ46" s="4" t="e">
        <f t="shared" ca="1" si="21"/>
        <v>#DIV/0!</v>
      </c>
      <c r="AK46" s="4" t="e">
        <f t="shared" ca="1" si="22"/>
        <v>#DIV/0!</v>
      </c>
      <c r="AM46" s="563">
        <f t="shared" ca="1" si="12"/>
        <v>45898</v>
      </c>
      <c r="AN46" s="564">
        <v>108.15</v>
      </c>
      <c r="AO46" s="564">
        <v>1113038</v>
      </c>
      <c r="AP46" s="564">
        <v>48497.476999999999</v>
      </c>
      <c r="AQ46" s="564">
        <v>5245002.1375500001</v>
      </c>
      <c r="AR46" s="564">
        <v>1.2363</v>
      </c>
    </row>
    <row r="47" spans="2:44">
      <c r="B47" s="565">
        <f t="shared" ca="1" si="23"/>
        <v>45646</v>
      </c>
      <c r="C47" s="561">
        <f ca="1">(IFERROR(IFERROR(VALUE(_xll.BDH(C$4,"CURRENT_EV_TO_T12M_EBITDA",$B47,$B47)),VALUE(_xll.BDH(C$4,"CURRENT_EV_TO_T12M_EBITDA",$B47+1,$B47+1))),C48))</f>
        <v>0</v>
      </c>
      <c r="D47" s="561">
        <f ca="1">(IFERROR(IFERROR(VALUE(_xll.BDH(D$4,"CURRENT_EV_TO_T12M_EBITDA",$B47,$B47)),VALUE(_xll.BDH(D$4,"CURRENT_EV_TO_T12M_EBITDA",$B47+1,$B47+1))),D48))</f>
        <v>0</v>
      </c>
      <c r="E47" s="561">
        <f ca="1">(IFERROR(IFERROR(VALUE(_xll.BDH(E$4,"CURRENT_EV_TO_T12M_EBITDA",$B47,$B47)),VALUE(_xll.BDH(E$4,"CURRENT_EV_TO_T12M_EBITDA",$B47+1,$B47+1))),E48))</f>
        <v>0</v>
      </c>
      <c r="F47" s="561">
        <f ca="1">(IFERROR(IFERROR(VALUE(_xll.BDH(F$4,"CURRENT_EV_TO_T12M_EBITDA",$B47,$B47)),VALUE(_xll.BDH(F$4,"CURRENT_EV_TO_T12M_EBITDA",$B47+1,$B47+1))),F48))</f>
        <v>0</v>
      </c>
      <c r="G47" s="561">
        <f ca="1">(IFERROR(IFERROR(VALUE(_xll.BDH(G$4,"CURRENT_EV_TO_T12M_EBITDA",$B47,$B47)),VALUE(_xll.BDH(G$4,"CURRENT_EV_TO_T12M_EBITDA",$B47+1,$B47+1))),G48))</f>
        <v>0</v>
      </c>
      <c r="H47" s="561">
        <f ca="1">(IFERROR(IFERROR(VALUE(_xll.BDH(H$4,"CURRENT_EV_TO_T12M_EBITDA",$B47,$B47)),VALUE(_xll.BDH(H$4,"CURRENT_EV_TO_T12M_EBITDA",$B47+1,$B47+1))),H48))</f>
        <v>0</v>
      </c>
      <c r="I47" s="565">
        <f t="shared" ca="1" si="14"/>
        <v>45646</v>
      </c>
      <c r="J47" s="561">
        <f ca="1">(IFERROR(IFERROR(VALUE(_xll.BDH(J$4,"PE_RATIO",$B47,$B47)),VALUE(_xll.BDH(J$4,"PE_RATIO",$B47+1,$B47+1))),J48))</f>
        <v>0</v>
      </c>
      <c r="K47" s="561">
        <f ca="1">(IFERROR(IFERROR(VALUE(_xll.BDH(K$4,"PE_RATIO",$B47,$B47)),VALUE(_xll.BDH(K$4,"PE_RATIO",$B47+1,$B47+1))),K48))</f>
        <v>0</v>
      </c>
      <c r="L47" s="561">
        <f ca="1">(IFERROR(IFERROR(VALUE(_xll.BDH(L$4,"PE_RATIO",$B47,$B47)),VALUE(_xll.BDH(L$4,"PE_RATIO",$B47+1,$B47+1))),L48))</f>
        <v>0</v>
      </c>
      <c r="M47" s="561">
        <f ca="1">(IFERROR(IFERROR(VALUE(_xll.BDH(M$4,"PE_RATIO",$B47,$B47)),VALUE(_xll.BDH(M$4,"PE_RATIO",$B47+1,$B47+1))),M48))</f>
        <v>0</v>
      </c>
      <c r="N47" s="561">
        <f ca="1">(IFERROR(IFERROR(VALUE(_xll.BDH(N$4,"PE_RATIO",$B47,$B47)),VALUE(_xll.BDH(N$4,"PE_RATIO",$B47+1,$B47+1))),N48))</f>
        <v>0</v>
      </c>
      <c r="O47" s="561">
        <f ca="1">(IFERROR(IFERROR(VALUE(_xll.BDH(O$4,"PE_RATIO",$B47,$B47)),VALUE(_xll.BDH(O$4,"PE_RATIO",$B47+1,$B47+1))),O48))</f>
        <v>0</v>
      </c>
      <c r="P47" s="561"/>
      <c r="Q47" s="565">
        <f t="shared" ca="1" si="15"/>
        <v>45646</v>
      </c>
      <c r="R47" s="4">
        <v>95.14</v>
      </c>
      <c r="S47" s="4">
        <v>5916.98</v>
      </c>
      <c r="T47" s="4">
        <v>335.149</v>
      </c>
      <c r="U47" s="4">
        <v>1.5717825871468694</v>
      </c>
      <c r="V47" s="4">
        <v>1.6222949093710672</v>
      </c>
      <c r="W47" s="4" t="e">
        <v>#DIV/0!</v>
      </c>
      <c r="Y47" s="561">
        <f t="shared" si="16"/>
        <v>95.14</v>
      </c>
      <c r="Z47" s="4">
        <f ca="1">IFERROR(VALUE(_xll.BDH(Z$4,"PX_LAST",$Q47,$Q47)),Z48)</f>
        <v>0</v>
      </c>
      <c r="AA47" s="4">
        <f ca="1">IFERROR(VALUE(_xll.BDH(AA$4,"PX_LAST",$Q47,$Q47)),AA48)</f>
        <v>0</v>
      </c>
      <c r="AB47" s="4">
        <f ca="1">IFERROR(VALUE(_xll.BDH(AB$4,"PX_LAST",$Q47,$Q47)),AB48)</f>
        <v>0</v>
      </c>
      <c r="AC47" s="4">
        <f ca="1">IFERROR(VALUE(_xll.BDH(AC$4,"PX_LAST",$Q47,$Q47)),AC48)</f>
        <v>0</v>
      </c>
      <c r="AD47" s="4">
        <f ca="1">IFERROR(VALUE(_xll.BDH(AD$4,"PX_LAST",$Q47,$Q47)),AD48)</f>
        <v>0</v>
      </c>
      <c r="AF47" s="4">
        <f t="shared" si="17"/>
        <v>1.5717825871468694</v>
      </c>
      <c r="AG47" s="4" t="e">
        <f t="shared" ca="1" si="18"/>
        <v>#DIV/0!</v>
      </c>
      <c r="AH47" s="4" t="e">
        <f t="shared" ca="1" si="19"/>
        <v>#DIV/0!</v>
      </c>
      <c r="AI47" s="4" t="e">
        <f t="shared" ca="1" si="20"/>
        <v>#DIV/0!</v>
      </c>
      <c r="AJ47" s="4" t="e">
        <f t="shared" ca="1" si="21"/>
        <v>#DIV/0!</v>
      </c>
      <c r="AK47" s="4" t="e">
        <f t="shared" ca="1" si="22"/>
        <v>#DIV/0!</v>
      </c>
      <c r="AM47" s="563">
        <f t="shared" ca="1" si="12"/>
        <v>45897</v>
      </c>
      <c r="AN47" s="564">
        <v>104.36</v>
      </c>
      <c r="AO47" s="564">
        <v>1122077</v>
      </c>
      <c r="AP47" s="564">
        <v>48497.476999999999</v>
      </c>
      <c r="AQ47" s="564">
        <v>5061196.6997199999</v>
      </c>
      <c r="AR47" s="564">
        <v>1.1930000000000001</v>
      </c>
    </row>
    <row r="48" spans="2:44">
      <c r="B48" s="565">
        <f t="shared" ca="1" si="23"/>
        <v>45639</v>
      </c>
      <c r="C48" s="561">
        <f ca="1">(IFERROR(IFERROR(VALUE(_xll.BDH(C$4,"CURRENT_EV_TO_T12M_EBITDA",$B48,$B48)),VALUE(_xll.BDH(C$4,"CURRENT_EV_TO_T12M_EBITDA",$B48+1,$B48+1))),C49))</f>
        <v>0</v>
      </c>
      <c r="D48" s="561">
        <f ca="1">(IFERROR(IFERROR(VALUE(_xll.BDH(D$4,"CURRENT_EV_TO_T12M_EBITDA",$B48,$B48)),VALUE(_xll.BDH(D$4,"CURRENT_EV_TO_T12M_EBITDA",$B48+1,$B48+1))),D49))</f>
        <v>0</v>
      </c>
      <c r="E48" s="561">
        <f ca="1">(IFERROR(IFERROR(VALUE(_xll.BDH(E$4,"CURRENT_EV_TO_T12M_EBITDA",$B48,$B48)),VALUE(_xll.BDH(E$4,"CURRENT_EV_TO_T12M_EBITDA",$B48+1,$B48+1))),E49))</f>
        <v>0</v>
      </c>
      <c r="F48" s="561">
        <f ca="1">(IFERROR(IFERROR(VALUE(_xll.BDH(F$4,"CURRENT_EV_TO_T12M_EBITDA",$B48,$B48)),VALUE(_xll.BDH(F$4,"CURRENT_EV_TO_T12M_EBITDA",$B48+1,$B48+1))),F49))</f>
        <v>0</v>
      </c>
      <c r="G48" s="561">
        <f ca="1">(IFERROR(IFERROR(VALUE(_xll.BDH(G$4,"CURRENT_EV_TO_T12M_EBITDA",$B48,$B48)),VALUE(_xll.BDH(G$4,"CURRENT_EV_TO_T12M_EBITDA",$B48+1,$B48+1))),G49))</f>
        <v>0</v>
      </c>
      <c r="H48" s="561">
        <f ca="1">(IFERROR(IFERROR(VALUE(_xll.BDH(H$4,"CURRENT_EV_TO_T12M_EBITDA",$B48,$B48)),VALUE(_xll.BDH(H$4,"CURRENT_EV_TO_T12M_EBITDA",$B48+1,$B48+1))),H49))</f>
        <v>0</v>
      </c>
      <c r="I48" s="565">
        <f t="shared" ca="1" si="14"/>
        <v>45639</v>
      </c>
      <c r="J48" s="561">
        <f ca="1">(IFERROR(IFERROR(VALUE(_xll.BDH(J$4,"PE_RATIO",$B48,$B48)),VALUE(_xll.BDH(J$4,"PE_RATIO",$B48+1,$B48+1))),J49))</f>
        <v>0</v>
      </c>
      <c r="K48" s="561">
        <f ca="1">(IFERROR(IFERROR(VALUE(_xll.BDH(K$4,"PE_RATIO",$B48,$B48)),VALUE(_xll.BDH(K$4,"PE_RATIO",$B48+1,$B48+1))),K49))</f>
        <v>0</v>
      </c>
      <c r="L48" s="561">
        <f ca="1">(IFERROR(IFERROR(VALUE(_xll.BDH(L$4,"PE_RATIO",$B48,$B48)),VALUE(_xll.BDH(L$4,"PE_RATIO",$B48+1,$B48+1))),L49))</f>
        <v>0</v>
      </c>
      <c r="M48" s="561">
        <f ca="1">(IFERROR(IFERROR(VALUE(_xll.BDH(M$4,"PE_RATIO",$B48,$B48)),VALUE(_xll.BDH(M$4,"PE_RATIO",$B48+1,$B48+1))),M49))</f>
        <v>0</v>
      </c>
      <c r="N48" s="561">
        <f ca="1">(IFERROR(IFERROR(VALUE(_xll.BDH(N$4,"PE_RATIO",$B48,$B48)),VALUE(_xll.BDH(N$4,"PE_RATIO",$B48+1,$B48+1))),N49))</f>
        <v>0</v>
      </c>
      <c r="O48" s="561">
        <f ca="1">(IFERROR(IFERROR(VALUE(_xll.BDH(O$4,"PE_RATIO",$B48,$B48)),VALUE(_xll.BDH(O$4,"PE_RATIO",$B48+1,$B48+1))),O49))</f>
        <v>0</v>
      </c>
      <c r="P48" s="561"/>
      <c r="Q48" s="565">
        <f t="shared" ca="1" si="15"/>
        <v>45639</v>
      </c>
      <c r="R48" s="4">
        <v>92.86</v>
      </c>
      <c r="S48" s="4">
        <v>5983.99</v>
      </c>
      <c r="T48" s="4">
        <v>335.149</v>
      </c>
      <c r="U48" s="4">
        <v>1.5341153147199735</v>
      </c>
      <c r="V48" s="4">
        <v>1.6406674544661926</v>
      </c>
      <c r="W48" s="4" t="e">
        <v>#DIV/0!</v>
      </c>
      <c r="Y48" s="561">
        <f t="shared" si="16"/>
        <v>92.86</v>
      </c>
      <c r="Z48" s="4">
        <f ca="1">IFERROR(VALUE(_xll.BDH(Z$4,"PX_LAST",$Q48,$Q48)),Z49)</f>
        <v>0</v>
      </c>
      <c r="AA48" s="4">
        <f ca="1">IFERROR(VALUE(_xll.BDH(AA$4,"PX_LAST",$Q48,$Q48)),AA49)</f>
        <v>0</v>
      </c>
      <c r="AB48" s="4">
        <f ca="1">IFERROR(VALUE(_xll.BDH(AB$4,"PX_LAST",$Q48,$Q48)),AB49)</f>
        <v>0</v>
      </c>
      <c r="AC48" s="4">
        <f ca="1">IFERROR(VALUE(_xll.BDH(AC$4,"PX_LAST",$Q48,$Q48)),AC49)</f>
        <v>0</v>
      </c>
      <c r="AD48" s="4">
        <f ca="1">IFERROR(VALUE(_xll.BDH(AD$4,"PX_LAST",$Q48,$Q48)),AD49)</f>
        <v>0</v>
      </c>
      <c r="AF48" s="4">
        <f t="shared" si="17"/>
        <v>1.5341153147199735</v>
      </c>
      <c r="AG48" s="4" t="e">
        <f t="shared" ca="1" si="18"/>
        <v>#DIV/0!</v>
      </c>
      <c r="AH48" s="4" t="e">
        <f t="shared" ca="1" si="19"/>
        <v>#DIV/0!</v>
      </c>
      <c r="AI48" s="4" t="e">
        <f t="shared" ca="1" si="20"/>
        <v>#DIV/0!</v>
      </c>
      <c r="AJ48" s="4" t="e">
        <f t="shared" ca="1" si="21"/>
        <v>#DIV/0!</v>
      </c>
      <c r="AK48" s="4" t="e">
        <f t="shared" ca="1" si="22"/>
        <v>#DIV/0!</v>
      </c>
      <c r="AM48" s="563">
        <f t="shared" ca="1" si="12"/>
        <v>45896</v>
      </c>
      <c r="AN48" s="564">
        <v>104.92</v>
      </c>
      <c r="AO48" s="564">
        <v>1320132</v>
      </c>
      <c r="AP48" s="564">
        <v>48497.476999999999</v>
      </c>
      <c r="AQ48" s="564">
        <v>5088355.2868400002</v>
      </c>
      <c r="AR48" s="564">
        <v>1.1994</v>
      </c>
    </row>
    <row r="49" spans="2:44">
      <c r="B49" s="565">
        <f t="shared" ca="1" si="23"/>
        <v>45632</v>
      </c>
      <c r="C49" s="561">
        <f ca="1">(IFERROR(IFERROR(VALUE(_xll.BDH(C$4,"CURRENT_EV_TO_T12M_EBITDA",$B49,$B49)),VALUE(_xll.BDH(C$4,"CURRENT_EV_TO_T12M_EBITDA",$B49+1,$B49+1))),C50))</f>
        <v>0</v>
      </c>
      <c r="D49" s="561">
        <f ca="1">(IFERROR(IFERROR(VALUE(_xll.BDH(D$4,"CURRENT_EV_TO_T12M_EBITDA",$B49,$B49)),VALUE(_xll.BDH(D$4,"CURRENT_EV_TO_T12M_EBITDA",$B49+1,$B49+1))),D50))</f>
        <v>0</v>
      </c>
      <c r="E49" s="561">
        <f ca="1">(IFERROR(IFERROR(VALUE(_xll.BDH(E$4,"CURRENT_EV_TO_T12M_EBITDA",$B49,$B49)),VALUE(_xll.BDH(E$4,"CURRENT_EV_TO_T12M_EBITDA",$B49+1,$B49+1))),E50))</f>
        <v>0</v>
      </c>
      <c r="F49" s="561">
        <f ca="1">(IFERROR(IFERROR(VALUE(_xll.BDH(F$4,"CURRENT_EV_TO_T12M_EBITDA",$B49,$B49)),VALUE(_xll.BDH(F$4,"CURRENT_EV_TO_T12M_EBITDA",$B49+1,$B49+1))),F50))</f>
        <v>0</v>
      </c>
      <c r="G49" s="561">
        <f ca="1">(IFERROR(IFERROR(VALUE(_xll.BDH(G$4,"CURRENT_EV_TO_T12M_EBITDA",$B49,$B49)),VALUE(_xll.BDH(G$4,"CURRENT_EV_TO_T12M_EBITDA",$B49+1,$B49+1))),G50))</f>
        <v>0</v>
      </c>
      <c r="H49" s="561">
        <f ca="1">(IFERROR(IFERROR(VALUE(_xll.BDH(H$4,"CURRENT_EV_TO_T12M_EBITDA",$B49,$B49)),VALUE(_xll.BDH(H$4,"CURRENT_EV_TO_T12M_EBITDA",$B49+1,$B49+1))),H50))</f>
        <v>0</v>
      </c>
      <c r="I49" s="565">
        <f t="shared" ca="1" si="14"/>
        <v>45632</v>
      </c>
      <c r="J49" s="561">
        <f ca="1">(IFERROR(IFERROR(VALUE(_xll.BDH(J$4,"PE_RATIO",$B49,$B49)),VALUE(_xll.BDH(J$4,"PE_RATIO",$B49+1,$B49+1))),J50))</f>
        <v>0</v>
      </c>
      <c r="K49" s="561">
        <f ca="1">(IFERROR(IFERROR(VALUE(_xll.BDH(K$4,"PE_RATIO",$B49,$B49)),VALUE(_xll.BDH(K$4,"PE_RATIO",$B49+1,$B49+1))),K50))</f>
        <v>0</v>
      </c>
      <c r="L49" s="561">
        <f ca="1">(IFERROR(IFERROR(VALUE(_xll.BDH(L$4,"PE_RATIO",$B49,$B49)),VALUE(_xll.BDH(L$4,"PE_RATIO",$B49+1,$B49+1))),L50))</f>
        <v>0</v>
      </c>
      <c r="M49" s="561">
        <f ca="1">(IFERROR(IFERROR(VALUE(_xll.BDH(M$4,"PE_RATIO",$B49,$B49)),VALUE(_xll.BDH(M$4,"PE_RATIO",$B49+1,$B49+1))),M50))</f>
        <v>0</v>
      </c>
      <c r="N49" s="561">
        <f ca="1">(IFERROR(IFERROR(VALUE(_xll.BDH(N$4,"PE_RATIO",$B49,$B49)),VALUE(_xll.BDH(N$4,"PE_RATIO",$B49+1,$B49+1))),N50))</f>
        <v>0</v>
      </c>
      <c r="O49" s="561">
        <f ca="1">(IFERROR(IFERROR(VALUE(_xll.BDH(O$4,"PE_RATIO",$B49,$B49)),VALUE(_xll.BDH(O$4,"PE_RATIO",$B49+1,$B49+1))),O50))</f>
        <v>0</v>
      </c>
      <c r="P49" s="561"/>
      <c r="Q49" s="565">
        <f t="shared" ca="1" si="15"/>
        <v>45632</v>
      </c>
      <c r="R49" s="4">
        <v>88.71</v>
      </c>
      <c r="S49" s="4">
        <v>5782.76</v>
      </c>
      <c r="T49" s="4">
        <v>335.149</v>
      </c>
      <c r="U49" s="4">
        <v>1.465554270609615</v>
      </c>
      <c r="V49" s="4">
        <v>1.5854949839469854</v>
      </c>
      <c r="W49" s="4" t="e">
        <v>#DIV/0!</v>
      </c>
      <c r="Y49" s="561">
        <f t="shared" si="16"/>
        <v>88.71</v>
      </c>
      <c r="Z49" s="4">
        <f ca="1">IFERROR(VALUE(_xll.BDH(Z$4,"PX_LAST",$Q49,$Q49)),Z50)</f>
        <v>0</v>
      </c>
      <c r="AA49" s="4">
        <f ca="1">IFERROR(VALUE(_xll.BDH(AA$4,"PX_LAST",$Q49,$Q49)),AA50)</f>
        <v>0</v>
      </c>
      <c r="AB49" s="4">
        <f ca="1">IFERROR(VALUE(_xll.BDH(AB$4,"PX_LAST",$Q49,$Q49)),AB50)</f>
        <v>0</v>
      </c>
      <c r="AC49" s="4">
        <f ca="1">IFERROR(VALUE(_xll.BDH(AC$4,"PX_LAST",$Q49,$Q49)),AC50)</f>
        <v>0</v>
      </c>
      <c r="AD49" s="4">
        <f ca="1">IFERROR(VALUE(_xll.BDH(AD$4,"PX_LAST",$Q49,$Q49)),AD50)</f>
        <v>0</v>
      </c>
      <c r="AF49" s="4">
        <f t="shared" si="17"/>
        <v>1.465554270609615</v>
      </c>
      <c r="AG49" s="4" t="e">
        <f t="shared" ca="1" si="18"/>
        <v>#DIV/0!</v>
      </c>
      <c r="AH49" s="4" t="e">
        <f t="shared" ca="1" si="19"/>
        <v>#DIV/0!</v>
      </c>
      <c r="AI49" s="4" t="e">
        <f t="shared" ca="1" si="20"/>
        <v>#DIV/0!</v>
      </c>
      <c r="AJ49" s="4" t="e">
        <f t="shared" ca="1" si="21"/>
        <v>#DIV/0!</v>
      </c>
      <c r="AK49" s="4" t="e">
        <f t="shared" ca="1" si="22"/>
        <v>#DIV/0!</v>
      </c>
      <c r="AM49" s="563">
        <f t="shared" ca="1" si="12"/>
        <v>45895</v>
      </c>
      <c r="AN49" s="564">
        <v>104.92</v>
      </c>
      <c r="AO49" s="564">
        <v>1320132</v>
      </c>
      <c r="AP49" s="564">
        <v>48497.476999999999</v>
      </c>
      <c r="AQ49" s="564">
        <v>5088355.2868400002</v>
      </c>
      <c r="AR49" s="564">
        <v>1.1994</v>
      </c>
    </row>
    <row r="50" spans="2:44">
      <c r="B50" s="565">
        <f t="shared" ca="1" si="23"/>
        <v>45625</v>
      </c>
      <c r="C50" s="561">
        <f ca="1">(IFERROR(IFERROR(VALUE(_xll.BDH(C$4,"CURRENT_EV_TO_T12M_EBITDA",$B50,$B50)),VALUE(_xll.BDH(C$4,"CURRENT_EV_TO_T12M_EBITDA",$B50+1,$B50+1))),C51))</f>
        <v>0</v>
      </c>
      <c r="D50" s="561">
        <f ca="1">(IFERROR(IFERROR(VALUE(_xll.BDH(D$4,"CURRENT_EV_TO_T12M_EBITDA",$B50,$B50)),VALUE(_xll.BDH(D$4,"CURRENT_EV_TO_T12M_EBITDA",$B50+1,$B50+1))),D51))</f>
        <v>0</v>
      </c>
      <c r="E50" s="561">
        <f ca="1">(IFERROR(IFERROR(VALUE(_xll.BDH(E$4,"CURRENT_EV_TO_T12M_EBITDA",$B50,$B50)),VALUE(_xll.BDH(E$4,"CURRENT_EV_TO_T12M_EBITDA",$B50+1,$B50+1))),E51))</f>
        <v>0</v>
      </c>
      <c r="F50" s="561">
        <f ca="1">(IFERROR(IFERROR(VALUE(_xll.BDH(F$4,"CURRENT_EV_TO_T12M_EBITDA",$B50,$B50)),VALUE(_xll.BDH(F$4,"CURRENT_EV_TO_T12M_EBITDA",$B50+1,$B50+1))),F51))</f>
        <v>0</v>
      </c>
      <c r="G50" s="561">
        <f ca="1">(IFERROR(IFERROR(VALUE(_xll.BDH(G$4,"CURRENT_EV_TO_T12M_EBITDA",$B50,$B50)),VALUE(_xll.BDH(G$4,"CURRENT_EV_TO_T12M_EBITDA",$B50+1,$B50+1))),G51))</f>
        <v>0</v>
      </c>
      <c r="H50" s="561">
        <f ca="1">(IFERROR(IFERROR(VALUE(_xll.BDH(H$4,"CURRENT_EV_TO_T12M_EBITDA",$B50,$B50)),VALUE(_xll.BDH(H$4,"CURRENT_EV_TO_T12M_EBITDA",$B50+1,$B50+1))),H51))</f>
        <v>0</v>
      </c>
      <c r="I50" s="565">
        <f t="shared" ca="1" si="14"/>
        <v>45625</v>
      </c>
      <c r="J50" s="561">
        <f ca="1">(IFERROR(IFERROR(VALUE(_xll.BDH(J$4,"PE_RATIO",$B50,$B50)),VALUE(_xll.BDH(J$4,"PE_RATIO",$B50+1,$B50+1))),J51))</f>
        <v>0</v>
      </c>
      <c r="K50" s="561">
        <f ca="1">(IFERROR(IFERROR(VALUE(_xll.BDH(K$4,"PE_RATIO",$B50,$B50)),VALUE(_xll.BDH(K$4,"PE_RATIO",$B50+1,$B50+1))),K51))</f>
        <v>0</v>
      </c>
      <c r="L50" s="561">
        <f ca="1">(IFERROR(IFERROR(VALUE(_xll.BDH(L$4,"PE_RATIO",$B50,$B50)),VALUE(_xll.BDH(L$4,"PE_RATIO",$B50+1,$B50+1))),L51))</f>
        <v>0</v>
      </c>
      <c r="M50" s="561">
        <f ca="1">(IFERROR(IFERROR(VALUE(_xll.BDH(M$4,"PE_RATIO",$B50,$B50)),VALUE(_xll.BDH(M$4,"PE_RATIO",$B50+1,$B50+1))),M51))</f>
        <v>0</v>
      </c>
      <c r="N50" s="561">
        <f ca="1">(IFERROR(IFERROR(VALUE(_xll.BDH(N$4,"PE_RATIO",$B50,$B50)),VALUE(_xll.BDH(N$4,"PE_RATIO",$B50+1,$B50+1))),N51))</f>
        <v>0</v>
      </c>
      <c r="O50" s="561">
        <f ca="1">(IFERROR(IFERROR(VALUE(_xll.BDH(O$4,"PE_RATIO",$B50,$B50)),VALUE(_xll.BDH(O$4,"PE_RATIO",$B50+1,$B50+1))),O51))</f>
        <v>0</v>
      </c>
      <c r="P50" s="561"/>
      <c r="Q50" s="565">
        <f t="shared" ca="1" si="15"/>
        <v>45625</v>
      </c>
      <c r="R50" s="4">
        <v>90.2</v>
      </c>
      <c r="S50" s="4">
        <v>5832.92</v>
      </c>
      <c r="T50" s="4">
        <v>335.149</v>
      </c>
      <c r="U50" s="4">
        <v>1.4901701635552618</v>
      </c>
      <c r="V50" s="4">
        <v>1.5992476605918367</v>
      </c>
      <c r="W50" s="4" t="e">
        <v>#DIV/0!</v>
      </c>
      <c r="Y50" s="561">
        <f t="shared" si="16"/>
        <v>90.2</v>
      </c>
      <c r="Z50" s="4">
        <f ca="1">IFERROR(VALUE(_xll.BDH(Z$4,"PX_LAST",$Q50,$Q50)),Z51)</f>
        <v>0</v>
      </c>
      <c r="AA50" s="4">
        <f ca="1">IFERROR(VALUE(_xll.BDH(AA$4,"PX_LAST",$Q50,$Q50)),AA51)</f>
        <v>0</v>
      </c>
      <c r="AB50" s="4">
        <f ca="1">IFERROR(VALUE(_xll.BDH(AB$4,"PX_LAST",$Q50,$Q50)),AB51)</f>
        <v>0</v>
      </c>
      <c r="AC50" s="4">
        <f ca="1">IFERROR(VALUE(_xll.BDH(AC$4,"PX_LAST",$Q50,$Q50)),AC51)</f>
        <v>0</v>
      </c>
      <c r="AD50" s="4">
        <f ca="1">IFERROR(VALUE(_xll.BDH(AD$4,"PX_LAST",$Q50,$Q50)),AD51)</f>
        <v>0</v>
      </c>
      <c r="AF50" s="4">
        <f t="shared" si="17"/>
        <v>1.4901701635552618</v>
      </c>
      <c r="AG50" s="4" t="e">
        <f t="shared" ca="1" si="18"/>
        <v>#DIV/0!</v>
      </c>
      <c r="AH50" s="4" t="e">
        <f t="shared" ca="1" si="19"/>
        <v>#DIV/0!</v>
      </c>
      <c r="AI50" s="4" t="e">
        <f t="shared" ca="1" si="20"/>
        <v>#DIV/0!</v>
      </c>
      <c r="AJ50" s="4" t="e">
        <f t="shared" ca="1" si="21"/>
        <v>#DIV/0!</v>
      </c>
      <c r="AK50" s="4" t="e">
        <f t="shared" ca="1" si="22"/>
        <v>#DIV/0!</v>
      </c>
      <c r="AM50" s="563">
        <f t="shared" ca="1" si="12"/>
        <v>45894</v>
      </c>
      <c r="AN50" s="564">
        <v>104.92</v>
      </c>
      <c r="AO50" s="564">
        <v>1320132</v>
      </c>
      <c r="AP50" s="564">
        <v>48497.476999999999</v>
      </c>
      <c r="AQ50" s="564">
        <v>5088355.2868400002</v>
      </c>
      <c r="AR50" s="564">
        <v>1.1994</v>
      </c>
    </row>
    <row r="51" spans="2:44">
      <c r="B51" s="565">
        <f t="shared" ca="1" si="23"/>
        <v>45618</v>
      </c>
      <c r="C51" s="561">
        <f ca="1">(IFERROR(IFERROR(VALUE(_xll.BDH(C$4,"CURRENT_EV_TO_T12M_EBITDA",$B51,$B51)),VALUE(_xll.BDH(C$4,"CURRENT_EV_TO_T12M_EBITDA",$B51+1,$B51+1))),C52))</f>
        <v>0</v>
      </c>
      <c r="D51" s="561">
        <f ca="1">(IFERROR(IFERROR(VALUE(_xll.BDH(D$4,"CURRENT_EV_TO_T12M_EBITDA",$B51,$B51)),VALUE(_xll.BDH(D$4,"CURRENT_EV_TO_T12M_EBITDA",$B51+1,$B51+1))),D52))</f>
        <v>0</v>
      </c>
      <c r="E51" s="561">
        <f ca="1">(IFERROR(IFERROR(VALUE(_xll.BDH(E$4,"CURRENT_EV_TO_T12M_EBITDA",$B51,$B51)),VALUE(_xll.BDH(E$4,"CURRENT_EV_TO_T12M_EBITDA",$B51+1,$B51+1))),E52))</f>
        <v>0</v>
      </c>
      <c r="F51" s="561">
        <f ca="1">(IFERROR(IFERROR(VALUE(_xll.BDH(F$4,"CURRENT_EV_TO_T12M_EBITDA",$B51,$B51)),VALUE(_xll.BDH(F$4,"CURRENT_EV_TO_T12M_EBITDA",$B51+1,$B51+1))),F52))</f>
        <v>0</v>
      </c>
      <c r="G51" s="561">
        <f ca="1">(IFERROR(IFERROR(VALUE(_xll.BDH(G$4,"CURRENT_EV_TO_T12M_EBITDA",$B51,$B51)),VALUE(_xll.BDH(G$4,"CURRENT_EV_TO_T12M_EBITDA",$B51+1,$B51+1))),G52))</f>
        <v>0</v>
      </c>
      <c r="H51" s="561">
        <f ca="1">(IFERROR(IFERROR(VALUE(_xll.BDH(H$4,"CURRENT_EV_TO_T12M_EBITDA",$B51,$B51)),VALUE(_xll.BDH(H$4,"CURRENT_EV_TO_T12M_EBITDA",$B51+1,$B51+1))),H52))</f>
        <v>0</v>
      </c>
      <c r="I51" s="565">
        <f t="shared" ca="1" si="14"/>
        <v>45618</v>
      </c>
      <c r="J51" s="561">
        <f ca="1">(IFERROR(IFERROR(VALUE(_xll.BDH(J$4,"PE_RATIO",$B51,$B51)),VALUE(_xll.BDH(J$4,"PE_RATIO",$B51+1,$B51+1))),J52))</f>
        <v>0</v>
      </c>
      <c r="K51" s="561">
        <f ca="1">(IFERROR(IFERROR(VALUE(_xll.BDH(K$4,"PE_RATIO",$B51,$B51)),VALUE(_xll.BDH(K$4,"PE_RATIO",$B51+1,$B51+1))),K52))</f>
        <v>0</v>
      </c>
      <c r="L51" s="561">
        <f ca="1">(IFERROR(IFERROR(VALUE(_xll.BDH(L$4,"PE_RATIO",$B51,$B51)),VALUE(_xll.BDH(L$4,"PE_RATIO",$B51+1,$B51+1))),L52))</f>
        <v>0</v>
      </c>
      <c r="M51" s="561">
        <f ca="1">(IFERROR(IFERROR(VALUE(_xll.BDH(M$4,"PE_RATIO",$B51,$B51)),VALUE(_xll.BDH(M$4,"PE_RATIO",$B51+1,$B51+1))),M52))</f>
        <v>0</v>
      </c>
      <c r="N51" s="561">
        <f ca="1">(IFERROR(IFERROR(VALUE(_xll.BDH(N$4,"PE_RATIO",$B51,$B51)),VALUE(_xll.BDH(N$4,"PE_RATIO",$B51+1,$B51+1))),N52))</f>
        <v>0</v>
      </c>
      <c r="O51" s="561">
        <f ca="1">(IFERROR(IFERROR(VALUE(_xll.BDH(O$4,"PE_RATIO",$B51,$B51)),VALUE(_xll.BDH(O$4,"PE_RATIO",$B51+1,$B51+1))),O52))</f>
        <v>0</v>
      </c>
      <c r="P51" s="561"/>
      <c r="Q51" s="565">
        <f t="shared" ca="1" si="15"/>
        <v>45618</v>
      </c>
      <c r="R51" s="4">
        <v>88.56</v>
      </c>
      <c r="S51" s="4">
        <v>5851.2</v>
      </c>
      <c r="T51" s="4">
        <v>335.149</v>
      </c>
      <c r="U51" s="4">
        <v>1.4630761605815299</v>
      </c>
      <c r="V51" s="4">
        <v>1.6042596009640033</v>
      </c>
      <c r="W51" s="4" t="e">
        <v>#DIV/0!</v>
      </c>
      <c r="Y51" s="561">
        <f t="shared" si="16"/>
        <v>88.56</v>
      </c>
      <c r="Z51" s="4">
        <f ca="1">IFERROR(VALUE(_xll.BDH(Z$4,"PX_LAST",$Q51,$Q51)),Z52)</f>
        <v>0</v>
      </c>
      <c r="AA51" s="4">
        <f ca="1">IFERROR(VALUE(_xll.BDH(AA$4,"PX_LAST",$Q51,$Q51)),AA52)</f>
        <v>0</v>
      </c>
      <c r="AB51" s="4">
        <f ca="1">IFERROR(VALUE(_xll.BDH(AB$4,"PX_LAST",$Q51,$Q51)),AB52)</f>
        <v>0</v>
      </c>
      <c r="AC51" s="4">
        <f ca="1">IFERROR(VALUE(_xll.BDH(AC$4,"PX_LAST",$Q51,$Q51)),AC52)</f>
        <v>0</v>
      </c>
      <c r="AD51" s="4">
        <f ca="1">IFERROR(VALUE(_xll.BDH(AD$4,"PX_LAST",$Q51,$Q51)),AD52)</f>
        <v>0</v>
      </c>
      <c r="AF51" s="4">
        <f t="shared" si="17"/>
        <v>1.4630761605815299</v>
      </c>
      <c r="AG51" s="4" t="e">
        <f t="shared" ca="1" si="18"/>
        <v>#DIV/0!</v>
      </c>
      <c r="AH51" s="4" t="e">
        <f t="shared" ca="1" si="19"/>
        <v>#DIV/0!</v>
      </c>
      <c r="AI51" s="4" t="e">
        <f t="shared" ca="1" si="20"/>
        <v>#DIV/0!</v>
      </c>
      <c r="AJ51" s="4" t="e">
        <f t="shared" ca="1" si="21"/>
        <v>#DIV/0!</v>
      </c>
      <c r="AK51" s="4" t="e">
        <f t="shared" ca="1" si="22"/>
        <v>#DIV/0!</v>
      </c>
      <c r="AM51" s="563">
        <f t="shared" ca="1" si="12"/>
        <v>45893</v>
      </c>
      <c r="AN51" s="564">
        <v>105.88</v>
      </c>
      <c r="AO51" s="564">
        <v>1658779</v>
      </c>
      <c r="AP51" s="564">
        <v>48497.476999999999</v>
      </c>
      <c r="AQ51" s="564">
        <v>5134912.8647599993</v>
      </c>
      <c r="AR51" s="564">
        <v>1.2103999999999999</v>
      </c>
    </row>
    <row r="52" spans="2:44">
      <c r="B52" s="565">
        <f t="shared" ca="1" si="23"/>
        <v>45611</v>
      </c>
      <c r="C52" s="561">
        <f ca="1">(IFERROR(IFERROR(VALUE(_xll.BDH(C$4,"CURRENT_EV_TO_T12M_EBITDA",$B52,$B52)),VALUE(_xll.BDH(C$4,"CURRENT_EV_TO_T12M_EBITDA",$B52+1,$B52+1))),C53))</f>
        <v>0</v>
      </c>
      <c r="D52" s="561">
        <f ca="1">(IFERROR(IFERROR(VALUE(_xll.BDH(D$4,"CURRENT_EV_TO_T12M_EBITDA",$B52,$B52)),VALUE(_xll.BDH(D$4,"CURRENT_EV_TO_T12M_EBITDA",$B52+1,$B52+1))),D53))</f>
        <v>0</v>
      </c>
      <c r="E52" s="561">
        <f ca="1">(IFERROR(IFERROR(VALUE(_xll.BDH(E$4,"CURRENT_EV_TO_T12M_EBITDA",$B52,$B52)),VALUE(_xll.BDH(E$4,"CURRENT_EV_TO_T12M_EBITDA",$B52+1,$B52+1))),E53))</f>
        <v>0</v>
      </c>
      <c r="F52" s="561">
        <f ca="1">(IFERROR(IFERROR(VALUE(_xll.BDH(F$4,"CURRENT_EV_TO_T12M_EBITDA",$B52,$B52)),VALUE(_xll.BDH(F$4,"CURRENT_EV_TO_T12M_EBITDA",$B52+1,$B52+1))),F53))</f>
        <v>0</v>
      </c>
      <c r="G52" s="561">
        <f ca="1">(IFERROR(IFERROR(VALUE(_xll.BDH(G$4,"CURRENT_EV_TO_T12M_EBITDA",$B52,$B52)),VALUE(_xll.BDH(G$4,"CURRENT_EV_TO_T12M_EBITDA",$B52+1,$B52+1))),G53))</f>
        <v>0</v>
      </c>
      <c r="H52" s="561">
        <f ca="1">(IFERROR(IFERROR(VALUE(_xll.BDH(H$4,"CURRENT_EV_TO_T12M_EBITDA",$B52,$B52)),VALUE(_xll.BDH(H$4,"CURRENT_EV_TO_T12M_EBITDA",$B52+1,$B52+1))),H53))</f>
        <v>0</v>
      </c>
      <c r="I52" s="565">
        <f t="shared" ca="1" si="14"/>
        <v>45611</v>
      </c>
      <c r="J52" s="561">
        <f ca="1">(IFERROR(IFERROR(VALUE(_xll.BDH(J$4,"PE_RATIO",$B52,$B52)),VALUE(_xll.BDH(J$4,"PE_RATIO",$B52+1,$B52+1))),J53))</f>
        <v>0</v>
      </c>
      <c r="K52" s="561">
        <f ca="1">(IFERROR(IFERROR(VALUE(_xll.BDH(K$4,"PE_RATIO",$B52,$B52)),VALUE(_xll.BDH(K$4,"PE_RATIO",$B52+1,$B52+1))),K53))</f>
        <v>0</v>
      </c>
      <c r="L52" s="561">
        <f ca="1">(IFERROR(IFERROR(VALUE(_xll.BDH(L$4,"PE_RATIO",$B52,$B52)),VALUE(_xll.BDH(L$4,"PE_RATIO",$B52+1,$B52+1))),L53))</f>
        <v>0</v>
      </c>
      <c r="M52" s="561">
        <f ca="1">(IFERROR(IFERROR(VALUE(_xll.BDH(M$4,"PE_RATIO",$B52,$B52)),VALUE(_xll.BDH(M$4,"PE_RATIO",$B52+1,$B52+1))),M53))</f>
        <v>0</v>
      </c>
      <c r="N52" s="561">
        <f ca="1">(IFERROR(IFERROR(VALUE(_xll.BDH(N$4,"PE_RATIO",$B52,$B52)),VALUE(_xll.BDH(N$4,"PE_RATIO",$B52+1,$B52+1))),N53))</f>
        <v>0</v>
      </c>
      <c r="O52" s="561">
        <f ca="1">(IFERROR(IFERROR(VALUE(_xll.BDH(O$4,"PE_RATIO",$B52,$B52)),VALUE(_xll.BDH(O$4,"PE_RATIO",$B52+1,$B52+1))),O53))</f>
        <v>0</v>
      </c>
      <c r="P52" s="561"/>
      <c r="Q52" s="565">
        <f t="shared" ca="1" si="15"/>
        <v>45611</v>
      </c>
      <c r="R52" s="4">
        <v>92.22</v>
      </c>
      <c r="S52" s="4">
        <v>5815.26</v>
      </c>
      <c r="T52" s="4">
        <v>335.149</v>
      </c>
      <c r="U52" s="4">
        <v>1.5235420452668098</v>
      </c>
      <c r="V52" s="4">
        <v>1.5944057094445465</v>
      </c>
      <c r="W52" s="4" t="e">
        <v>#DIV/0!</v>
      </c>
      <c r="Y52" s="561">
        <f t="shared" si="16"/>
        <v>92.22</v>
      </c>
      <c r="Z52" s="4">
        <f ca="1">IFERROR(VALUE(_xll.BDH(Z$4,"PX_LAST",$Q52,$Q52)),Z53)</f>
        <v>0</v>
      </c>
      <c r="AA52" s="4">
        <f ca="1">IFERROR(VALUE(_xll.BDH(AA$4,"PX_LAST",$Q52,$Q52)),AA53)</f>
        <v>0</v>
      </c>
      <c r="AB52" s="4">
        <f ca="1">IFERROR(VALUE(_xll.BDH(AB$4,"PX_LAST",$Q52,$Q52)),AB53)</f>
        <v>0</v>
      </c>
      <c r="AC52" s="4">
        <f ca="1">IFERROR(VALUE(_xll.BDH(AC$4,"PX_LAST",$Q52,$Q52)),AC53)</f>
        <v>0</v>
      </c>
      <c r="AD52" s="4">
        <f ca="1">IFERROR(VALUE(_xll.BDH(AD$4,"PX_LAST",$Q52,$Q52)),AD53)</f>
        <v>0</v>
      </c>
      <c r="AF52" s="4">
        <f t="shared" si="17"/>
        <v>1.5235420452668098</v>
      </c>
      <c r="AG52" s="4" t="e">
        <f t="shared" ca="1" si="18"/>
        <v>#DIV/0!</v>
      </c>
      <c r="AH52" s="4" t="e">
        <f t="shared" ca="1" si="19"/>
        <v>#DIV/0!</v>
      </c>
      <c r="AI52" s="4" t="e">
        <f t="shared" ca="1" si="20"/>
        <v>#DIV/0!</v>
      </c>
      <c r="AJ52" s="4" t="e">
        <f t="shared" ca="1" si="21"/>
        <v>#DIV/0!</v>
      </c>
      <c r="AK52" s="4" t="e">
        <f t="shared" ca="1" si="22"/>
        <v>#DIV/0!</v>
      </c>
      <c r="AM52" s="563">
        <f t="shared" ca="1" si="12"/>
        <v>45892</v>
      </c>
      <c r="AN52" s="564">
        <v>119.16</v>
      </c>
      <c r="AO52" s="564">
        <v>3855694</v>
      </c>
      <c r="AP52" s="564">
        <v>48497.476999999999</v>
      </c>
      <c r="AQ52" s="564">
        <v>5778959.3593199998</v>
      </c>
      <c r="AR52" s="564">
        <v>1.3622000000000001</v>
      </c>
    </row>
    <row r="53" spans="2:44">
      <c r="B53" s="565">
        <f t="shared" ca="1" si="23"/>
        <v>45604</v>
      </c>
      <c r="C53" s="561">
        <f ca="1">(IFERROR(IFERROR(VALUE(_xll.BDH(C$4,"CURRENT_EV_TO_T12M_EBITDA",$B53,$B53)),VALUE(_xll.BDH(C$4,"CURRENT_EV_TO_T12M_EBITDA",$B53+1,$B53+1))),C54))</f>
        <v>0</v>
      </c>
      <c r="D53" s="561">
        <f ca="1">(IFERROR(IFERROR(VALUE(_xll.BDH(D$4,"CURRENT_EV_TO_T12M_EBITDA",$B53,$B53)),VALUE(_xll.BDH(D$4,"CURRENT_EV_TO_T12M_EBITDA",$B53+1,$B53+1))),D54))</f>
        <v>0</v>
      </c>
      <c r="E53" s="561">
        <f ca="1">(IFERROR(IFERROR(VALUE(_xll.BDH(E$4,"CURRENT_EV_TO_T12M_EBITDA",$B53,$B53)),VALUE(_xll.BDH(E$4,"CURRENT_EV_TO_T12M_EBITDA",$B53+1,$B53+1))),E54))</f>
        <v>0</v>
      </c>
      <c r="F53" s="561">
        <f ca="1">(IFERROR(IFERROR(VALUE(_xll.BDH(F$4,"CURRENT_EV_TO_T12M_EBITDA",$B53,$B53)),VALUE(_xll.BDH(F$4,"CURRENT_EV_TO_T12M_EBITDA",$B53+1,$B53+1))),F54))</f>
        <v>0</v>
      </c>
      <c r="G53" s="561">
        <f ca="1">(IFERROR(IFERROR(VALUE(_xll.BDH(G$4,"CURRENT_EV_TO_T12M_EBITDA",$B53,$B53)),VALUE(_xll.BDH(G$4,"CURRENT_EV_TO_T12M_EBITDA",$B53+1,$B53+1))),G54))</f>
        <v>0</v>
      </c>
      <c r="H53" s="561">
        <f ca="1">(IFERROR(IFERROR(VALUE(_xll.BDH(H$4,"CURRENT_EV_TO_T12M_EBITDA",$B53,$B53)),VALUE(_xll.BDH(H$4,"CURRENT_EV_TO_T12M_EBITDA",$B53+1,$B53+1))),H54))</f>
        <v>0</v>
      </c>
      <c r="I53" s="565">
        <f t="shared" ca="1" si="14"/>
        <v>45604</v>
      </c>
      <c r="J53" s="561">
        <f ca="1">(IFERROR(IFERROR(VALUE(_xll.BDH(J$4,"PE_RATIO",$B53,$B53)),VALUE(_xll.BDH(J$4,"PE_RATIO",$B53+1,$B53+1))),J54))</f>
        <v>0</v>
      </c>
      <c r="K53" s="561">
        <f ca="1">(IFERROR(IFERROR(VALUE(_xll.BDH(K$4,"PE_RATIO",$B53,$B53)),VALUE(_xll.BDH(K$4,"PE_RATIO",$B53+1,$B53+1))),K54))</f>
        <v>0</v>
      </c>
      <c r="L53" s="561">
        <f ca="1">(IFERROR(IFERROR(VALUE(_xll.BDH(L$4,"PE_RATIO",$B53,$B53)),VALUE(_xll.BDH(L$4,"PE_RATIO",$B53+1,$B53+1))),L54))</f>
        <v>0</v>
      </c>
      <c r="M53" s="561">
        <f ca="1">(IFERROR(IFERROR(VALUE(_xll.BDH(M$4,"PE_RATIO",$B53,$B53)),VALUE(_xll.BDH(M$4,"PE_RATIO",$B53+1,$B53+1))),M54))</f>
        <v>0</v>
      </c>
      <c r="N53" s="561">
        <f ca="1">(IFERROR(IFERROR(VALUE(_xll.BDH(N$4,"PE_RATIO",$B53,$B53)),VALUE(_xll.BDH(N$4,"PE_RATIO",$B53+1,$B53+1))),N54))</f>
        <v>0</v>
      </c>
      <c r="O53" s="561">
        <f ca="1">(IFERROR(IFERROR(VALUE(_xll.BDH(O$4,"PE_RATIO",$B53,$B53)),VALUE(_xll.BDH(O$4,"PE_RATIO",$B53+1,$B53+1))),O54))</f>
        <v>0</v>
      </c>
      <c r="P53" s="561"/>
      <c r="Q53" s="565">
        <f t="shared" ca="1" si="15"/>
        <v>45604</v>
      </c>
      <c r="R53" s="4">
        <v>87.4</v>
      </c>
      <c r="S53" s="4">
        <v>5751.13</v>
      </c>
      <c r="T53" s="4">
        <v>335.149</v>
      </c>
      <c r="U53" s="4">
        <v>1.4439121096976706</v>
      </c>
      <c r="V53" s="4">
        <v>1.5768227917165896</v>
      </c>
      <c r="W53" s="4" t="e">
        <v>#DIV/0!</v>
      </c>
      <c r="Y53" s="561">
        <f t="shared" si="16"/>
        <v>87.4</v>
      </c>
      <c r="Z53" s="4">
        <f ca="1">IFERROR(VALUE(_xll.BDH(Z$4,"PX_LAST",$Q53,$Q53)),Z54)</f>
        <v>0</v>
      </c>
      <c r="AA53" s="4">
        <f ca="1">IFERROR(VALUE(_xll.BDH(AA$4,"PX_LAST",$Q53,$Q53)),AA54)</f>
        <v>0</v>
      </c>
      <c r="AB53" s="4">
        <f ca="1">IFERROR(VALUE(_xll.BDH(AB$4,"PX_LAST",$Q53,$Q53)),AB54)</f>
        <v>0</v>
      </c>
      <c r="AC53" s="4">
        <f ca="1">IFERROR(VALUE(_xll.BDH(AC$4,"PX_LAST",$Q53,$Q53)),AC54)</f>
        <v>0</v>
      </c>
      <c r="AD53" s="4">
        <f ca="1">IFERROR(VALUE(_xll.BDH(AD$4,"PX_LAST",$Q53,$Q53)),AD54)</f>
        <v>0</v>
      </c>
      <c r="AF53" s="4">
        <f t="shared" si="17"/>
        <v>1.4439121096976706</v>
      </c>
      <c r="AG53" s="4" t="e">
        <f t="shared" ca="1" si="18"/>
        <v>#DIV/0!</v>
      </c>
      <c r="AH53" s="4" t="e">
        <f t="shared" ca="1" si="19"/>
        <v>#DIV/0!</v>
      </c>
      <c r="AI53" s="4" t="e">
        <f t="shared" ca="1" si="20"/>
        <v>#DIV/0!</v>
      </c>
      <c r="AJ53" s="4" t="e">
        <f t="shared" ca="1" si="21"/>
        <v>#DIV/0!</v>
      </c>
      <c r="AK53" s="4" t="e">
        <f t="shared" ca="1" si="22"/>
        <v>#DIV/0!</v>
      </c>
      <c r="AM53" s="563">
        <f t="shared" ca="1" si="12"/>
        <v>45891</v>
      </c>
      <c r="AN53" s="564">
        <v>104.71</v>
      </c>
      <c r="AO53" s="564">
        <v>1078859</v>
      </c>
      <c r="AP53" s="564">
        <v>48497.476999999999</v>
      </c>
      <c r="AQ53" s="564">
        <v>5078170.8166699996</v>
      </c>
      <c r="AR53" s="564">
        <v>1.1970000000000001</v>
      </c>
    </row>
    <row r="54" spans="2:44">
      <c r="B54" s="565">
        <f t="shared" ca="1" si="23"/>
        <v>45597</v>
      </c>
      <c r="C54" s="561">
        <f ca="1">(IFERROR(IFERROR(VALUE(_xll.BDH(C$4,"CURRENT_EV_TO_T12M_EBITDA",$B54,$B54)),VALUE(_xll.BDH(C$4,"CURRENT_EV_TO_T12M_EBITDA",$B54+1,$B54+1))),C55))</f>
        <v>0</v>
      </c>
      <c r="D54" s="561">
        <f ca="1">(IFERROR(IFERROR(VALUE(_xll.BDH(D$4,"CURRENT_EV_TO_T12M_EBITDA",$B54,$B54)),VALUE(_xll.BDH(D$4,"CURRENT_EV_TO_T12M_EBITDA",$B54+1,$B54+1))),D55))</f>
        <v>0</v>
      </c>
      <c r="E54" s="561">
        <f ca="1">(IFERROR(IFERROR(VALUE(_xll.BDH(E$4,"CURRENT_EV_TO_T12M_EBITDA",$B54,$B54)),VALUE(_xll.BDH(E$4,"CURRENT_EV_TO_T12M_EBITDA",$B54+1,$B54+1))),E55))</f>
        <v>0</v>
      </c>
      <c r="F54" s="561">
        <f ca="1">(IFERROR(IFERROR(VALUE(_xll.BDH(F$4,"CURRENT_EV_TO_T12M_EBITDA",$B54,$B54)),VALUE(_xll.BDH(F$4,"CURRENT_EV_TO_T12M_EBITDA",$B54+1,$B54+1))),F55))</f>
        <v>0</v>
      </c>
      <c r="G54" s="561">
        <f ca="1">(IFERROR(IFERROR(VALUE(_xll.BDH(G$4,"CURRENT_EV_TO_T12M_EBITDA",$B54,$B54)),VALUE(_xll.BDH(G$4,"CURRENT_EV_TO_T12M_EBITDA",$B54+1,$B54+1))),G55))</f>
        <v>0</v>
      </c>
      <c r="H54" s="561">
        <f ca="1">(IFERROR(IFERROR(VALUE(_xll.BDH(H$4,"CURRENT_EV_TO_T12M_EBITDA",$B54,$B54)),VALUE(_xll.BDH(H$4,"CURRENT_EV_TO_T12M_EBITDA",$B54+1,$B54+1))),H55))</f>
        <v>0</v>
      </c>
      <c r="I54" s="565">
        <f t="shared" ca="1" si="14"/>
        <v>45597</v>
      </c>
      <c r="J54" s="561">
        <f ca="1">(IFERROR(IFERROR(VALUE(_xll.BDH(J$4,"PE_RATIO",$B54,$B54)),VALUE(_xll.BDH(J$4,"PE_RATIO",$B54+1,$B54+1))),J55))</f>
        <v>0</v>
      </c>
      <c r="K54" s="561">
        <f ca="1">(IFERROR(IFERROR(VALUE(_xll.BDH(K$4,"PE_RATIO",$B54,$B54)),VALUE(_xll.BDH(K$4,"PE_RATIO",$B54+1,$B54+1))),K55))</f>
        <v>0</v>
      </c>
      <c r="L54" s="561">
        <f ca="1">(IFERROR(IFERROR(VALUE(_xll.BDH(L$4,"PE_RATIO",$B54,$B54)),VALUE(_xll.BDH(L$4,"PE_RATIO",$B54+1,$B54+1))),L55))</f>
        <v>0</v>
      </c>
      <c r="M54" s="561">
        <f ca="1">(IFERROR(IFERROR(VALUE(_xll.BDH(M$4,"PE_RATIO",$B54,$B54)),VALUE(_xll.BDH(M$4,"PE_RATIO",$B54+1,$B54+1))),M55))</f>
        <v>0</v>
      </c>
      <c r="N54" s="561">
        <f ca="1">(IFERROR(IFERROR(VALUE(_xll.BDH(N$4,"PE_RATIO",$B54,$B54)),VALUE(_xll.BDH(N$4,"PE_RATIO",$B54+1,$B54+1))),N55))</f>
        <v>0</v>
      </c>
      <c r="O54" s="561">
        <f ca="1">(IFERROR(IFERROR(VALUE(_xll.BDH(O$4,"PE_RATIO",$B54,$B54)),VALUE(_xll.BDH(O$4,"PE_RATIO",$B54+1,$B54+1))),O55))</f>
        <v>0</v>
      </c>
      <c r="P54" s="561"/>
      <c r="Q54" s="565">
        <f t="shared" ca="1" si="15"/>
        <v>45597</v>
      </c>
      <c r="R54" s="4">
        <v>76.84</v>
      </c>
      <c r="S54" s="4">
        <v>5708.75</v>
      </c>
      <c r="T54" s="4">
        <v>335.149</v>
      </c>
      <c r="U54" s="4">
        <v>1.2694531637204691</v>
      </c>
      <c r="V54" s="4">
        <v>1.5652032056677698</v>
      </c>
      <c r="W54" s="4" t="e">
        <v>#DIV/0!</v>
      </c>
      <c r="Y54" s="561">
        <f t="shared" si="16"/>
        <v>76.84</v>
      </c>
      <c r="Z54" s="4">
        <f ca="1">IFERROR(VALUE(_xll.BDH(Z$4,"PX_LAST",$Q54,$Q54)),Z55)</f>
        <v>0</v>
      </c>
      <c r="AA54" s="4">
        <f ca="1">IFERROR(VALUE(_xll.BDH(AA$4,"PX_LAST",$Q54,$Q54)),AA55)</f>
        <v>0</v>
      </c>
      <c r="AB54" s="4">
        <f ca="1">IFERROR(VALUE(_xll.BDH(AB$4,"PX_LAST",$Q54,$Q54)),AB55)</f>
        <v>0</v>
      </c>
      <c r="AC54" s="4">
        <f ca="1">IFERROR(VALUE(_xll.BDH(AC$4,"PX_LAST",$Q54,$Q54)),AC55)</f>
        <v>0</v>
      </c>
      <c r="AD54" s="4">
        <f ca="1">IFERROR(VALUE(_xll.BDH(AD$4,"PX_LAST",$Q54,$Q54)),AD55)</f>
        <v>0</v>
      </c>
      <c r="AF54" s="4">
        <f t="shared" si="17"/>
        <v>1.2694531637204691</v>
      </c>
      <c r="AG54" s="4" t="e">
        <f t="shared" ca="1" si="18"/>
        <v>#DIV/0!</v>
      </c>
      <c r="AH54" s="4" t="e">
        <f t="shared" ca="1" si="19"/>
        <v>#DIV/0!</v>
      </c>
      <c r="AI54" s="4" t="e">
        <f t="shared" ca="1" si="20"/>
        <v>#DIV/0!</v>
      </c>
      <c r="AJ54" s="4" t="e">
        <f t="shared" ca="1" si="21"/>
        <v>#DIV/0!</v>
      </c>
      <c r="AK54" s="4" t="e">
        <f t="shared" ca="1" si="22"/>
        <v>#DIV/0!</v>
      </c>
      <c r="AM54" s="563">
        <f t="shared" ca="1" si="12"/>
        <v>45890</v>
      </c>
      <c r="AN54" s="564">
        <v>106.17</v>
      </c>
      <c r="AO54" s="564">
        <v>878586</v>
      </c>
      <c r="AP54" s="564">
        <v>48539.625999999997</v>
      </c>
      <c r="AQ54" s="564">
        <v>5153452.0924199997</v>
      </c>
      <c r="AR54" s="564">
        <v>1.2137</v>
      </c>
    </row>
    <row r="55" spans="2:44">
      <c r="B55" s="565">
        <f t="shared" ca="1" si="23"/>
        <v>45590</v>
      </c>
      <c r="C55" s="561">
        <f ca="1">(IFERROR(IFERROR(VALUE(_xll.BDH(C$4,"CURRENT_EV_TO_T12M_EBITDA",$B55,$B55)),VALUE(_xll.BDH(C$4,"CURRENT_EV_TO_T12M_EBITDA",$B55+1,$B55+1))),C56))</f>
        <v>0</v>
      </c>
      <c r="D55" s="561">
        <f ca="1">(IFERROR(IFERROR(VALUE(_xll.BDH(D$4,"CURRENT_EV_TO_T12M_EBITDA",$B55,$B55)),VALUE(_xll.BDH(D$4,"CURRENT_EV_TO_T12M_EBITDA",$B55+1,$B55+1))),D56))</f>
        <v>0</v>
      </c>
      <c r="E55" s="561">
        <f ca="1">(IFERROR(IFERROR(VALUE(_xll.BDH(E$4,"CURRENT_EV_TO_T12M_EBITDA",$B55,$B55)),VALUE(_xll.BDH(E$4,"CURRENT_EV_TO_T12M_EBITDA",$B55+1,$B55+1))),E56))</f>
        <v>0</v>
      </c>
      <c r="F55" s="561">
        <f ca="1">(IFERROR(IFERROR(VALUE(_xll.BDH(F$4,"CURRENT_EV_TO_T12M_EBITDA",$B55,$B55)),VALUE(_xll.BDH(F$4,"CURRENT_EV_TO_T12M_EBITDA",$B55+1,$B55+1))),F56))</f>
        <v>0</v>
      </c>
      <c r="G55" s="561">
        <f ca="1">(IFERROR(IFERROR(VALUE(_xll.BDH(G$4,"CURRENT_EV_TO_T12M_EBITDA",$B55,$B55)),VALUE(_xll.BDH(G$4,"CURRENT_EV_TO_T12M_EBITDA",$B55+1,$B55+1))),G56))</f>
        <v>0</v>
      </c>
      <c r="H55" s="561">
        <f ca="1">(IFERROR(IFERROR(VALUE(_xll.BDH(H$4,"CURRENT_EV_TO_T12M_EBITDA",$B55,$B55)),VALUE(_xll.BDH(H$4,"CURRENT_EV_TO_T12M_EBITDA",$B55+1,$B55+1))),H56))</f>
        <v>0</v>
      </c>
      <c r="I55" s="565">
        <f t="shared" ca="1" si="14"/>
        <v>45590</v>
      </c>
      <c r="J55" s="561">
        <f ca="1">(IFERROR(IFERROR(VALUE(_xll.BDH(J$4,"PE_RATIO",$B55,$B55)),VALUE(_xll.BDH(J$4,"PE_RATIO",$B55+1,$B55+1))),J56))</f>
        <v>0</v>
      </c>
      <c r="K55" s="561">
        <f ca="1">(IFERROR(IFERROR(VALUE(_xll.BDH(K$4,"PE_RATIO",$B55,$B55)),VALUE(_xll.BDH(K$4,"PE_RATIO",$B55+1,$B55+1))),K56))</f>
        <v>0</v>
      </c>
      <c r="L55" s="561">
        <f ca="1">(IFERROR(IFERROR(VALUE(_xll.BDH(L$4,"PE_RATIO",$B55,$B55)),VALUE(_xll.BDH(L$4,"PE_RATIO",$B55+1,$B55+1))),L56))</f>
        <v>0</v>
      </c>
      <c r="M55" s="561">
        <f ca="1">(IFERROR(IFERROR(VALUE(_xll.BDH(M$4,"PE_RATIO",$B55,$B55)),VALUE(_xll.BDH(M$4,"PE_RATIO",$B55+1,$B55+1))),M56))</f>
        <v>0</v>
      </c>
      <c r="N55" s="561">
        <f ca="1">(IFERROR(IFERROR(VALUE(_xll.BDH(N$4,"PE_RATIO",$B55,$B55)),VALUE(_xll.BDH(N$4,"PE_RATIO",$B55+1,$B55+1))),N56))</f>
        <v>0</v>
      </c>
      <c r="O55" s="561">
        <f ca="1">(IFERROR(IFERROR(VALUE(_xll.BDH(O$4,"PE_RATIO",$B55,$B55)),VALUE(_xll.BDH(O$4,"PE_RATIO",$B55+1,$B55+1))),O56))</f>
        <v>0</v>
      </c>
      <c r="P55" s="561"/>
      <c r="Q55" s="565">
        <f t="shared" ca="1" si="15"/>
        <v>45590</v>
      </c>
      <c r="R55" s="4">
        <v>74.900000000000006</v>
      </c>
      <c r="S55" s="4">
        <v>5732.93</v>
      </c>
      <c r="T55" s="4">
        <v>335.149</v>
      </c>
      <c r="U55" s="4">
        <v>1.2374029406905667</v>
      </c>
      <c r="V55" s="4">
        <v>1.5718327854379555</v>
      </c>
      <c r="W55" s="4" t="e">
        <v>#DIV/0!</v>
      </c>
      <c r="Y55" s="561">
        <f t="shared" si="16"/>
        <v>74.900000000000006</v>
      </c>
      <c r="Z55" s="4">
        <f ca="1">IFERROR(VALUE(_xll.BDH(Z$4,"PX_LAST",$Q55,$Q55)),Z56)</f>
        <v>0</v>
      </c>
      <c r="AA55" s="4">
        <f ca="1">IFERROR(VALUE(_xll.BDH(AA$4,"PX_LAST",$Q55,$Q55)),AA56)</f>
        <v>0</v>
      </c>
      <c r="AB55" s="4">
        <f ca="1">IFERROR(VALUE(_xll.BDH(AB$4,"PX_LAST",$Q55,$Q55)),AB56)</f>
        <v>0</v>
      </c>
      <c r="AC55" s="4">
        <f ca="1">IFERROR(VALUE(_xll.BDH(AC$4,"PX_LAST",$Q55,$Q55)),AC56)</f>
        <v>0</v>
      </c>
      <c r="AD55" s="4">
        <f ca="1">IFERROR(VALUE(_xll.BDH(AD$4,"PX_LAST",$Q55,$Q55)),AD56)</f>
        <v>0</v>
      </c>
      <c r="AF55" s="4">
        <f t="shared" si="17"/>
        <v>1.2374029406905667</v>
      </c>
      <c r="AG55" s="4" t="e">
        <f t="shared" ca="1" si="18"/>
        <v>#DIV/0!</v>
      </c>
      <c r="AH55" s="4" t="e">
        <f t="shared" ca="1" si="19"/>
        <v>#DIV/0!</v>
      </c>
      <c r="AI55" s="4" t="e">
        <f t="shared" ca="1" si="20"/>
        <v>#DIV/0!</v>
      </c>
      <c r="AJ55" s="4" t="e">
        <f t="shared" ca="1" si="21"/>
        <v>#DIV/0!</v>
      </c>
      <c r="AK55" s="4" t="e">
        <f t="shared" ca="1" si="22"/>
        <v>#DIV/0!</v>
      </c>
      <c r="AM55" s="563">
        <f t="shared" ca="1" si="12"/>
        <v>45889</v>
      </c>
      <c r="AN55" s="564">
        <v>105.94</v>
      </c>
      <c r="AO55" s="564">
        <v>713107</v>
      </c>
      <c r="AP55" s="564">
        <v>48539.625999999997</v>
      </c>
      <c r="AQ55" s="564">
        <v>5142287.9784399997</v>
      </c>
      <c r="AR55" s="564">
        <v>1.2111000000000001</v>
      </c>
    </row>
    <row r="56" spans="2:44">
      <c r="B56" s="565">
        <f t="shared" ca="1" si="23"/>
        <v>45583</v>
      </c>
      <c r="C56" s="561">
        <f ca="1">(IFERROR(IFERROR(VALUE(_xll.BDH(C$4,"CURRENT_EV_TO_T12M_EBITDA",$B56,$B56)),VALUE(_xll.BDH(C$4,"CURRENT_EV_TO_T12M_EBITDA",$B56+1,$B56+1))),C57))</f>
        <v>0</v>
      </c>
      <c r="D56" s="561">
        <f ca="1">(IFERROR(IFERROR(VALUE(_xll.BDH(D$4,"CURRENT_EV_TO_T12M_EBITDA",$B56,$B56)),VALUE(_xll.BDH(D$4,"CURRENT_EV_TO_T12M_EBITDA",$B56+1,$B56+1))),D57))</f>
        <v>0</v>
      </c>
      <c r="E56" s="561">
        <f ca="1">(IFERROR(IFERROR(VALUE(_xll.BDH(E$4,"CURRENT_EV_TO_T12M_EBITDA",$B56,$B56)),VALUE(_xll.BDH(E$4,"CURRENT_EV_TO_T12M_EBITDA",$B56+1,$B56+1))),E57))</f>
        <v>0</v>
      </c>
      <c r="F56" s="561">
        <f ca="1">(IFERROR(IFERROR(VALUE(_xll.BDH(F$4,"CURRENT_EV_TO_T12M_EBITDA",$B56,$B56)),VALUE(_xll.BDH(F$4,"CURRENT_EV_TO_T12M_EBITDA",$B56+1,$B56+1))),F57))</f>
        <v>0</v>
      </c>
      <c r="G56" s="561">
        <f ca="1">(IFERROR(IFERROR(VALUE(_xll.BDH(G$4,"CURRENT_EV_TO_T12M_EBITDA",$B56,$B56)),VALUE(_xll.BDH(G$4,"CURRENT_EV_TO_T12M_EBITDA",$B56+1,$B56+1))),G57))</f>
        <v>0</v>
      </c>
      <c r="H56" s="561">
        <f ca="1">(IFERROR(IFERROR(VALUE(_xll.BDH(H$4,"CURRENT_EV_TO_T12M_EBITDA",$B56,$B56)),VALUE(_xll.BDH(H$4,"CURRENT_EV_TO_T12M_EBITDA",$B56+1,$B56+1))),H57))</f>
        <v>0</v>
      </c>
      <c r="I56" s="565">
        <f t="shared" ca="1" si="14"/>
        <v>45583</v>
      </c>
      <c r="J56" s="561">
        <f ca="1">(IFERROR(IFERROR(VALUE(_xll.BDH(J$4,"PE_RATIO",$B56,$B56)),VALUE(_xll.BDH(J$4,"PE_RATIO",$B56+1,$B56+1))),J57))</f>
        <v>0</v>
      </c>
      <c r="K56" s="561">
        <f ca="1">(IFERROR(IFERROR(VALUE(_xll.BDH(K$4,"PE_RATIO",$B56,$B56)),VALUE(_xll.BDH(K$4,"PE_RATIO",$B56+1,$B56+1))),K57))</f>
        <v>0</v>
      </c>
      <c r="L56" s="561">
        <f ca="1">(IFERROR(IFERROR(VALUE(_xll.BDH(L$4,"PE_RATIO",$B56,$B56)),VALUE(_xll.BDH(L$4,"PE_RATIO",$B56+1,$B56+1))),L57))</f>
        <v>0</v>
      </c>
      <c r="M56" s="561">
        <f ca="1">(IFERROR(IFERROR(VALUE(_xll.BDH(M$4,"PE_RATIO",$B56,$B56)),VALUE(_xll.BDH(M$4,"PE_RATIO",$B56+1,$B56+1))),M57))</f>
        <v>0</v>
      </c>
      <c r="N56" s="561">
        <f ca="1">(IFERROR(IFERROR(VALUE(_xll.BDH(N$4,"PE_RATIO",$B56,$B56)),VALUE(_xll.BDH(N$4,"PE_RATIO",$B56+1,$B56+1))),N57))</f>
        <v>0</v>
      </c>
      <c r="O56" s="561">
        <f ca="1">(IFERROR(IFERROR(VALUE(_xll.BDH(O$4,"PE_RATIO",$B56,$B56)),VALUE(_xll.BDH(O$4,"PE_RATIO",$B56+1,$B56+1))),O57))</f>
        <v>0</v>
      </c>
      <c r="P56" s="561"/>
      <c r="Q56" s="565">
        <f t="shared" ca="1" si="15"/>
        <v>45583</v>
      </c>
      <c r="R56" s="4">
        <v>70.95</v>
      </c>
      <c r="S56" s="4">
        <v>5634.58</v>
      </c>
      <c r="T56" s="4">
        <v>335.149</v>
      </c>
      <c r="U56" s="4">
        <v>1.1721460432843218</v>
      </c>
      <c r="V56" s="4">
        <v>1.5448675592014893</v>
      </c>
      <c r="W56" s="4" t="e">
        <v>#DIV/0!</v>
      </c>
      <c r="Y56" s="561">
        <f t="shared" si="16"/>
        <v>70.95</v>
      </c>
      <c r="Z56" s="4">
        <f ca="1">IFERROR(VALUE(_xll.BDH(Z$4,"PX_LAST",$Q56,$Q56)),Z57)</f>
        <v>0</v>
      </c>
      <c r="AA56" s="4">
        <f ca="1">IFERROR(VALUE(_xll.BDH(AA$4,"PX_LAST",$Q56,$Q56)),AA57)</f>
        <v>0</v>
      </c>
      <c r="AB56" s="4">
        <f ca="1">IFERROR(VALUE(_xll.BDH(AB$4,"PX_LAST",$Q56,$Q56)),AB57)</f>
        <v>0</v>
      </c>
      <c r="AC56" s="4">
        <f ca="1">IFERROR(VALUE(_xll.BDH(AC$4,"PX_LAST",$Q56,$Q56)),AC57)</f>
        <v>0</v>
      </c>
      <c r="AD56" s="4">
        <f ca="1">IFERROR(VALUE(_xll.BDH(AD$4,"PX_LAST",$Q56,$Q56)),AD57)</f>
        <v>0</v>
      </c>
      <c r="AF56" s="4">
        <f t="shared" si="17"/>
        <v>1.1721460432843218</v>
      </c>
      <c r="AG56" s="4" t="e">
        <f t="shared" ca="1" si="18"/>
        <v>#DIV/0!</v>
      </c>
      <c r="AH56" s="4" t="e">
        <f t="shared" ca="1" si="19"/>
        <v>#DIV/0!</v>
      </c>
      <c r="AI56" s="4" t="e">
        <f t="shared" ca="1" si="20"/>
        <v>#DIV/0!</v>
      </c>
      <c r="AJ56" s="4" t="e">
        <f t="shared" ca="1" si="21"/>
        <v>#DIV/0!</v>
      </c>
      <c r="AK56" s="4" t="e">
        <f t="shared" ca="1" si="22"/>
        <v>#DIV/0!</v>
      </c>
      <c r="AM56" s="563">
        <f t="shared" ca="1" si="12"/>
        <v>45888</v>
      </c>
      <c r="AN56" s="564">
        <v>105.94</v>
      </c>
      <c r="AO56" s="564">
        <v>713107</v>
      </c>
      <c r="AP56" s="564">
        <v>48539.625999999997</v>
      </c>
      <c r="AQ56" s="564">
        <v>5142287.9784399997</v>
      </c>
      <c r="AR56" s="564">
        <v>1.2111000000000001</v>
      </c>
    </row>
    <row r="57" spans="2:44">
      <c r="B57" s="565">
        <f t="shared" ca="1" si="23"/>
        <v>45576</v>
      </c>
      <c r="C57" s="561">
        <f ca="1">(IFERROR(IFERROR(VALUE(_xll.BDH(C$4,"CURRENT_EV_TO_T12M_EBITDA",$B57,$B57)),VALUE(_xll.BDH(C$4,"CURRENT_EV_TO_T12M_EBITDA",$B57+1,$B57+1))),C58))</f>
        <v>0</v>
      </c>
      <c r="D57" s="561">
        <f ca="1">(IFERROR(IFERROR(VALUE(_xll.BDH(D$4,"CURRENT_EV_TO_T12M_EBITDA",$B57,$B57)),VALUE(_xll.BDH(D$4,"CURRENT_EV_TO_T12M_EBITDA",$B57+1,$B57+1))),D58))</f>
        <v>0</v>
      </c>
      <c r="E57" s="561">
        <f ca="1">(IFERROR(IFERROR(VALUE(_xll.BDH(E$4,"CURRENT_EV_TO_T12M_EBITDA",$B57,$B57)),VALUE(_xll.BDH(E$4,"CURRENT_EV_TO_T12M_EBITDA",$B57+1,$B57+1))),E58))</f>
        <v>0</v>
      </c>
      <c r="F57" s="561">
        <f ca="1">(IFERROR(IFERROR(VALUE(_xll.BDH(F$4,"CURRENT_EV_TO_T12M_EBITDA",$B57,$B57)),VALUE(_xll.BDH(F$4,"CURRENT_EV_TO_T12M_EBITDA",$B57+1,$B57+1))),F58))</f>
        <v>0</v>
      </c>
      <c r="G57" s="561">
        <f ca="1">(IFERROR(IFERROR(VALUE(_xll.BDH(G$4,"CURRENT_EV_TO_T12M_EBITDA",$B57,$B57)),VALUE(_xll.BDH(G$4,"CURRENT_EV_TO_T12M_EBITDA",$B57+1,$B57+1))),G58))</f>
        <v>0</v>
      </c>
      <c r="H57" s="561">
        <f ca="1">(IFERROR(IFERROR(VALUE(_xll.BDH(H$4,"CURRENT_EV_TO_T12M_EBITDA",$B57,$B57)),VALUE(_xll.BDH(H$4,"CURRENT_EV_TO_T12M_EBITDA",$B57+1,$B57+1))),H58))</f>
        <v>0</v>
      </c>
      <c r="I57" s="565">
        <f t="shared" ca="1" si="14"/>
        <v>45576</v>
      </c>
      <c r="J57" s="561">
        <f ca="1">(IFERROR(IFERROR(VALUE(_xll.BDH(J$4,"PE_RATIO",$B57,$B57)),VALUE(_xll.BDH(J$4,"PE_RATIO",$B57+1,$B57+1))),J58))</f>
        <v>0</v>
      </c>
      <c r="K57" s="561">
        <f ca="1">(IFERROR(IFERROR(VALUE(_xll.BDH(K$4,"PE_RATIO",$B57,$B57)),VALUE(_xll.BDH(K$4,"PE_RATIO",$B57+1,$B57+1))),K58))</f>
        <v>0</v>
      </c>
      <c r="L57" s="561">
        <f ca="1">(IFERROR(IFERROR(VALUE(_xll.BDH(L$4,"PE_RATIO",$B57,$B57)),VALUE(_xll.BDH(L$4,"PE_RATIO",$B57+1,$B57+1))),L58))</f>
        <v>0</v>
      </c>
      <c r="M57" s="561">
        <f ca="1">(IFERROR(IFERROR(VALUE(_xll.BDH(M$4,"PE_RATIO",$B57,$B57)),VALUE(_xll.BDH(M$4,"PE_RATIO",$B57+1,$B57+1))),M58))</f>
        <v>0</v>
      </c>
      <c r="N57" s="561">
        <f ca="1">(IFERROR(IFERROR(VALUE(_xll.BDH(N$4,"PE_RATIO",$B57,$B57)),VALUE(_xll.BDH(N$4,"PE_RATIO",$B57+1,$B57+1))),N58))</f>
        <v>0</v>
      </c>
      <c r="O57" s="561">
        <f ca="1">(IFERROR(IFERROR(VALUE(_xll.BDH(O$4,"PE_RATIO",$B57,$B57)),VALUE(_xll.BDH(O$4,"PE_RATIO",$B57+1,$B57+1))),O58))</f>
        <v>0</v>
      </c>
      <c r="P57" s="561"/>
      <c r="Q57" s="565">
        <f t="shared" ca="1" si="15"/>
        <v>45576</v>
      </c>
      <c r="R57" s="4">
        <v>69.290000000000006</v>
      </c>
      <c r="S57" s="4">
        <v>5495.52</v>
      </c>
      <c r="T57" s="4">
        <v>335.149</v>
      </c>
      <c r="U57" s="4">
        <v>1.1447216256401784</v>
      </c>
      <c r="V57" s="4">
        <v>1.5067406211186938</v>
      </c>
      <c r="W57" s="4" t="e">
        <v>#DIV/0!</v>
      </c>
      <c r="Y57" s="561">
        <f t="shared" si="16"/>
        <v>69.290000000000006</v>
      </c>
      <c r="Z57" s="4">
        <f ca="1">IFERROR(VALUE(_xll.BDH(Z$4,"PX_LAST",$Q57,$Q57)),Z58)</f>
        <v>0</v>
      </c>
      <c r="AA57" s="4">
        <f ca="1">IFERROR(VALUE(_xll.BDH(AA$4,"PX_LAST",$Q57,$Q57)),AA58)</f>
        <v>0</v>
      </c>
      <c r="AB57" s="4">
        <f ca="1">IFERROR(VALUE(_xll.BDH(AB$4,"PX_LAST",$Q57,$Q57)),AB58)</f>
        <v>0</v>
      </c>
      <c r="AC57" s="4">
        <f ca="1">IFERROR(VALUE(_xll.BDH(AC$4,"PX_LAST",$Q57,$Q57)),AC58)</f>
        <v>0</v>
      </c>
      <c r="AD57" s="4">
        <f ca="1">IFERROR(VALUE(_xll.BDH(AD$4,"PX_LAST",$Q57,$Q57)),AD58)</f>
        <v>0</v>
      </c>
      <c r="AF57" s="4">
        <f t="shared" si="17"/>
        <v>1.1447216256401784</v>
      </c>
      <c r="AG57" s="4" t="e">
        <f t="shared" ca="1" si="18"/>
        <v>#DIV/0!</v>
      </c>
      <c r="AH57" s="4" t="e">
        <f t="shared" ca="1" si="19"/>
        <v>#DIV/0!</v>
      </c>
      <c r="AI57" s="4" t="e">
        <f t="shared" ca="1" si="20"/>
        <v>#DIV/0!</v>
      </c>
      <c r="AJ57" s="4" t="e">
        <f t="shared" ca="1" si="21"/>
        <v>#DIV/0!</v>
      </c>
      <c r="AK57" s="4" t="e">
        <f t="shared" ca="1" si="22"/>
        <v>#DIV/0!</v>
      </c>
      <c r="AM57" s="563">
        <f t="shared" ca="1" si="12"/>
        <v>45887</v>
      </c>
      <c r="AN57" s="564">
        <v>105.94</v>
      </c>
      <c r="AO57" s="564">
        <v>713107</v>
      </c>
      <c r="AP57" s="564">
        <v>48539.625999999997</v>
      </c>
      <c r="AQ57" s="564">
        <v>5142287.9784399997</v>
      </c>
      <c r="AR57" s="564">
        <v>1.2111000000000001</v>
      </c>
    </row>
    <row r="58" spans="2:44">
      <c r="B58" s="565">
        <f t="shared" ca="1" si="23"/>
        <v>45569</v>
      </c>
      <c r="C58" s="561">
        <f ca="1">(IFERROR(IFERROR(VALUE(_xll.BDH(C$4,"CURRENT_EV_TO_T12M_EBITDA",$B58,$B58)),VALUE(_xll.BDH(C$4,"CURRENT_EV_TO_T12M_EBITDA",$B58+1,$B58+1))),C59))</f>
        <v>0</v>
      </c>
      <c r="D58" s="561">
        <f ca="1">(IFERROR(IFERROR(VALUE(_xll.BDH(D$4,"CURRENT_EV_TO_T12M_EBITDA",$B58,$B58)),VALUE(_xll.BDH(D$4,"CURRENT_EV_TO_T12M_EBITDA",$B58+1,$B58+1))),D59))</f>
        <v>0</v>
      </c>
      <c r="E58" s="561">
        <f ca="1">(IFERROR(IFERROR(VALUE(_xll.BDH(E$4,"CURRENT_EV_TO_T12M_EBITDA",$B58,$B58)),VALUE(_xll.BDH(E$4,"CURRENT_EV_TO_T12M_EBITDA",$B58+1,$B58+1))),E59))</f>
        <v>0</v>
      </c>
      <c r="F58" s="561">
        <f ca="1">(IFERROR(IFERROR(VALUE(_xll.BDH(F$4,"CURRENT_EV_TO_T12M_EBITDA",$B58,$B58)),VALUE(_xll.BDH(F$4,"CURRENT_EV_TO_T12M_EBITDA",$B58+1,$B58+1))),F59))</f>
        <v>0</v>
      </c>
      <c r="G58" s="561">
        <f ca="1">(IFERROR(IFERROR(VALUE(_xll.BDH(G$4,"CURRENT_EV_TO_T12M_EBITDA",$B58,$B58)),VALUE(_xll.BDH(G$4,"CURRENT_EV_TO_T12M_EBITDA",$B58+1,$B58+1))),G59))</f>
        <v>0</v>
      </c>
      <c r="H58" s="561">
        <f ca="1">(IFERROR(IFERROR(VALUE(_xll.BDH(H$4,"CURRENT_EV_TO_T12M_EBITDA",$B58,$B58)),VALUE(_xll.BDH(H$4,"CURRENT_EV_TO_T12M_EBITDA",$B58+1,$B58+1))),H59))</f>
        <v>0</v>
      </c>
      <c r="I58" s="565">
        <f t="shared" ca="1" si="14"/>
        <v>45569</v>
      </c>
      <c r="J58" s="561">
        <f ca="1">(IFERROR(IFERROR(VALUE(_xll.BDH(J$4,"PE_RATIO",$B58,$B58)),VALUE(_xll.BDH(J$4,"PE_RATIO",$B58+1,$B58+1))),J59))</f>
        <v>0</v>
      </c>
      <c r="K58" s="561">
        <f ca="1">(IFERROR(IFERROR(VALUE(_xll.BDH(K$4,"PE_RATIO",$B58,$B58)),VALUE(_xll.BDH(K$4,"PE_RATIO",$B58+1,$B58+1))),K59))</f>
        <v>0</v>
      </c>
      <c r="L58" s="561">
        <f ca="1">(IFERROR(IFERROR(VALUE(_xll.BDH(L$4,"PE_RATIO",$B58,$B58)),VALUE(_xll.BDH(L$4,"PE_RATIO",$B58+1,$B58+1))),L59))</f>
        <v>0</v>
      </c>
      <c r="M58" s="561">
        <f ca="1">(IFERROR(IFERROR(VALUE(_xll.BDH(M$4,"PE_RATIO",$B58,$B58)),VALUE(_xll.BDH(M$4,"PE_RATIO",$B58+1,$B58+1))),M59))</f>
        <v>0</v>
      </c>
      <c r="N58" s="561">
        <f ca="1">(IFERROR(IFERROR(VALUE(_xll.BDH(N$4,"PE_RATIO",$B58,$B58)),VALUE(_xll.BDH(N$4,"PE_RATIO",$B58+1,$B58+1))),N59))</f>
        <v>0</v>
      </c>
      <c r="O58" s="561">
        <f ca="1">(IFERROR(IFERROR(VALUE(_xll.BDH(O$4,"PE_RATIO",$B58,$B58)),VALUE(_xll.BDH(O$4,"PE_RATIO",$B58+1,$B58+1))),O59))</f>
        <v>0</v>
      </c>
      <c r="P58" s="561"/>
      <c r="Q58" s="565">
        <f t="shared" ca="1" si="15"/>
        <v>45569</v>
      </c>
      <c r="R58" s="4">
        <v>71.069999999999993</v>
      </c>
      <c r="S58" s="4">
        <v>5528.93</v>
      </c>
      <c r="T58" s="4">
        <v>335.149</v>
      </c>
      <c r="U58" s="4">
        <v>1.17412853130679</v>
      </c>
      <c r="V58" s="4">
        <v>1.5159008469301867</v>
      </c>
      <c r="W58" s="4" t="e">
        <v>#DIV/0!</v>
      </c>
      <c r="Y58" s="561">
        <f t="shared" si="16"/>
        <v>71.069999999999993</v>
      </c>
      <c r="Z58" s="4">
        <f ca="1">IFERROR(VALUE(_xll.BDH(Z$4,"PX_LAST",$Q58,$Q58)),Z59)</f>
        <v>0</v>
      </c>
      <c r="AA58" s="4">
        <f ca="1">IFERROR(VALUE(_xll.BDH(AA$4,"PX_LAST",$Q58,$Q58)),AA59)</f>
        <v>0</v>
      </c>
      <c r="AB58" s="4">
        <f ca="1">IFERROR(VALUE(_xll.BDH(AB$4,"PX_LAST",$Q58,$Q58)),AB59)</f>
        <v>0</v>
      </c>
      <c r="AC58" s="4">
        <f ca="1">IFERROR(VALUE(_xll.BDH(AC$4,"PX_LAST",$Q58,$Q58)),AC59)</f>
        <v>0</v>
      </c>
      <c r="AD58" s="4">
        <f ca="1">IFERROR(VALUE(_xll.BDH(AD$4,"PX_LAST",$Q58,$Q58)),AD59)</f>
        <v>0</v>
      </c>
      <c r="AF58" s="4">
        <f t="shared" si="17"/>
        <v>1.17412853130679</v>
      </c>
      <c r="AG58" s="4" t="e">
        <f t="shared" ca="1" si="18"/>
        <v>#DIV/0!</v>
      </c>
      <c r="AH58" s="4" t="e">
        <f t="shared" ca="1" si="19"/>
        <v>#DIV/0!</v>
      </c>
      <c r="AI58" s="4" t="e">
        <f t="shared" ca="1" si="20"/>
        <v>#DIV/0!</v>
      </c>
      <c r="AJ58" s="4" t="e">
        <f t="shared" ca="1" si="21"/>
        <v>#DIV/0!</v>
      </c>
      <c r="AK58" s="4" t="e">
        <f t="shared" ca="1" si="22"/>
        <v>#DIV/0!</v>
      </c>
      <c r="AM58" s="563">
        <f t="shared" ca="1" si="12"/>
        <v>45886</v>
      </c>
      <c r="AN58" s="564">
        <v>106.81</v>
      </c>
      <c r="AO58" s="564">
        <v>1111492</v>
      </c>
      <c r="AP58" s="564">
        <v>48539.625999999997</v>
      </c>
      <c r="AQ58" s="564">
        <v>5184517.4530600002</v>
      </c>
      <c r="AR58" s="564">
        <v>1.2210000000000001</v>
      </c>
    </row>
    <row r="59" spans="2:44">
      <c r="B59" s="565">
        <f t="shared" ca="1" si="23"/>
        <v>45562</v>
      </c>
      <c r="C59" s="561">
        <f ca="1">(IFERROR(IFERROR(VALUE(_xll.BDH(C$4,"CURRENT_EV_TO_T12M_EBITDA",$B59,$B59)),VALUE(_xll.BDH(C$4,"CURRENT_EV_TO_T12M_EBITDA",$B59+1,$B59+1))),C60))</f>
        <v>0</v>
      </c>
      <c r="D59" s="561">
        <f ca="1">(IFERROR(IFERROR(VALUE(_xll.BDH(D$4,"CURRENT_EV_TO_T12M_EBITDA",$B59,$B59)),VALUE(_xll.BDH(D$4,"CURRENT_EV_TO_T12M_EBITDA",$B59+1,$B59+1))),D60))</f>
        <v>0</v>
      </c>
      <c r="E59" s="561">
        <f ca="1">(IFERROR(IFERROR(VALUE(_xll.BDH(E$4,"CURRENT_EV_TO_T12M_EBITDA",$B59,$B59)),VALUE(_xll.BDH(E$4,"CURRENT_EV_TO_T12M_EBITDA",$B59+1,$B59+1))),E60))</f>
        <v>0</v>
      </c>
      <c r="F59" s="561">
        <f ca="1">(IFERROR(IFERROR(VALUE(_xll.BDH(F$4,"CURRENT_EV_TO_T12M_EBITDA",$B59,$B59)),VALUE(_xll.BDH(F$4,"CURRENT_EV_TO_T12M_EBITDA",$B59+1,$B59+1))),F60))</f>
        <v>0</v>
      </c>
      <c r="G59" s="561">
        <f ca="1">(IFERROR(IFERROR(VALUE(_xll.BDH(G$4,"CURRENT_EV_TO_T12M_EBITDA",$B59,$B59)),VALUE(_xll.BDH(G$4,"CURRENT_EV_TO_T12M_EBITDA",$B59+1,$B59+1))),G60))</f>
        <v>0</v>
      </c>
      <c r="H59" s="561">
        <f ca="1">(IFERROR(IFERROR(VALUE(_xll.BDH(H$4,"CURRENT_EV_TO_T12M_EBITDA",$B59,$B59)),VALUE(_xll.BDH(H$4,"CURRENT_EV_TO_T12M_EBITDA",$B59+1,$B59+1))),H60))</f>
        <v>0</v>
      </c>
      <c r="I59" s="565">
        <f t="shared" ca="1" si="14"/>
        <v>45562</v>
      </c>
      <c r="J59" s="561">
        <f ca="1">(IFERROR(IFERROR(VALUE(_xll.BDH(J$4,"PE_RATIO",$B59,$B59)),VALUE(_xll.BDH(J$4,"PE_RATIO",$B59+1,$B59+1))),J60))</f>
        <v>0</v>
      </c>
      <c r="K59" s="561">
        <f ca="1">(IFERROR(IFERROR(VALUE(_xll.BDH(K$4,"PE_RATIO",$B59,$B59)),VALUE(_xll.BDH(K$4,"PE_RATIO",$B59+1,$B59+1))),K60))</f>
        <v>0</v>
      </c>
      <c r="L59" s="561">
        <f ca="1">(IFERROR(IFERROR(VALUE(_xll.BDH(L$4,"PE_RATIO",$B59,$B59)),VALUE(_xll.BDH(L$4,"PE_RATIO",$B59+1,$B59+1))),L60))</f>
        <v>0</v>
      </c>
      <c r="M59" s="561">
        <f ca="1">(IFERROR(IFERROR(VALUE(_xll.BDH(M$4,"PE_RATIO",$B59,$B59)),VALUE(_xll.BDH(M$4,"PE_RATIO",$B59+1,$B59+1))),M60))</f>
        <v>0</v>
      </c>
      <c r="N59" s="561">
        <f ca="1">(IFERROR(IFERROR(VALUE(_xll.BDH(N$4,"PE_RATIO",$B59,$B59)),VALUE(_xll.BDH(N$4,"PE_RATIO",$B59+1,$B59+1))),N60))</f>
        <v>0</v>
      </c>
      <c r="O59" s="561">
        <f ca="1">(IFERROR(IFERROR(VALUE(_xll.BDH(O$4,"PE_RATIO",$B59,$B59)),VALUE(_xll.BDH(O$4,"PE_RATIO",$B59+1,$B59+1))),O60))</f>
        <v>0</v>
      </c>
      <c r="P59" s="561"/>
      <c r="Q59" s="565">
        <f t="shared" ca="1" si="15"/>
        <v>45562</v>
      </c>
      <c r="R59" s="4">
        <v>71.290000000000006</v>
      </c>
      <c r="S59" s="4">
        <v>5625.8</v>
      </c>
      <c r="T59" s="4">
        <v>335.149</v>
      </c>
      <c r="U59" s="4">
        <v>1.1777630926813152</v>
      </c>
      <c r="V59" s="4">
        <v>1.542460292436302</v>
      </c>
      <c r="W59" s="4" t="e">
        <v>#DIV/0!</v>
      </c>
      <c r="Y59" s="561">
        <f t="shared" si="16"/>
        <v>71.290000000000006</v>
      </c>
      <c r="Z59" s="4">
        <f ca="1">IFERROR(VALUE(_xll.BDH(Z$4,"PX_LAST",$Q59,$Q59)),Z60)</f>
        <v>0</v>
      </c>
      <c r="AA59" s="4">
        <f ca="1">IFERROR(VALUE(_xll.BDH(AA$4,"PX_LAST",$Q59,$Q59)),AA60)</f>
        <v>0</v>
      </c>
      <c r="AB59" s="4">
        <f ca="1">IFERROR(VALUE(_xll.BDH(AB$4,"PX_LAST",$Q59,$Q59)),AB60)</f>
        <v>0</v>
      </c>
      <c r="AC59" s="4">
        <f ca="1">IFERROR(VALUE(_xll.BDH(AC$4,"PX_LAST",$Q59,$Q59)),AC60)</f>
        <v>0</v>
      </c>
      <c r="AD59" s="4">
        <f ca="1">IFERROR(VALUE(_xll.BDH(AD$4,"PX_LAST",$Q59,$Q59)),AD60)</f>
        <v>0</v>
      </c>
      <c r="AF59" s="4">
        <f t="shared" si="17"/>
        <v>1.1777630926813152</v>
      </c>
      <c r="AG59" s="4" t="e">
        <f t="shared" ca="1" si="18"/>
        <v>#DIV/0!</v>
      </c>
      <c r="AH59" s="4" t="e">
        <f t="shared" ca="1" si="19"/>
        <v>#DIV/0!</v>
      </c>
      <c r="AI59" s="4" t="e">
        <f t="shared" ca="1" si="20"/>
        <v>#DIV/0!</v>
      </c>
      <c r="AJ59" s="4" t="e">
        <f t="shared" ca="1" si="21"/>
        <v>#DIV/0!</v>
      </c>
      <c r="AK59" s="4" t="e">
        <f t="shared" ca="1" si="22"/>
        <v>#DIV/0!</v>
      </c>
      <c r="AM59" s="563">
        <f t="shared" ca="1" si="12"/>
        <v>45885</v>
      </c>
      <c r="AN59" s="564">
        <v>104.49</v>
      </c>
      <c r="AO59" s="564">
        <v>775211</v>
      </c>
      <c r="AP59" s="564">
        <v>48539.625999999997</v>
      </c>
      <c r="AQ59" s="564">
        <v>5071905.5207399996</v>
      </c>
      <c r="AR59" s="564">
        <v>1.1944999999999999</v>
      </c>
    </row>
    <row r="60" spans="2:44">
      <c r="B60" s="565">
        <f t="shared" ca="1" si="23"/>
        <v>45555</v>
      </c>
      <c r="C60" s="561">
        <f ca="1">(IFERROR(IFERROR(VALUE(_xll.BDH(C$4,"CURRENT_EV_TO_T12M_EBITDA",$B60,$B60)),VALUE(_xll.BDH(C$4,"CURRENT_EV_TO_T12M_EBITDA",$B60+1,$B60+1))),C61))</f>
        <v>0</v>
      </c>
      <c r="D60" s="561">
        <f ca="1">(IFERROR(IFERROR(VALUE(_xll.BDH(D$4,"CURRENT_EV_TO_T12M_EBITDA",$B60,$B60)),VALUE(_xll.BDH(D$4,"CURRENT_EV_TO_T12M_EBITDA",$B60+1,$B60+1))),D61))</f>
        <v>0</v>
      </c>
      <c r="E60" s="561">
        <f ca="1">(IFERROR(IFERROR(VALUE(_xll.BDH(E$4,"CURRENT_EV_TO_T12M_EBITDA",$B60,$B60)),VALUE(_xll.BDH(E$4,"CURRENT_EV_TO_T12M_EBITDA",$B60+1,$B60+1))),E61))</f>
        <v>0</v>
      </c>
      <c r="F60" s="561">
        <f ca="1">(IFERROR(IFERROR(VALUE(_xll.BDH(F$4,"CURRENT_EV_TO_T12M_EBITDA",$B60,$B60)),VALUE(_xll.BDH(F$4,"CURRENT_EV_TO_T12M_EBITDA",$B60+1,$B60+1))),F61))</f>
        <v>0</v>
      </c>
      <c r="G60" s="561">
        <f ca="1">(IFERROR(IFERROR(VALUE(_xll.BDH(G$4,"CURRENT_EV_TO_T12M_EBITDA",$B60,$B60)),VALUE(_xll.BDH(G$4,"CURRENT_EV_TO_T12M_EBITDA",$B60+1,$B60+1))),G61))</f>
        <v>0</v>
      </c>
      <c r="H60" s="561">
        <f ca="1">(IFERROR(IFERROR(VALUE(_xll.BDH(H$4,"CURRENT_EV_TO_T12M_EBITDA",$B60,$B60)),VALUE(_xll.BDH(H$4,"CURRENT_EV_TO_T12M_EBITDA",$B60+1,$B60+1))),H61))</f>
        <v>0</v>
      </c>
      <c r="I60" s="565">
        <f t="shared" ca="1" si="14"/>
        <v>45555</v>
      </c>
      <c r="J60" s="561">
        <f ca="1">(IFERROR(IFERROR(VALUE(_xll.BDH(J$4,"PE_RATIO",$B60,$B60)),VALUE(_xll.BDH(J$4,"PE_RATIO",$B60+1,$B60+1))),J61))</f>
        <v>0</v>
      </c>
      <c r="K60" s="561">
        <f ca="1">(IFERROR(IFERROR(VALUE(_xll.BDH(K$4,"PE_RATIO",$B60,$B60)),VALUE(_xll.BDH(K$4,"PE_RATIO",$B60+1,$B60+1))),K61))</f>
        <v>0</v>
      </c>
      <c r="L60" s="561">
        <f ca="1">(IFERROR(IFERROR(VALUE(_xll.BDH(L$4,"PE_RATIO",$B60,$B60)),VALUE(_xll.BDH(L$4,"PE_RATIO",$B60+1,$B60+1))),L61))</f>
        <v>0</v>
      </c>
      <c r="M60" s="561">
        <f ca="1">(IFERROR(IFERROR(VALUE(_xll.BDH(M$4,"PE_RATIO",$B60,$B60)),VALUE(_xll.BDH(M$4,"PE_RATIO",$B60+1,$B60+1))),M61))</f>
        <v>0</v>
      </c>
      <c r="N60" s="561">
        <f ca="1">(IFERROR(IFERROR(VALUE(_xll.BDH(N$4,"PE_RATIO",$B60,$B60)),VALUE(_xll.BDH(N$4,"PE_RATIO",$B60+1,$B60+1))),N61))</f>
        <v>0</v>
      </c>
      <c r="O60" s="561">
        <f ca="1">(IFERROR(IFERROR(VALUE(_xll.BDH(O$4,"PE_RATIO",$B60,$B60)),VALUE(_xll.BDH(O$4,"PE_RATIO",$B60+1,$B60+1))),O61))</f>
        <v>0</v>
      </c>
      <c r="P60" s="561"/>
      <c r="Q60" s="565">
        <f t="shared" ca="1" si="15"/>
        <v>45555</v>
      </c>
      <c r="R60" s="4">
        <v>71.84</v>
      </c>
      <c r="S60" s="4">
        <v>5597.12</v>
      </c>
      <c r="T60" s="4">
        <v>335.149</v>
      </c>
      <c r="U60" s="4">
        <v>1.1868494961176277</v>
      </c>
      <c r="V60" s="4">
        <v>1.5345969199049156</v>
      </c>
      <c r="W60" s="4" t="e">
        <v>#DIV/0!</v>
      </c>
      <c r="Y60" s="561">
        <f t="shared" si="16"/>
        <v>71.84</v>
      </c>
      <c r="Z60" s="4">
        <f ca="1">IFERROR(VALUE(_xll.BDH(Z$4,"PX_LAST",$Q60,$Q60)),Z61)</f>
        <v>0</v>
      </c>
      <c r="AA60" s="4">
        <f ca="1">IFERROR(VALUE(_xll.BDH(AA$4,"PX_LAST",$Q60,$Q60)),AA61)</f>
        <v>0</v>
      </c>
      <c r="AB60" s="4">
        <f ca="1">IFERROR(VALUE(_xll.BDH(AB$4,"PX_LAST",$Q60,$Q60)),AB61)</f>
        <v>0</v>
      </c>
      <c r="AC60" s="4">
        <f ca="1">IFERROR(VALUE(_xll.BDH(AC$4,"PX_LAST",$Q60,$Q60)),AC61)</f>
        <v>0</v>
      </c>
      <c r="AD60" s="4">
        <f ca="1">IFERROR(VALUE(_xll.BDH(AD$4,"PX_LAST",$Q60,$Q60)),AD61)</f>
        <v>0</v>
      </c>
      <c r="AF60" s="4">
        <f t="shared" si="17"/>
        <v>1.1868494961176277</v>
      </c>
      <c r="AG60" s="4" t="e">
        <f t="shared" ca="1" si="18"/>
        <v>#DIV/0!</v>
      </c>
      <c r="AH60" s="4" t="e">
        <f t="shared" ca="1" si="19"/>
        <v>#DIV/0!</v>
      </c>
      <c r="AI60" s="4" t="e">
        <f t="shared" ca="1" si="20"/>
        <v>#DIV/0!</v>
      </c>
      <c r="AJ60" s="4" t="e">
        <f t="shared" ca="1" si="21"/>
        <v>#DIV/0!</v>
      </c>
      <c r="AK60" s="4" t="e">
        <f t="shared" ca="1" si="22"/>
        <v>#DIV/0!</v>
      </c>
      <c r="AM60" s="563">
        <f t="shared" ca="1" si="12"/>
        <v>45884</v>
      </c>
      <c r="AN60" s="564">
        <v>102.78</v>
      </c>
      <c r="AO60" s="564">
        <v>896674</v>
      </c>
      <c r="AP60" s="564">
        <v>48539.625999999997</v>
      </c>
      <c r="AQ60" s="564">
        <v>4988902.76028</v>
      </c>
      <c r="AR60" s="564">
        <v>1.1749000000000001</v>
      </c>
    </row>
    <row r="61" spans="2:44">
      <c r="B61" s="565">
        <f t="shared" ca="1" si="23"/>
        <v>45548</v>
      </c>
      <c r="C61" s="561">
        <f ca="1">(IFERROR(IFERROR(VALUE(_xll.BDH(C$4,"CURRENT_EV_TO_T12M_EBITDA",$B61,$B61)),VALUE(_xll.BDH(C$4,"CURRENT_EV_TO_T12M_EBITDA",$B61+1,$B61+1))),C62))</f>
        <v>0</v>
      </c>
      <c r="D61" s="561">
        <f ca="1">(IFERROR(IFERROR(VALUE(_xll.BDH(D$4,"CURRENT_EV_TO_T12M_EBITDA",$B61,$B61)),VALUE(_xll.BDH(D$4,"CURRENT_EV_TO_T12M_EBITDA",$B61+1,$B61+1))),D62))</f>
        <v>0</v>
      </c>
      <c r="E61" s="561">
        <f ca="1">(IFERROR(IFERROR(VALUE(_xll.BDH(E$4,"CURRENT_EV_TO_T12M_EBITDA",$B61,$B61)),VALUE(_xll.BDH(E$4,"CURRENT_EV_TO_T12M_EBITDA",$B61+1,$B61+1))),E62))</f>
        <v>0</v>
      </c>
      <c r="F61" s="561">
        <f ca="1">(IFERROR(IFERROR(VALUE(_xll.BDH(F$4,"CURRENT_EV_TO_T12M_EBITDA",$B61,$B61)),VALUE(_xll.BDH(F$4,"CURRENT_EV_TO_T12M_EBITDA",$B61+1,$B61+1))),F62))</f>
        <v>0</v>
      </c>
      <c r="G61" s="561">
        <f ca="1">(IFERROR(IFERROR(VALUE(_xll.BDH(G$4,"CURRENT_EV_TO_T12M_EBITDA",$B61,$B61)),VALUE(_xll.BDH(G$4,"CURRENT_EV_TO_T12M_EBITDA",$B61+1,$B61+1))),G62))</f>
        <v>0</v>
      </c>
      <c r="H61" s="561">
        <f ca="1">(IFERROR(IFERROR(VALUE(_xll.BDH(H$4,"CURRENT_EV_TO_T12M_EBITDA",$B61,$B61)),VALUE(_xll.BDH(H$4,"CURRENT_EV_TO_T12M_EBITDA",$B61+1,$B61+1))),H62))</f>
        <v>0</v>
      </c>
      <c r="I61" s="565">
        <f t="shared" ca="1" si="14"/>
        <v>45548</v>
      </c>
      <c r="J61" s="561">
        <f ca="1">(IFERROR(IFERROR(VALUE(_xll.BDH(J$4,"PE_RATIO",$B61,$B61)),VALUE(_xll.BDH(J$4,"PE_RATIO",$B61+1,$B61+1))),J62))</f>
        <v>0</v>
      </c>
      <c r="K61" s="561">
        <f ca="1">(IFERROR(IFERROR(VALUE(_xll.BDH(K$4,"PE_RATIO",$B61,$B61)),VALUE(_xll.BDH(K$4,"PE_RATIO",$B61+1,$B61+1))),K62))</f>
        <v>0</v>
      </c>
      <c r="L61" s="561">
        <f ca="1">(IFERROR(IFERROR(VALUE(_xll.BDH(L$4,"PE_RATIO",$B61,$B61)),VALUE(_xll.BDH(L$4,"PE_RATIO",$B61+1,$B61+1))),L62))</f>
        <v>0</v>
      </c>
      <c r="M61" s="561">
        <f ca="1">(IFERROR(IFERROR(VALUE(_xll.BDH(M$4,"PE_RATIO",$B61,$B61)),VALUE(_xll.BDH(M$4,"PE_RATIO",$B61+1,$B61+1))),M62))</f>
        <v>0</v>
      </c>
      <c r="N61" s="561">
        <f ca="1">(IFERROR(IFERROR(VALUE(_xll.BDH(N$4,"PE_RATIO",$B61,$B61)),VALUE(_xll.BDH(N$4,"PE_RATIO",$B61+1,$B61+1))),N62))</f>
        <v>0</v>
      </c>
      <c r="O61" s="561">
        <f ca="1">(IFERROR(IFERROR(VALUE(_xll.BDH(O$4,"PE_RATIO",$B61,$B61)),VALUE(_xll.BDH(O$4,"PE_RATIO",$B61+1,$B61+1))),O62))</f>
        <v>0</v>
      </c>
      <c r="P61" s="561"/>
      <c r="Q61" s="565">
        <f t="shared" ca="1" si="15"/>
        <v>45548</v>
      </c>
      <c r="R61" s="4">
        <v>70.16</v>
      </c>
      <c r="S61" s="4">
        <v>5434.43</v>
      </c>
      <c r="T61" s="4">
        <v>335.149</v>
      </c>
      <c r="U61" s="4">
        <v>1.1590946638030728</v>
      </c>
      <c r="V61" s="4">
        <v>1.4899911989449701</v>
      </c>
      <c r="W61" s="4" t="e">
        <v>#DIV/0!</v>
      </c>
      <c r="Y61" s="561">
        <f t="shared" si="16"/>
        <v>70.16</v>
      </c>
      <c r="Z61" s="4">
        <f ca="1">IFERROR(VALUE(_xll.BDH(Z$4,"PX_LAST",$Q61,$Q61)),Z62)</f>
        <v>0</v>
      </c>
      <c r="AA61" s="4">
        <f ca="1">IFERROR(VALUE(_xll.BDH(AA$4,"PX_LAST",$Q61,$Q61)),AA62)</f>
        <v>0</v>
      </c>
      <c r="AB61" s="4">
        <f ca="1">IFERROR(VALUE(_xll.BDH(AB$4,"PX_LAST",$Q61,$Q61)),AB62)</f>
        <v>0</v>
      </c>
      <c r="AC61" s="4">
        <f ca="1">IFERROR(VALUE(_xll.BDH(AC$4,"PX_LAST",$Q61,$Q61)),AC62)</f>
        <v>0</v>
      </c>
      <c r="AD61" s="4">
        <f ca="1">IFERROR(VALUE(_xll.BDH(AD$4,"PX_LAST",$Q61,$Q61)),AD62)</f>
        <v>0</v>
      </c>
      <c r="AF61" s="4">
        <f t="shared" si="17"/>
        <v>1.1590946638030728</v>
      </c>
      <c r="AG61" s="4" t="e">
        <f t="shared" ca="1" si="18"/>
        <v>#DIV/0!</v>
      </c>
      <c r="AH61" s="4" t="e">
        <f t="shared" ca="1" si="19"/>
        <v>#DIV/0!</v>
      </c>
      <c r="AI61" s="4" t="e">
        <f t="shared" ca="1" si="20"/>
        <v>#DIV/0!</v>
      </c>
      <c r="AJ61" s="4" t="e">
        <f t="shared" ca="1" si="21"/>
        <v>#DIV/0!</v>
      </c>
      <c r="AK61" s="4" t="e">
        <f t="shared" ca="1" si="22"/>
        <v>#DIV/0!</v>
      </c>
      <c r="AM61" s="563">
        <f t="shared" ca="1" si="12"/>
        <v>45883</v>
      </c>
      <c r="AN61" s="564">
        <v>101.98</v>
      </c>
      <c r="AO61" s="564">
        <v>443203</v>
      </c>
      <c r="AP61" s="564">
        <v>48539.625999999997</v>
      </c>
      <c r="AQ61" s="564">
        <v>4950071.0594800003</v>
      </c>
      <c r="AR61" s="564">
        <v>1.1657999999999999</v>
      </c>
    </row>
    <row r="62" spans="2:44">
      <c r="B62" s="565">
        <f t="shared" ca="1" si="23"/>
        <v>45541</v>
      </c>
      <c r="C62" s="561">
        <f ca="1">(IFERROR(IFERROR(VALUE(_xll.BDH(C$4,"CURRENT_EV_TO_T12M_EBITDA",$B62,$B62)),VALUE(_xll.BDH(C$4,"CURRENT_EV_TO_T12M_EBITDA",$B62+1,$B62+1))),C63))</f>
        <v>0</v>
      </c>
      <c r="D62" s="561">
        <f ca="1">(IFERROR(IFERROR(VALUE(_xll.BDH(D$4,"CURRENT_EV_TO_T12M_EBITDA",$B62,$B62)),VALUE(_xll.BDH(D$4,"CURRENT_EV_TO_T12M_EBITDA",$B62+1,$B62+1))),D63))</f>
        <v>0</v>
      </c>
      <c r="E62" s="561">
        <f ca="1">(IFERROR(IFERROR(VALUE(_xll.BDH(E$4,"CURRENT_EV_TO_T12M_EBITDA",$B62,$B62)),VALUE(_xll.BDH(E$4,"CURRENT_EV_TO_T12M_EBITDA",$B62+1,$B62+1))),E63))</f>
        <v>0</v>
      </c>
      <c r="F62" s="561">
        <f ca="1">(IFERROR(IFERROR(VALUE(_xll.BDH(F$4,"CURRENT_EV_TO_T12M_EBITDA",$B62,$B62)),VALUE(_xll.BDH(F$4,"CURRENT_EV_TO_T12M_EBITDA",$B62+1,$B62+1))),F63))</f>
        <v>0</v>
      </c>
      <c r="G62" s="561">
        <f ca="1">(IFERROR(IFERROR(VALUE(_xll.BDH(G$4,"CURRENT_EV_TO_T12M_EBITDA",$B62,$B62)),VALUE(_xll.BDH(G$4,"CURRENT_EV_TO_T12M_EBITDA",$B62+1,$B62+1))),G63))</f>
        <v>0</v>
      </c>
      <c r="H62" s="561">
        <f ca="1">(IFERROR(IFERROR(VALUE(_xll.BDH(H$4,"CURRENT_EV_TO_T12M_EBITDA",$B62,$B62)),VALUE(_xll.BDH(H$4,"CURRENT_EV_TO_T12M_EBITDA",$B62+1,$B62+1))),H63))</f>
        <v>0</v>
      </c>
      <c r="I62" s="565">
        <f t="shared" ca="1" si="14"/>
        <v>45541</v>
      </c>
      <c r="J62" s="561">
        <f ca="1">(IFERROR(IFERROR(VALUE(_xll.BDH(J$4,"PE_RATIO",$B62,$B62)),VALUE(_xll.BDH(J$4,"PE_RATIO",$B62+1,$B62+1))),J63))</f>
        <v>0</v>
      </c>
      <c r="K62" s="561">
        <f ca="1">(IFERROR(IFERROR(VALUE(_xll.BDH(K$4,"PE_RATIO",$B62,$B62)),VALUE(_xll.BDH(K$4,"PE_RATIO",$B62+1,$B62+1))),K63))</f>
        <v>0</v>
      </c>
      <c r="L62" s="561">
        <f ca="1">(IFERROR(IFERROR(VALUE(_xll.BDH(L$4,"PE_RATIO",$B62,$B62)),VALUE(_xll.BDH(L$4,"PE_RATIO",$B62+1,$B62+1))),L63))</f>
        <v>0</v>
      </c>
      <c r="M62" s="561">
        <f ca="1">(IFERROR(IFERROR(VALUE(_xll.BDH(M$4,"PE_RATIO",$B62,$B62)),VALUE(_xll.BDH(M$4,"PE_RATIO",$B62+1,$B62+1))),M63))</f>
        <v>0</v>
      </c>
      <c r="N62" s="561">
        <f ca="1">(IFERROR(IFERROR(VALUE(_xll.BDH(N$4,"PE_RATIO",$B62,$B62)),VALUE(_xll.BDH(N$4,"PE_RATIO",$B62+1,$B62+1))),N63))</f>
        <v>0</v>
      </c>
      <c r="O62" s="561">
        <f ca="1">(IFERROR(IFERROR(VALUE(_xll.BDH(O$4,"PE_RATIO",$B62,$B62)),VALUE(_xll.BDH(O$4,"PE_RATIO",$B62+1,$B62+1))),O63))</f>
        <v>0</v>
      </c>
      <c r="P62" s="561"/>
      <c r="Q62" s="565">
        <f t="shared" ca="1" si="15"/>
        <v>45541</v>
      </c>
      <c r="R62" s="4">
        <v>69.19</v>
      </c>
      <c r="S62" s="4">
        <v>5240.03</v>
      </c>
      <c r="T62" s="4">
        <v>335.149</v>
      </c>
      <c r="U62" s="4">
        <v>1.1430695522881216</v>
      </c>
      <c r="V62" s="4">
        <v>1.4366913516610962</v>
      </c>
      <c r="W62" s="4" t="e">
        <v>#DIV/0!</v>
      </c>
      <c r="Y62" s="561">
        <f t="shared" si="16"/>
        <v>69.19</v>
      </c>
      <c r="Z62" s="4">
        <f ca="1">IFERROR(VALUE(_xll.BDH(Z$4,"PX_LAST",$Q62,$Q62)),Z63)</f>
        <v>0</v>
      </c>
      <c r="AA62" s="4">
        <f ca="1">IFERROR(VALUE(_xll.BDH(AA$4,"PX_LAST",$Q62,$Q62)),AA63)</f>
        <v>0</v>
      </c>
      <c r="AB62" s="4">
        <f ca="1">IFERROR(VALUE(_xll.BDH(AB$4,"PX_LAST",$Q62,$Q62)),AB63)</f>
        <v>0</v>
      </c>
      <c r="AC62" s="4">
        <f ca="1">IFERROR(VALUE(_xll.BDH(AC$4,"PX_LAST",$Q62,$Q62)),AC63)</f>
        <v>0</v>
      </c>
      <c r="AD62" s="4">
        <f ca="1">IFERROR(VALUE(_xll.BDH(AD$4,"PX_LAST",$Q62,$Q62)),AD63)</f>
        <v>0</v>
      </c>
      <c r="AF62" s="4">
        <f t="shared" si="17"/>
        <v>1.1430695522881216</v>
      </c>
      <c r="AG62" s="4" t="e">
        <f t="shared" ca="1" si="18"/>
        <v>#DIV/0!</v>
      </c>
      <c r="AH62" s="4" t="e">
        <f t="shared" ca="1" si="19"/>
        <v>#DIV/0!</v>
      </c>
      <c r="AI62" s="4" t="e">
        <f t="shared" ca="1" si="20"/>
        <v>#DIV/0!</v>
      </c>
      <c r="AJ62" s="4" t="e">
        <f t="shared" ca="1" si="21"/>
        <v>#DIV/0!</v>
      </c>
      <c r="AK62" s="4" t="e">
        <f t="shared" ca="1" si="22"/>
        <v>#DIV/0!</v>
      </c>
      <c r="AM62" s="563">
        <f t="shared" ca="1" si="12"/>
        <v>45882</v>
      </c>
      <c r="AN62" s="564">
        <v>100.52</v>
      </c>
      <c r="AO62" s="564">
        <v>701500</v>
      </c>
      <c r="AP62" s="564">
        <v>48539.625999999997</v>
      </c>
      <c r="AQ62" s="564">
        <v>4879203.2055199994</v>
      </c>
      <c r="AR62" s="564">
        <v>1.1491</v>
      </c>
    </row>
    <row r="63" spans="2:44">
      <c r="B63" s="565">
        <f t="shared" ca="1" si="23"/>
        <v>45534</v>
      </c>
      <c r="C63" s="561">
        <f ca="1">(IFERROR(IFERROR(VALUE(_xll.BDH(C$4,"CURRENT_EV_TO_T12M_EBITDA",$B63,$B63)),VALUE(_xll.BDH(C$4,"CURRENT_EV_TO_T12M_EBITDA",$B63+1,$B63+1))),C64))</f>
        <v>0</v>
      </c>
      <c r="D63" s="561">
        <f ca="1">(IFERROR(IFERROR(VALUE(_xll.BDH(D$4,"CURRENT_EV_TO_T12M_EBITDA",$B63,$B63)),VALUE(_xll.BDH(D$4,"CURRENT_EV_TO_T12M_EBITDA",$B63+1,$B63+1))),D64))</f>
        <v>0</v>
      </c>
      <c r="E63" s="561">
        <f ca="1">(IFERROR(IFERROR(VALUE(_xll.BDH(E$4,"CURRENT_EV_TO_T12M_EBITDA",$B63,$B63)),VALUE(_xll.BDH(E$4,"CURRENT_EV_TO_T12M_EBITDA",$B63+1,$B63+1))),E64))</f>
        <v>0</v>
      </c>
      <c r="F63" s="561">
        <f ca="1">(IFERROR(IFERROR(VALUE(_xll.BDH(F$4,"CURRENT_EV_TO_T12M_EBITDA",$B63,$B63)),VALUE(_xll.BDH(F$4,"CURRENT_EV_TO_T12M_EBITDA",$B63+1,$B63+1))),F64))</f>
        <v>0</v>
      </c>
      <c r="G63" s="561">
        <f ca="1">(IFERROR(IFERROR(VALUE(_xll.BDH(G$4,"CURRENT_EV_TO_T12M_EBITDA",$B63,$B63)),VALUE(_xll.BDH(G$4,"CURRENT_EV_TO_T12M_EBITDA",$B63+1,$B63+1))),G64))</f>
        <v>0</v>
      </c>
      <c r="H63" s="561">
        <f ca="1">(IFERROR(IFERROR(VALUE(_xll.BDH(H$4,"CURRENT_EV_TO_T12M_EBITDA",$B63,$B63)),VALUE(_xll.BDH(H$4,"CURRENT_EV_TO_T12M_EBITDA",$B63+1,$B63+1))),H64))</f>
        <v>0</v>
      </c>
      <c r="I63" s="565">
        <f t="shared" ca="1" si="14"/>
        <v>45534</v>
      </c>
      <c r="J63" s="561">
        <f ca="1">(IFERROR(IFERROR(VALUE(_xll.BDH(J$4,"PE_RATIO",$B63,$B63)),VALUE(_xll.BDH(J$4,"PE_RATIO",$B63+1,$B63+1))),J64))</f>
        <v>0</v>
      </c>
      <c r="K63" s="561">
        <f ca="1">(IFERROR(IFERROR(VALUE(_xll.BDH(K$4,"PE_RATIO",$B63,$B63)),VALUE(_xll.BDH(K$4,"PE_RATIO",$B63+1,$B63+1))),K64))</f>
        <v>0</v>
      </c>
      <c r="L63" s="561">
        <f ca="1">(IFERROR(IFERROR(VALUE(_xll.BDH(L$4,"PE_RATIO",$B63,$B63)),VALUE(_xll.BDH(L$4,"PE_RATIO",$B63+1,$B63+1))),L64))</f>
        <v>0</v>
      </c>
      <c r="M63" s="561">
        <f ca="1">(IFERROR(IFERROR(VALUE(_xll.BDH(M$4,"PE_RATIO",$B63,$B63)),VALUE(_xll.BDH(M$4,"PE_RATIO",$B63+1,$B63+1))),M64))</f>
        <v>0</v>
      </c>
      <c r="N63" s="561">
        <f ca="1">(IFERROR(IFERROR(VALUE(_xll.BDH(N$4,"PE_RATIO",$B63,$B63)),VALUE(_xll.BDH(N$4,"PE_RATIO",$B63+1,$B63+1))),N64))</f>
        <v>0</v>
      </c>
      <c r="O63" s="561">
        <f ca="1">(IFERROR(IFERROR(VALUE(_xll.BDH(O$4,"PE_RATIO",$B63,$B63)),VALUE(_xll.BDH(O$4,"PE_RATIO",$B63+1,$B63+1))),O64))</f>
        <v>0</v>
      </c>
      <c r="P63" s="561"/>
      <c r="Q63" s="565">
        <f t="shared" ca="1" si="15"/>
        <v>45534</v>
      </c>
      <c r="R63" s="4">
        <v>71.78</v>
      </c>
      <c r="S63" s="4">
        <v>5436.44</v>
      </c>
      <c r="T63" s="4">
        <v>335.149</v>
      </c>
      <c r="U63" s="4">
        <v>1.1858582521063936</v>
      </c>
      <c r="V63" s="4">
        <v>1.490542293044973</v>
      </c>
      <c r="W63" s="4" t="e">
        <v>#DIV/0!</v>
      </c>
      <c r="Y63" s="561">
        <f t="shared" si="16"/>
        <v>71.78</v>
      </c>
      <c r="Z63" s="4">
        <f ca="1">IFERROR(VALUE(_xll.BDH(Z$4,"PX_LAST",$Q63,$Q63)),Z64)</f>
        <v>0</v>
      </c>
      <c r="AA63" s="4">
        <f ca="1">IFERROR(VALUE(_xll.BDH(AA$4,"PX_LAST",$Q63,$Q63)),AA64)</f>
        <v>0</v>
      </c>
      <c r="AB63" s="4">
        <f ca="1">IFERROR(VALUE(_xll.BDH(AB$4,"PX_LAST",$Q63,$Q63)),AB64)</f>
        <v>0</v>
      </c>
      <c r="AC63" s="4">
        <f ca="1">IFERROR(VALUE(_xll.BDH(AC$4,"PX_LAST",$Q63,$Q63)),AC64)</f>
        <v>0</v>
      </c>
      <c r="AD63" s="4">
        <f ca="1">IFERROR(VALUE(_xll.BDH(AD$4,"PX_LAST",$Q63,$Q63)),AD64)</f>
        <v>0</v>
      </c>
      <c r="AF63" s="4">
        <f t="shared" si="17"/>
        <v>1.1858582521063936</v>
      </c>
      <c r="AG63" s="4" t="e">
        <f t="shared" ca="1" si="18"/>
        <v>#DIV/0!</v>
      </c>
      <c r="AH63" s="4" t="e">
        <f t="shared" ca="1" si="19"/>
        <v>#DIV/0!</v>
      </c>
      <c r="AI63" s="4" t="e">
        <f t="shared" ca="1" si="20"/>
        <v>#DIV/0!</v>
      </c>
      <c r="AJ63" s="4" t="e">
        <f t="shared" ca="1" si="21"/>
        <v>#DIV/0!</v>
      </c>
      <c r="AK63" s="4" t="e">
        <f t="shared" ca="1" si="22"/>
        <v>#DIV/0!</v>
      </c>
      <c r="AM63" s="563">
        <f t="shared" ca="1" si="12"/>
        <v>45881</v>
      </c>
      <c r="AN63" s="564">
        <v>100.52</v>
      </c>
      <c r="AO63" s="564">
        <v>701500</v>
      </c>
      <c r="AP63" s="564">
        <v>48539.625999999997</v>
      </c>
      <c r="AQ63" s="564">
        <v>4879203.2055199994</v>
      </c>
      <c r="AR63" s="564">
        <v>1.1491</v>
      </c>
    </row>
    <row r="64" spans="2:44">
      <c r="B64" s="565">
        <f t="shared" ca="1" si="23"/>
        <v>45527</v>
      </c>
      <c r="C64" s="561">
        <f ca="1">(IFERROR(IFERROR(VALUE(_xll.BDH(C$4,"CURRENT_EV_TO_T12M_EBITDA",$B64,$B64)),VALUE(_xll.BDH(C$4,"CURRENT_EV_TO_T12M_EBITDA",$B64+1,$B64+1))),C65))</f>
        <v>0</v>
      </c>
      <c r="D64" s="561">
        <f ca="1">(IFERROR(IFERROR(VALUE(_xll.BDH(D$4,"CURRENT_EV_TO_T12M_EBITDA",$B64,$B64)),VALUE(_xll.BDH(D$4,"CURRENT_EV_TO_T12M_EBITDA",$B64+1,$B64+1))),D65))</f>
        <v>0</v>
      </c>
      <c r="E64" s="561">
        <f ca="1">(IFERROR(IFERROR(VALUE(_xll.BDH(E$4,"CURRENT_EV_TO_T12M_EBITDA",$B64,$B64)),VALUE(_xll.BDH(E$4,"CURRENT_EV_TO_T12M_EBITDA",$B64+1,$B64+1))),E65))</f>
        <v>0</v>
      </c>
      <c r="F64" s="561">
        <f ca="1">(IFERROR(IFERROR(VALUE(_xll.BDH(F$4,"CURRENT_EV_TO_T12M_EBITDA",$B64,$B64)),VALUE(_xll.BDH(F$4,"CURRENT_EV_TO_T12M_EBITDA",$B64+1,$B64+1))),F65))</f>
        <v>0</v>
      </c>
      <c r="G64" s="561">
        <f ca="1">(IFERROR(IFERROR(VALUE(_xll.BDH(G$4,"CURRENT_EV_TO_T12M_EBITDA",$B64,$B64)),VALUE(_xll.BDH(G$4,"CURRENT_EV_TO_T12M_EBITDA",$B64+1,$B64+1))),G65))</f>
        <v>0</v>
      </c>
      <c r="H64" s="561">
        <f ca="1">(IFERROR(IFERROR(VALUE(_xll.BDH(H$4,"CURRENT_EV_TO_T12M_EBITDA",$B64,$B64)),VALUE(_xll.BDH(H$4,"CURRENT_EV_TO_T12M_EBITDA",$B64+1,$B64+1))),H65))</f>
        <v>0</v>
      </c>
      <c r="I64" s="565">
        <f t="shared" ca="1" si="14"/>
        <v>45527</v>
      </c>
      <c r="J64" s="561">
        <f ca="1">(IFERROR(IFERROR(VALUE(_xll.BDH(J$4,"PE_RATIO",$B64,$B64)),VALUE(_xll.BDH(J$4,"PE_RATIO",$B64+1,$B64+1))),J65))</f>
        <v>0</v>
      </c>
      <c r="K64" s="561">
        <f ca="1">(IFERROR(IFERROR(VALUE(_xll.BDH(K$4,"PE_RATIO",$B64,$B64)),VALUE(_xll.BDH(K$4,"PE_RATIO",$B64+1,$B64+1))),K65))</f>
        <v>0</v>
      </c>
      <c r="L64" s="561">
        <f ca="1">(IFERROR(IFERROR(VALUE(_xll.BDH(L$4,"PE_RATIO",$B64,$B64)),VALUE(_xll.BDH(L$4,"PE_RATIO",$B64+1,$B64+1))),L65))</f>
        <v>0</v>
      </c>
      <c r="M64" s="561">
        <f ca="1">(IFERROR(IFERROR(VALUE(_xll.BDH(M$4,"PE_RATIO",$B64,$B64)),VALUE(_xll.BDH(M$4,"PE_RATIO",$B64+1,$B64+1))),M65))</f>
        <v>0</v>
      </c>
      <c r="N64" s="561">
        <f ca="1">(IFERROR(IFERROR(VALUE(_xll.BDH(N$4,"PE_RATIO",$B64,$B64)),VALUE(_xll.BDH(N$4,"PE_RATIO",$B64+1,$B64+1))),N65))</f>
        <v>0</v>
      </c>
      <c r="O64" s="561">
        <f ca="1">(IFERROR(IFERROR(VALUE(_xll.BDH(O$4,"PE_RATIO",$B64,$B64)),VALUE(_xll.BDH(O$4,"PE_RATIO",$B64+1,$B64+1))),O65))</f>
        <v>0</v>
      </c>
      <c r="P64" s="561"/>
      <c r="Q64" s="565">
        <f t="shared" ca="1" si="15"/>
        <v>45527</v>
      </c>
      <c r="R64" s="4">
        <v>64.83</v>
      </c>
      <c r="S64" s="4">
        <v>5555.74</v>
      </c>
      <c r="T64" s="4">
        <v>335.149</v>
      </c>
      <c r="U64" s="4">
        <v>1.0710391541384436</v>
      </c>
      <c r="V64" s="4">
        <v>1.5232515100252515</v>
      </c>
      <c r="W64" s="4" t="e">
        <v>#DIV/0!</v>
      </c>
      <c r="Y64" s="561">
        <f t="shared" si="16"/>
        <v>64.83</v>
      </c>
      <c r="Z64" s="4">
        <f ca="1">IFERROR(VALUE(_xll.BDH(Z$4,"PX_LAST",$Q64,$Q64)),Z65)</f>
        <v>0</v>
      </c>
      <c r="AA64" s="4">
        <f ca="1">IFERROR(VALUE(_xll.BDH(AA$4,"PX_LAST",$Q64,$Q64)),AA65)</f>
        <v>0</v>
      </c>
      <c r="AB64" s="4">
        <f ca="1">IFERROR(VALUE(_xll.BDH(AB$4,"PX_LAST",$Q64,$Q64)),AB65)</f>
        <v>0</v>
      </c>
      <c r="AC64" s="4">
        <f ca="1">IFERROR(VALUE(_xll.BDH(AC$4,"PX_LAST",$Q64,$Q64)),AC65)</f>
        <v>0</v>
      </c>
      <c r="AD64" s="4">
        <f ca="1">IFERROR(VALUE(_xll.BDH(AD$4,"PX_LAST",$Q64,$Q64)),AD65)</f>
        <v>0</v>
      </c>
      <c r="AF64" s="4">
        <f t="shared" si="17"/>
        <v>1.0710391541384436</v>
      </c>
      <c r="AG64" s="4" t="e">
        <f t="shared" ca="1" si="18"/>
        <v>#DIV/0!</v>
      </c>
      <c r="AH64" s="4" t="e">
        <f t="shared" ca="1" si="19"/>
        <v>#DIV/0!</v>
      </c>
      <c r="AI64" s="4" t="e">
        <f t="shared" ca="1" si="20"/>
        <v>#DIV/0!</v>
      </c>
      <c r="AJ64" s="4" t="e">
        <f t="shared" ca="1" si="21"/>
        <v>#DIV/0!</v>
      </c>
      <c r="AK64" s="4" t="e">
        <f t="shared" ca="1" si="22"/>
        <v>#DIV/0!</v>
      </c>
      <c r="AM64" s="563">
        <f t="shared" ca="1" si="12"/>
        <v>45880</v>
      </c>
      <c r="AN64" s="564">
        <v>100.52</v>
      </c>
      <c r="AO64" s="564">
        <v>701500</v>
      </c>
      <c r="AP64" s="564">
        <v>48539.625999999997</v>
      </c>
      <c r="AQ64" s="564">
        <v>4879203.2055199994</v>
      </c>
      <c r="AR64" s="564">
        <v>1.1491</v>
      </c>
    </row>
    <row r="65" spans="2:44">
      <c r="B65" s="565">
        <f t="shared" ca="1" si="23"/>
        <v>45520</v>
      </c>
      <c r="C65" s="561">
        <f ca="1">(IFERROR(IFERROR(VALUE(_xll.BDH(C$4,"CURRENT_EV_TO_T12M_EBITDA",$B65,$B65)),VALUE(_xll.BDH(C$4,"CURRENT_EV_TO_T12M_EBITDA",$B65+1,$B65+1))),C66))</f>
        <v>0</v>
      </c>
      <c r="D65" s="561">
        <f ca="1">(IFERROR(IFERROR(VALUE(_xll.BDH(D$4,"CURRENT_EV_TO_T12M_EBITDA",$B65,$B65)),VALUE(_xll.BDH(D$4,"CURRENT_EV_TO_T12M_EBITDA",$B65+1,$B65+1))),D66))</f>
        <v>0</v>
      </c>
      <c r="E65" s="561">
        <f ca="1">(IFERROR(IFERROR(VALUE(_xll.BDH(E$4,"CURRENT_EV_TO_T12M_EBITDA",$B65,$B65)),VALUE(_xll.BDH(E$4,"CURRENT_EV_TO_T12M_EBITDA",$B65+1,$B65+1))),E66))</f>
        <v>0</v>
      </c>
      <c r="F65" s="561">
        <f ca="1">(IFERROR(IFERROR(VALUE(_xll.BDH(F$4,"CURRENT_EV_TO_T12M_EBITDA",$B65,$B65)),VALUE(_xll.BDH(F$4,"CURRENT_EV_TO_T12M_EBITDA",$B65+1,$B65+1))),F66))</f>
        <v>0</v>
      </c>
      <c r="G65" s="561">
        <f ca="1">(IFERROR(IFERROR(VALUE(_xll.BDH(G$4,"CURRENT_EV_TO_T12M_EBITDA",$B65,$B65)),VALUE(_xll.BDH(G$4,"CURRENT_EV_TO_T12M_EBITDA",$B65+1,$B65+1))),G66))</f>
        <v>0</v>
      </c>
      <c r="H65" s="561">
        <f ca="1">(IFERROR(IFERROR(VALUE(_xll.BDH(H$4,"CURRENT_EV_TO_T12M_EBITDA",$B65,$B65)),VALUE(_xll.BDH(H$4,"CURRENT_EV_TO_T12M_EBITDA",$B65+1,$B65+1))),H66))</f>
        <v>0</v>
      </c>
      <c r="I65" s="565">
        <f t="shared" ca="1" si="14"/>
        <v>45520</v>
      </c>
      <c r="J65" s="561">
        <f ca="1">(IFERROR(IFERROR(VALUE(_xll.BDH(J$4,"PE_RATIO",$B65,$B65)),VALUE(_xll.BDH(J$4,"PE_RATIO",$B65+1,$B65+1))),J66))</f>
        <v>0</v>
      </c>
      <c r="K65" s="561">
        <f ca="1">(IFERROR(IFERROR(VALUE(_xll.BDH(K$4,"PE_RATIO",$B65,$B65)),VALUE(_xll.BDH(K$4,"PE_RATIO",$B65+1,$B65+1))),K66))</f>
        <v>0</v>
      </c>
      <c r="L65" s="561">
        <f ca="1">(IFERROR(IFERROR(VALUE(_xll.BDH(L$4,"PE_RATIO",$B65,$B65)),VALUE(_xll.BDH(L$4,"PE_RATIO",$B65+1,$B65+1))),L66))</f>
        <v>0</v>
      </c>
      <c r="M65" s="561">
        <f ca="1">(IFERROR(IFERROR(VALUE(_xll.BDH(M$4,"PE_RATIO",$B65,$B65)),VALUE(_xll.BDH(M$4,"PE_RATIO",$B65+1,$B65+1))),M66))</f>
        <v>0</v>
      </c>
      <c r="N65" s="561">
        <f ca="1">(IFERROR(IFERROR(VALUE(_xll.BDH(N$4,"PE_RATIO",$B65,$B65)),VALUE(_xll.BDH(N$4,"PE_RATIO",$B65+1,$B65+1))),N66))</f>
        <v>0</v>
      </c>
      <c r="O65" s="561">
        <f ca="1">(IFERROR(IFERROR(VALUE(_xll.BDH(O$4,"PE_RATIO",$B65,$B65)),VALUE(_xll.BDH(O$4,"PE_RATIO",$B65+1,$B65+1))),O66))</f>
        <v>0</v>
      </c>
      <c r="P65" s="561"/>
      <c r="Q65" s="565">
        <f t="shared" ca="1" si="15"/>
        <v>45520</v>
      </c>
      <c r="R65" s="4">
        <v>64.319999999999993</v>
      </c>
      <c r="S65" s="4">
        <v>5667.2</v>
      </c>
      <c r="T65" s="4">
        <v>335.149</v>
      </c>
      <c r="U65" s="4">
        <v>1.0626135800429537</v>
      </c>
      <c r="V65" s="4">
        <v>1.5538111858393491</v>
      </c>
      <c r="W65" s="4" t="e">
        <v>#DIV/0!</v>
      </c>
      <c r="Y65" s="561">
        <f t="shared" si="16"/>
        <v>64.319999999999993</v>
      </c>
      <c r="Z65" s="4">
        <f ca="1">IFERROR(VALUE(_xll.BDH(Z$4,"PX_LAST",$Q65,$Q65)),Z66)</f>
        <v>0</v>
      </c>
      <c r="AA65" s="4">
        <f ca="1">IFERROR(VALUE(_xll.BDH(AA$4,"PX_LAST",$Q65,$Q65)),AA66)</f>
        <v>0</v>
      </c>
      <c r="AB65" s="4">
        <f ca="1">IFERROR(VALUE(_xll.BDH(AB$4,"PX_LAST",$Q65,$Q65)),AB66)</f>
        <v>0</v>
      </c>
      <c r="AC65" s="4">
        <f ca="1">IFERROR(VALUE(_xll.BDH(AC$4,"PX_LAST",$Q65,$Q65)),AC66)</f>
        <v>0</v>
      </c>
      <c r="AD65" s="4">
        <f ca="1">IFERROR(VALUE(_xll.BDH(AD$4,"PX_LAST",$Q65,$Q65)),AD66)</f>
        <v>0</v>
      </c>
      <c r="AF65" s="4">
        <f t="shared" si="17"/>
        <v>1.0626135800429537</v>
      </c>
      <c r="AG65" s="4" t="e">
        <f t="shared" ca="1" si="18"/>
        <v>#DIV/0!</v>
      </c>
      <c r="AH65" s="4" t="e">
        <f t="shared" ca="1" si="19"/>
        <v>#DIV/0!</v>
      </c>
      <c r="AI65" s="4" t="e">
        <f t="shared" ca="1" si="20"/>
        <v>#DIV/0!</v>
      </c>
      <c r="AJ65" s="4" t="e">
        <f t="shared" ca="1" si="21"/>
        <v>#DIV/0!</v>
      </c>
      <c r="AK65" s="4" t="e">
        <f t="shared" ca="1" si="22"/>
        <v>#DIV/0!</v>
      </c>
      <c r="AM65" s="563">
        <f t="shared" ca="1" si="12"/>
        <v>45879</v>
      </c>
      <c r="AN65" s="564">
        <v>100.74</v>
      </c>
      <c r="AO65" s="564">
        <v>507225</v>
      </c>
      <c r="AP65" s="564">
        <v>48539.625999999997</v>
      </c>
      <c r="AQ65" s="564">
        <v>4889881.9232399995</v>
      </c>
      <c r="AR65" s="564">
        <v>1.1516</v>
      </c>
    </row>
    <row r="66" spans="2:44">
      <c r="B66" s="565">
        <f t="shared" ca="1" si="23"/>
        <v>45513</v>
      </c>
      <c r="C66" s="561">
        <f ca="1">(IFERROR(IFERROR(VALUE(_xll.BDH(C$4,"CURRENT_EV_TO_T12M_EBITDA",$B66,$B66)),VALUE(_xll.BDH(C$4,"CURRENT_EV_TO_T12M_EBITDA",$B66+1,$B66+1))),C67))</f>
        <v>0</v>
      </c>
      <c r="D66" s="561">
        <f ca="1">(IFERROR(IFERROR(VALUE(_xll.BDH(D$4,"CURRENT_EV_TO_T12M_EBITDA",$B66,$B66)),VALUE(_xll.BDH(D$4,"CURRENT_EV_TO_T12M_EBITDA",$B66+1,$B66+1))),D67))</f>
        <v>0</v>
      </c>
      <c r="E66" s="561">
        <f ca="1">(IFERROR(IFERROR(VALUE(_xll.BDH(E$4,"CURRENT_EV_TO_T12M_EBITDA",$B66,$B66)),VALUE(_xll.BDH(E$4,"CURRENT_EV_TO_T12M_EBITDA",$B66+1,$B66+1))),E67))</f>
        <v>0</v>
      </c>
      <c r="F66" s="561">
        <f ca="1">(IFERROR(IFERROR(VALUE(_xll.BDH(F$4,"CURRENT_EV_TO_T12M_EBITDA",$B66,$B66)),VALUE(_xll.BDH(F$4,"CURRENT_EV_TO_T12M_EBITDA",$B66+1,$B66+1))),F67))</f>
        <v>0</v>
      </c>
      <c r="G66" s="561">
        <f ca="1">(IFERROR(IFERROR(VALUE(_xll.BDH(G$4,"CURRENT_EV_TO_T12M_EBITDA",$B66,$B66)),VALUE(_xll.BDH(G$4,"CURRENT_EV_TO_T12M_EBITDA",$B66+1,$B66+1))),G67))</f>
        <v>0</v>
      </c>
      <c r="H66" s="561">
        <f ca="1">(IFERROR(IFERROR(VALUE(_xll.BDH(H$4,"CURRENT_EV_TO_T12M_EBITDA",$B66,$B66)),VALUE(_xll.BDH(H$4,"CURRENT_EV_TO_T12M_EBITDA",$B66+1,$B66+1))),H67))</f>
        <v>0</v>
      </c>
      <c r="I66" s="565">
        <f t="shared" ca="1" si="14"/>
        <v>45513</v>
      </c>
      <c r="J66" s="561">
        <f ca="1">(IFERROR(IFERROR(VALUE(_xll.BDH(J$4,"PE_RATIO",$B66,$B66)),VALUE(_xll.BDH(J$4,"PE_RATIO",$B66+1,$B66+1))),J67))</f>
        <v>0</v>
      </c>
      <c r="K66" s="561">
        <f ca="1">(IFERROR(IFERROR(VALUE(_xll.BDH(K$4,"PE_RATIO",$B66,$B66)),VALUE(_xll.BDH(K$4,"PE_RATIO",$B66+1,$B66+1))),K67))</f>
        <v>0</v>
      </c>
      <c r="L66" s="561">
        <f ca="1">(IFERROR(IFERROR(VALUE(_xll.BDH(L$4,"PE_RATIO",$B66,$B66)),VALUE(_xll.BDH(L$4,"PE_RATIO",$B66+1,$B66+1))),L67))</f>
        <v>0</v>
      </c>
      <c r="M66" s="561">
        <f ca="1">(IFERROR(IFERROR(VALUE(_xll.BDH(M$4,"PE_RATIO",$B66,$B66)),VALUE(_xll.BDH(M$4,"PE_RATIO",$B66+1,$B66+1))),M67))</f>
        <v>0</v>
      </c>
      <c r="N66" s="561">
        <f ca="1">(IFERROR(IFERROR(VALUE(_xll.BDH(N$4,"PE_RATIO",$B66,$B66)),VALUE(_xll.BDH(N$4,"PE_RATIO",$B66+1,$B66+1))),N67))</f>
        <v>0</v>
      </c>
      <c r="O66" s="561">
        <f ca="1">(IFERROR(IFERROR(VALUE(_xll.BDH(O$4,"PE_RATIO",$B66,$B66)),VALUE(_xll.BDH(O$4,"PE_RATIO",$B66+1,$B66+1))),O67))</f>
        <v>0</v>
      </c>
      <c r="P66" s="561"/>
      <c r="Q66" s="565">
        <f t="shared" ca="1" si="15"/>
        <v>45513</v>
      </c>
      <c r="R66" s="4">
        <v>62.5</v>
      </c>
      <c r="S66" s="4">
        <v>5576.98</v>
      </c>
      <c r="T66" s="4">
        <v>335.149</v>
      </c>
      <c r="U66" s="4">
        <v>1.0325458450355196</v>
      </c>
      <c r="V66" s="4">
        <v>1.5290750118581191</v>
      </c>
      <c r="W66" s="4" t="e">
        <v>#DIV/0!</v>
      </c>
      <c r="Y66" s="561">
        <f t="shared" si="16"/>
        <v>62.5</v>
      </c>
      <c r="Z66" s="4">
        <f ca="1">IFERROR(VALUE(_xll.BDH(Z$4,"PX_LAST",$Q66,$Q66)),Z67)</f>
        <v>0</v>
      </c>
      <c r="AA66" s="4">
        <f ca="1">IFERROR(VALUE(_xll.BDH(AA$4,"PX_LAST",$Q66,$Q66)),AA67)</f>
        <v>0</v>
      </c>
      <c r="AB66" s="4">
        <f ca="1">IFERROR(VALUE(_xll.BDH(AB$4,"PX_LAST",$Q66,$Q66)),AB67)</f>
        <v>0</v>
      </c>
      <c r="AC66" s="4">
        <f ca="1">IFERROR(VALUE(_xll.BDH(AC$4,"PX_LAST",$Q66,$Q66)),AC67)</f>
        <v>0</v>
      </c>
      <c r="AD66" s="4">
        <f ca="1">IFERROR(VALUE(_xll.BDH(AD$4,"PX_LAST",$Q66,$Q66)),AD67)</f>
        <v>0</v>
      </c>
      <c r="AF66" s="4">
        <f t="shared" si="17"/>
        <v>1.0325458450355196</v>
      </c>
      <c r="AG66" s="4" t="e">
        <f t="shared" ca="1" si="18"/>
        <v>#DIV/0!</v>
      </c>
      <c r="AH66" s="4" t="e">
        <f t="shared" ca="1" si="19"/>
        <v>#DIV/0!</v>
      </c>
      <c r="AI66" s="4" t="e">
        <f t="shared" ca="1" si="20"/>
        <v>#DIV/0!</v>
      </c>
      <c r="AJ66" s="4" t="e">
        <f t="shared" ca="1" si="21"/>
        <v>#DIV/0!</v>
      </c>
      <c r="AK66" s="4" t="e">
        <f t="shared" ca="1" si="22"/>
        <v>#DIV/0!</v>
      </c>
      <c r="AM66" s="563">
        <f t="shared" ca="1" si="12"/>
        <v>45878</v>
      </c>
      <c r="AN66" s="564">
        <v>101.61</v>
      </c>
      <c r="AO66" s="564">
        <v>519730</v>
      </c>
      <c r="AP66" s="564">
        <v>48539.625999999997</v>
      </c>
      <c r="AQ66" s="564">
        <v>4932111.3978599999</v>
      </c>
      <c r="AR66" s="564">
        <v>1.1616</v>
      </c>
    </row>
    <row r="67" spans="2:44">
      <c r="B67" s="565">
        <f t="shared" ca="1" si="23"/>
        <v>45506</v>
      </c>
      <c r="C67" s="561">
        <f ca="1">(IFERROR(IFERROR(VALUE(_xll.BDH(C$4,"CURRENT_EV_TO_T12M_EBITDA",$B67,$B67)),VALUE(_xll.BDH(C$4,"CURRENT_EV_TO_T12M_EBITDA",$B67+1,$B67+1))),C68))</f>
        <v>0</v>
      </c>
      <c r="D67" s="561">
        <f ca="1">(IFERROR(IFERROR(VALUE(_xll.BDH(D$4,"CURRENT_EV_TO_T12M_EBITDA",$B67,$B67)),VALUE(_xll.BDH(D$4,"CURRENT_EV_TO_T12M_EBITDA",$B67+1,$B67+1))),D68))</f>
        <v>0</v>
      </c>
      <c r="E67" s="561">
        <f ca="1">(IFERROR(IFERROR(VALUE(_xll.BDH(E$4,"CURRENT_EV_TO_T12M_EBITDA",$B67,$B67)),VALUE(_xll.BDH(E$4,"CURRENT_EV_TO_T12M_EBITDA",$B67+1,$B67+1))),E68))</f>
        <v>0</v>
      </c>
      <c r="F67" s="561">
        <f ca="1">(IFERROR(IFERROR(VALUE(_xll.BDH(F$4,"CURRENT_EV_TO_T12M_EBITDA",$B67,$B67)),VALUE(_xll.BDH(F$4,"CURRENT_EV_TO_T12M_EBITDA",$B67+1,$B67+1))),F68))</f>
        <v>0</v>
      </c>
      <c r="G67" s="561">
        <f ca="1">(IFERROR(IFERROR(VALUE(_xll.BDH(G$4,"CURRENT_EV_TO_T12M_EBITDA",$B67,$B67)),VALUE(_xll.BDH(G$4,"CURRENT_EV_TO_T12M_EBITDA",$B67+1,$B67+1))),G68))</f>
        <v>0</v>
      </c>
      <c r="H67" s="561">
        <f ca="1">(IFERROR(IFERROR(VALUE(_xll.BDH(H$4,"CURRENT_EV_TO_T12M_EBITDA",$B67,$B67)),VALUE(_xll.BDH(H$4,"CURRENT_EV_TO_T12M_EBITDA",$B67+1,$B67+1))),H68))</f>
        <v>0</v>
      </c>
      <c r="I67" s="565">
        <f t="shared" ca="1" si="14"/>
        <v>45506</v>
      </c>
      <c r="J67" s="561">
        <f ca="1">(IFERROR(IFERROR(VALUE(_xll.BDH(J$4,"PE_RATIO",$B67,$B67)),VALUE(_xll.BDH(J$4,"PE_RATIO",$B67+1,$B67+1))),J68))</f>
        <v>0</v>
      </c>
      <c r="K67" s="561">
        <f ca="1">(IFERROR(IFERROR(VALUE(_xll.BDH(K$4,"PE_RATIO",$B67,$B67)),VALUE(_xll.BDH(K$4,"PE_RATIO",$B67+1,$B67+1))),K68))</f>
        <v>0</v>
      </c>
      <c r="L67" s="561">
        <f ca="1">(IFERROR(IFERROR(VALUE(_xll.BDH(L$4,"PE_RATIO",$B67,$B67)),VALUE(_xll.BDH(L$4,"PE_RATIO",$B67+1,$B67+1))),L68))</f>
        <v>0</v>
      </c>
      <c r="M67" s="561">
        <f ca="1">(IFERROR(IFERROR(VALUE(_xll.BDH(M$4,"PE_RATIO",$B67,$B67)),VALUE(_xll.BDH(M$4,"PE_RATIO",$B67+1,$B67+1))),M68))</f>
        <v>0</v>
      </c>
      <c r="N67" s="561">
        <f ca="1">(IFERROR(IFERROR(VALUE(_xll.BDH(N$4,"PE_RATIO",$B67,$B67)),VALUE(_xll.BDH(N$4,"PE_RATIO",$B67+1,$B67+1))),N68))</f>
        <v>0</v>
      </c>
      <c r="O67" s="561">
        <f ca="1">(IFERROR(IFERROR(VALUE(_xll.BDH(O$4,"PE_RATIO",$B67,$B67)),VALUE(_xll.BDH(O$4,"PE_RATIO",$B67+1,$B67+1))),O68))</f>
        <v>0</v>
      </c>
      <c r="P67" s="561"/>
      <c r="Q67" s="565">
        <f t="shared" ca="1" si="15"/>
        <v>45506</v>
      </c>
      <c r="R67" s="4">
        <v>61.82</v>
      </c>
      <c r="S67" s="4">
        <v>5509.01</v>
      </c>
      <c r="T67" s="4">
        <v>335.149</v>
      </c>
      <c r="U67" s="4">
        <v>1.0213117462415331</v>
      </c>
      <c r="V67" s="4">
        <v>1.5104392576406045</v>
      </c>
      <c r="W67" s="4" t="e">
        <v>#DIV/0!</v>
      </c>
      <c r="Y67" s="561">
        <f t="shared" si="16"/>
        <v>61.82</v>
      </c>
      <c r="Z67" s="4">
        <f ca="1">IFERROR(VALUE(_xll.BDH(Z$4,"PX_LAST",$Q67,$Q67)),Z68)</f>
        <v>0</v>
      </c>
      <c r="AA67" s="4">
        <f ca="1">IFERROR(VALUE(_xll.BDH(AA$4,"PX_LAST",$Q67,$Q67)),AA68)</f>
        <v>0</v>
      </c>
      <c r="AB67" s="4">
        <f ca="1">IFERROR(VALUE(_xll.BDH(AB$4,"PX_LAST",$Q67,$Q67)),AB68)</f>
        <v>0</v>
      </c>
      <c r="AC67" s="4">
        <f ca="1">IFERROR(VALUE(_xll.BDH(AC$4,"PX_LAST",$Q67,$Q67)),AC68)</f>
        <v>0</v>
      </c>
      <c r="AD67" s="4">
        <f ca="1">IFERROR(VALUE(_xll.BDH(AD$4,"PX_LAST",$Q67,$Q67)),AD68)</f>
        <v>0</v>
      </c>
      <c r="AF67" s="4">
        <f t="shared" si="17"/>
        <v>1.0213117462415331</v>
      </c>
      <c r="AG67" s="4" t="e">
        <f t="shared" ca="1" si="18"/>
        <v>#DIV/0!</v>
      </c>
      <c r="AH67" s="4" t="e">
        <f t="shared" ca="1" si="19"/>
        <v>#DIV/0!</v>
      </c>
      <c r="AI67" s="4" t="e">
        <f t="shared" ca="1" si="20"/>
        <v>#DIV/0!</v>
      </c>
      <c r="AJ67" s="4" t="e">
        <f t="shared" ca="1" si="21"/>
        <v>#DIV/0!</v>
      </c>
      <c r="AK67" s="4" t="e">
        <f t="shared" ca="1" si="22"/>
        <v>#DIV/0!</v>
      </c>
      <c r="AM67" s="563">
        <f t="shared" ca="1" si="12"/>
        <v>45877</v>
      </c>
      <c r="AN67" s="564">
        <v>102.37</v>
      </c>
      <c r="AO67" s="564">
        <v>555429</v>
      </c>
      <c r="AP67" s="564">
        <v>48539.625999999997</v>
      </c>
      <c r="AQ67" s="564">
        <v>4969001.5136200003</v>
      </c>
      <c r="AR67" s="564">
        <v>1.1702999999999999</v>
      </c>
    </row>
    <row r="68" spans="2:44">
      <c r="B68" s="565">
        <f t="shared" ca="1" si="23"/>
        <v>45499</v>
      </c>
      <c r="C68" s="561">
        <f ca="1">(IFERROR(IFERROR(VALUE(_xll.BDH(C$4,"CURRENT_EV_TO_T12M_EBITDA",$B68,$B68)),VALUE(_xll.BDH(C$4,"CURRENT_EV_TO_T12M_EBITDA",$B68+1,$B68+1))),C69))</f>
        <v>0</v>
      </c>
      <c r="D68" s="561">
        <f ca="1">(IFERROR(IFERROR(VALUE(_xll.BDH(D$4,"CURRENT_EV_TO_T12M_EBITDA",$B68,$B68)),VALUE(_xll.BDH(D$4,"CURRENT_EV_TO_T12M_EBITDA",$B68+1,$B68+1))),D69))</f>
        <v>0</v>
      </c>
      <c r="E68" s="561">
        <f ca="1">(IFERROR(IFERROR(VALUE(_xll.BDH(E$4,"CURRENT_EV_TO_T12M_EBITDA",$B68,$B68)),VALUE(_xll.BDH(E$4,"CURRENT_EV_TO_T12M_EBITDA",$B68+1,$B68+1))),E69))</f>
        <v>0</v>
      </c>
      <c r="F68" s="561">
        <f ca="1">(IFERROR(IFERROR(VALUE(_xll.BDH(F$4,"CURRENT_EV_TO_T12M_EBITDA",$B68,$B68)),VALUE(_xll.BDH(F$4,"CURRENT_EV_TO_T12M_EBITDA",$B68+1,$B68+1))),F69))</f>
        <v>0</v>
      </c>
      <c r="G68" s="561">
        <f ca="1">(IFERROR(IFERROR(VALUE(_xll.BDH(G$4,"CURRENT_EV_TO_T12M_EBITDA",$B68,$B68)),VALUE(_xll.BDH(G$4,"CURRENT_EV_TO_T12M_EBITDA",$B68+1,$B68+1))),G69))</f>
        <v>0</v>
      </c>
      <c r="H68" s="561">
        <f ca="1">(IFERROR(IFERROR(VALUE(_xll.BDH(H$4,"CURRENT_EV_TO_T12M_EBITDA",$B68,$B68)),VALUE(_xll.BDH(H$4,"CURRENT_EV_TO_T12M_EBITDA",$B68+1,$B68+1))),H69))</f>
        <v>0</v>
      </c>
      <c r="I68" s="565">
        <f t="shared" ca="1" si="14"/>
        <v>45499</v>
      </c>
      <c r="J68" s="561">
        <f ca="1">(IFERROR(IFERROR(VALUE(_xll.BDH(J$4,"PE_RATIO",$B68,$B68)),VALUE(_xll.BDH(J$4,"PE_RATIO",$B68+1,$B68+1))),J69))</f>
        <v>0</v>
      </c>
      <c r="K68" s="561">
        <f ca="1">(IFERROR(IFERROR(VALUE(_xll.BDH(K$4,"PE_RATIO",$B68,$B68)),VALUE(_xll.BDH(K$4,"PE_RATIO",$B68+1,$B68+1))),K69))</f>
        <v>0</v>
      </c>
      <c r="L68" s="561">
        <f ca="1">(IFERROR(IFERROR(VALUE(_xll.BDH(L$4,"PE_RATIO",$B68,$B68)),VALUE(_xll.BDH(L$4,"PE_RATIO",$B68+1,$B68+1))),L69))</f>
        <v>0</v>
      </c>
      <c r="M68" s="561">
        <f ca="1">(IFERROR(IFERROR(VALUE(_xll.BDH(M$4,"PE_RATIO",$B68,$B68)),VALUE(_xll.BDH(M$4,"PE_RATIO",$B68+1,$B68+1))),M69))</f>
        <v>0</v>
      </c>
      <c r="N68" s="561">
        <f ca="1">(IFERROR(IFERROR(VALUE(_xll.BDH(N$4,"PE_RATIO",$B68,$B68)),VALUE(_xll.BDH(N$4,"PE_RATIO",$B68+1,$B68+1))),N69))</f>
        <v>0</v>
      </c>
      <c r="O68" s="561">
        <f ca="1">(IFERROR(IFERROR(VALUE(_xll.BDH(O$4,"PE_RATIO",$B68,$B68)),VALUE(_xll.BDH(O$4,"PE_RATIO",$B68+1,$B68+1))),O69))</f>
        <v>0</v>
      </c>
      <c r="P68" s="561"/>
      <c r="Q68" s="565">
        <f t="shared" ca="1" si="15"/>
        <v>45499</v>
      </c>
      <c r="R68" s="4">
        <v>60.8</v>
      </c>
      <c r="S68" s="4">
        <v>5469.3</v>
      </c>
      <c r="T68" s="4">
        <v>335.149</v>
      </c>
      <c r="U68" s="4">
        <v>1.0044605980505534</v>
      </c>
      <c r="V68" s="4">
        <v>1.4995517219634305</v>
      </c>
      <c r="W68" s="4" t="e">
        <v>#DIV/0!</v>
      </c>
      <c r="Y68" s="561">
        <f t="shared" si="16"/>
        <v>60.8</v>
      </c>
      <c r="Z68" s="4">
        <f ca="1">IFERROR(VALUE(_xll.BDH(Z$4,"PX_LAST",$Q68,$Q68)),Z69)</f>
        <v>0</v>
      </c>
      <c r="AA68" s="4">
        <f ca="1">IFERROR(VALUE(_xll.BDH(AA$4,"PX_LAST",$Q68,$Q68)),AA69)</f>
        <v>0</v>
      </c>
      <c r="AB68" s="4">
        <f ca="1">IFERROR(VALUE(_xll.BDH(AB$4,"PX_LAST",$Q68,$Q68)),AB69)</f>
        <v>0</v>
      </c>
      <c r="AC68" s="4">
        <f ca="1">IFERROR(VALUE(_xll.BDH(AC$4,"PX_LAST",$Q68,$Q68)),AC69)</f>
        <v>0</v>
      </c>
      <c r="AD68" s="4">
        <f ca="1">IFERROR(VALUE(_xll.BDH(AD$4,"PX_LAST",$Q68,$Q68)),AD69)</f>
        <v>0</v>
      </c>
      <c r="AF68" s="4">
        <f t="shared" si="17"/>
        <v>1.0044605980505534</v>
      </c>
      <c r="AG68" s="4" t="e">
        <f t="shared" ca="1" si="18"/>
        <v>#DIV/0!</v>
      </c>
      <c r="AH68" s="4" t="e">
        <f t="shared" ca="1" si="19"/>
        <v>#DIV/0!</v>
      </c>
      <c r="AI68" s="4" t="e">
        <f t="shared" ca="1" si="20"/>
        <v>#DIV/0!</v>
      </c>
      <c r="AJ68" s="4" t="e">
        <f t="shared" ca="1" si="21"/>
        <v>#DIV/0!</v>
      </c>
      <c r="AK68" s="4" t="e">
        <f t="shared" ca="1" si="22"/>
        <v>#DIV/0!</v>
      </c>
      <c r="AM68" s="563">
        <f t="shared" ca="1" si="12"/>
        <v>45876</v>
      </c>
      <c r="AN68" s="564">
        <v>101.16</v>
      </c>
      <c r="AO68" s="564">
        <v>739900</v>
      </c>
      <c r="AP68" s="564">
        <v>48539.625999999997</v>
      </c>
      <c r="AQ68" s="564">
        <v>4910268.5661599999</v>
      </c>
      <c r="AR68" s="564">
        <v>1.1564000000000001</v>
      </c>
    </row>
    <row r="69" spans="2:44">
      <c r="B69" s="565">
        <f t="shared" ca="1" si="23"/>
        <v>45492</v>
      </c>
      <c r="C69" s="561">
        <f ca="1">(IFERROR(IFERROR(VALUE(_xll.BDH(C$4,"CURRENT_EV_TO_T12M_EBITDA",$B69,$B69)),VALUE(_xll.BDH(C$4,"CURRENT_EV_TO_T12M_EBITDA",$B69+1,$B69+1))),C70))</f>
        <v>0</v>
      </c>
      <c r="D69" s="561">
        <f ca="1">(IFERROR(IFERROR(VALUE(_xll.BDH(D$4,"CURRENT_EV_TO_T12M_EBITDA",$B69,$B69)),VALUE(_xll.BDH(D$4,"CURRENT_EV_TO_T12M_EBITDA",$B69+1,$B69+1))),D70))</f>
        <v>0</v>
      </c>
      <c r="E69" s="561">
        <f ca="1">(IFERROR(IFERROR(VALUE(_xll.BDH(E$4,"CURRENT_EV_TO_T12M_EBITDA",$B69,$B69)),VALUE(_xll.BDH(E$4,"CURRENT_EV_TO_T12M_EBITDA",$B69+1,$B69+1))),E70))</f>
        <v>0</v>
      </c>
      <c r="F69" s="561">
        <f ca="1">(IFERROR(IFERROR(VALUE(_xll.BDH(F$4,"CURRENT_EV_TO_T12M_EBITDA",$B69,$B69)),VALUE(_xll.BDH(F$4,"CURRENT_EV_TO_T12M_EBITDA",$B69+1,$B69+1))),F70))</f>
        <v>0</v>
      </c>
      <c r="G69" s="561">
        <f ca="1">(IFERROR(IFERROR(VALUE(_xll.BDH(G$4,"CURRENT_EV_TO_T12M_EBITDA",$B69,$B69)),VALUE(_xll.BDH(G$4,"CURRENT_EV_TO_T12M_EBITDA",$B69+1,$B69+1))),G70))</f>
        <v>0</v>
      </c>
      <c r="H69" s="561">
        <f ca="1">(IFERROR(IFERROR(VALUE(_xll.BDH(H$4,"CURRENT_EV_TO_T12M_EBITDA",$B69,$B69)),VALUE(_xll.BDH(H$4,"CURRENT_EV_TO_T12M_EBITDA",$B69+1,$B69+1))),H70))</f>
        <v>0</v>
      </c>
      <c r="I69" s="565">
        <f t="shared" ref="I69:I100" ca="1" si="24">+B69</f>
        <v>45492</v>
      </c>
      <c r="J69" s="561">
        <f ca="1">(IFERROR(IFERROR(VALUE(_xll.BDH(J$4,"PE_RATIO",$B69,$B69)),VALUE(_xll.BDH(J$4,"PE_RATIO",$B69+1,$B69+1))),J70))</f>
        <v>0</v>
      </c>
      <c r="K69" s="561">
        <f ca="1">(IFERROR(IFERROR(VALUE(_xll.BDH(K$4,"PE_RATIO",$B69,$B69)),VALUE(_xll.BDH(K$4,"PE_RATIO",$B69+1,$B69+1))),K70))</f>
        <v>0</v>
      </c>
      <c r="L69" s="561">
        <f ca="1">(IFERROR(IFERROR(VALUE(_xll.BDH(L$4,"PE_RATIO",$B69,$B69)),VALUE(_xll.BDH(L$4,"PE_RATIO",$B69+1,$B69+1))),L70))</f>
        <v>0</v>
      </c>
      <c r="M69" s="561">
        <f ca="1">(IFERROR(IFERROR(VALUE(_xll.BDH(M$4,"PE_RATIO",$B69,$B69)),VALUE(_xll.BDH(M$4,"PE_RATIO",$B69+1,$B69+1))),M70))</f>
        <v>0</v>
      </c>
      <c r="N69" s="561">
        <f ca="1">(IFERROR(IFERROR(VALUE(_xll.BDH(N$4,"PE_RATIO",$B69,$B69)),VALUE(_xll.BDH(N$4,"PE_RATIO",$B69+1,$B69+1))),N70))</f>
        <v>0</v>
      </c>
      <c r="O69" s="561">
        <f ca="1">(IFERROR(IFERROR(VALUE(_xll.BDH(O$4,"PE_RATIO",$B69,$B69)),VALUE(_xll.BDH(O$4,"PE_RATIO",$B69+1,$B69+1))),O70))</f>
        <v>0</v>
      </c>
      <c r="P69" s="561"/>
      <c r="Q69" s="565">
        <f t="shared" ref="Q69:Q100" ca="1" si="25">+I69</f>
        <v>45492</v>
      </c>
      <c r="R69" s="4">
        <v>58.93</v>
      </c>
      <c r="S69" s="4">
        <v>5487.03</v>
      </c>
      <c r="T69" s="4">
        <v>335.149</v>
      </c>
      <c r="U69" s="4">
        <v>0.97356682636709069</v>
      </c>
      <c r="V69" s="4">
        <v>1.5044128654425615</v>
      </c>
      <c r="W69" s="4" t="e">
        <v>#DIV/0!</v>
      </c>
      <c r="Y69" s="561">
        <f t="shared" ref="Y69:Y100" si="26">+R69</f>
        <v>58.93</v>
      </c>
      <c r="Z69" s="4">
        <f ca="1">IFERROR(VALUE(_xll.BDH(Z$4,"PX_LAST",$Q69,$Q69)),Z70)</f>
        <v>0</v>
      </c>
      <c r="AA69" s="4">
        <f ca="1">IFERROR(VALUE(_xll.BDH(AA$4,"PX_LAST",$Q69,$Q69)),AA70)</f>
        <v>0</v>
      </c>
      <c r="AB69" s="4">
        <f ca="1">IFERROR(VALUE(_xll.BDH(AB$4,"PX_LAST",$Q69,$Q69)),AB70)</f>
        <v>0</v>
      </c>
      <c r="AC69" s="4">
        <f ca="1">IFERROR(VALUE(_xll.BDH(AC$4,"PX_LAST",$Q69,$Q69)),AC70)</f>
        <v>0</v>
      </c>
      <c r="AD69" s="4">
        <f ca="1">IFERROR(VALUE(_xll.BDH(AD$4,"PX_LAST",$Q69,$Q69)),AD70)</f>
        <v>0</v>
      </c>
      <c r="AF69" s="4">
        <f t="shared" ref="AF69:AF100" si="27">+Y69/Y$159</f>
        <v>0.97356682636709069</v>
      </c>
      <c r="AG69" s="4" t="e">
        <f t="shared" ref="AG69:AG100" ca="1" si="28">+Z69/Z$159</f>
        <v>#DIV/0!</v>
      </c>
      <c r="AH69" s="4" t="e">
        <f t="shared" ref="AH69:AH100" ca="1" si="29">+AA69/AA$159</f>
        <v>#DIV/0!</v>
      </c>
      <c r="AI69" s="4" t="e">
        <f t="shared" ref="AI69:AI100" ca="1" si="30">+AB69/AB$159</f>
        <v>#DIV/0!</v>
      </c>
      <c r="AJ69" s="4" t="e">
        <f t="shared" ref="AJ69:AJ100" ca="1" si="31">+AC69/AC$159</f>
        <v>#DIV/0!</v>
      </c>
      <c r="AK69" s="4" t="e">
        <f t="shared" ref="AK69:AK100" ca="1" si="32">+AD69/AD$159</f>
        <v>#DIV/0!</v>
      </c>
      <c r="AM69" s="563">
        <f t="shared" ref="AM69:AM132" ca="1" si="33">AM68-1</f>
        <v>45875</v>
      </c>
      <c r="AN69" s="564">
        <v>102.9</v>
      </c>
      <c r="AO69" s="564">
        <v>433063</v>
      </c>
      <c r="AP69" s="564">
        <v>48539.625999999997</v>
      </c>
      <c r="AQ69" s="564">
        <v>4994727.5153999999</v>
      </c>
      <c r="AR69" s="564">
        <v>1.1762999999999999</v>
      </c>
    </row>
    <row r="70" spans="2:44">
      <c r="B70" s="565">
        <f t="shared" ref="B70:B101" ca="1" si="34">+B69-7</f>
        <v>45485</v>
      </c>
      <c r="C70" s="561">
        <f ca="1">(IFERROR(IFERROR(VALUE(_xll.BDH(C$4,"CURRENT_EV_TO_T12M_EBITDA",$B70,$B70)),VALUE(_xll.BDH(C$4,"CURRENT_EV_TO_T12M_EBITDA",$B70+1,$B70+1))),C71))</f>
        <v>0</v>
      </c>
      <c r="D70" s="561">
        <f ca="1">(IFERROR(IFERROR(VALUE(_xll.BDH(D$4,"CURRENT_EV_TO_T12M_EBITDA",$B70,$B70)),VALUE(_xll.BDH(D$4,"CURRENT_EV_TO_T12M_EBITDA",$B70+1,$B70+1))),D71))</f>
        <v>0</v>
      </c>
      <c r="E70" s="561">
        <f ca="1">(IFERROR(IFERROR(VALUE(_xll.BDH(E$4,"CURRENT_EV_TO_T12M_EBITDA",$B70,$B70)),VALUE(_xll.BDH(E$4,"CURRENT_EV_TO_T12M_EBITDA",$B70+1,$B70+1))),E71))</f>
        <v>0</v>
      </c>
      <c r="F70" s="561">
        <f ca="1">(IFERROR(IFERROR(VALUE(_xll.BDH(F$4,"CURRENT_EV_TO_T12M_EBITDA",$B70,$B70)),VALUE(_xll.BDH(F$4,"CURRENT_EV_TO_T12M_EBITDA",$B70+1,$B70+1))),F71))</f>
        <v>0</v>
      </c>
      <c r="G70" s="561">
        <f ca="1">(IFERROR(IFERROR(VALUE(_xll.BDH(G$4,"CURRENT_EV_TO_T12M_EBITDA",$B70,$B70)),VALUE(_xll.BDH(G$4,"CURRENT_EV_TO_T12M_EBITDA",$B70+1,$B70+1))),G71))</f>
        <v>0</v>
      </c>
      <c r="H70" s="561">
        <f ca="1">(IFERROR(IFERROR(VALUE(_xll.BDH(H$4,"CURRENT_EV_TO_T12M_EBITDA",$B70,$B70)),VALUE(_xll.BDH(H$4,"CURRENT_EV_TO_T12M_EBITDA",$B70+1,$B70+1))),H71))</f>
        <v>0</v>
      </c>
      <c r="I70" s="565">
        <f t="shared" ca="1" si="24"/>
        <v>45485</v>
      </c>
      <c r="J70" s="561">
        <f ca="1">(IFERROR(IFERROR(VALUE(_xll.BDH(J$4,"PE_RATIO",$B70,$B70)),VALUE(_xll.BDH(J$4,"PE_RATIO",$B70+1,$B70+1))),J71))</f>
        <v>0</v>
      </c>
      <c r="K70" s="561">
        <f ca="1">(IFERROR(IFERROR(VALUE(_xll.BDH(K$4,"PE_RATIO",$B70,$B70)),VALUE(_xll.BDH(K$4,"PE_RATIO",$B70+1,$B70+1))),K71))</f>
        <v>0</v>
      </c>
      <c r="L70" s="561">
        <f ca="1">(IFERROR(IFERROR(VALUE(_xll.BDH(L$4,"PE_RATIO",$B70,$B70)),VALUE(_xll.BDH(L$4,"PE_RATIO",$B70+1,$B70+1))),L71))</f>
        <v>0</v>
      </c>
      <c r="M70" s="561">
        <f ca="1">(IFERROR(IFERROR(VALUE(_xll.BDH(M$4,"PE_RATIO",$B70,$B70)),VALUE(_xll.BDH(M$4,"PE_RATIO",$B70+1,$B70+1))),M71))</f>
        <v>0</v>
      </c>
      <c r="N70" s="561">
        <f ca="1">(IFERROR(IFERROR(VALUE(_xll.BDH(N$4,"PE_RATIO",$B70,$B70)),VALUE(_xll.BDH(N$4,"PE_RATIO",$B70+1,$B70+1))),N71))</f>
        <v>0</v>
      </c>
      <c r="O70" s="561">
        <f ca="1">(IFERROR(IFERROR(VALUE(_xll.BDH(O$4,"PE_RATIO",$B70,$B70)),VALUE(_xll.BDH(O$4,"PE_RATIO",$B70+1,$B70+1))),O71))</f>
        <v>0</v>
      </c>
      <c r="P70" s="561"/>
      <c r="Q70" s="565">
        <f t="shared" ca="1" si="25"/>
        <v>45485</v>
      </c>
      <c r="R70" s="4">
        <v>58.57</v>
      </c>
      <c r="S70" s="4">
        <v>5375.32</v>
      </c>
      <c r="T70" s="4">
        <v>335.149</v>
      </c>
      <c r="U70" s="4">
        <v>0.96761936229968615</v>
      </c>
      <c r="V70" s="4">
        <v>1.4737846455861749</v>
      </c>
      <c r="W70" s="4" t="e">
        <v>#DIV/0!</v>
      </c>
      <c r="Y70" s="561">
        <f t="shared" si="26"/>
        <v>58.57</v>
      </c>
      <c r="Z70" s="4">
        <f ca="1">IFERROR(VALUE(_xll.BDH(Z$4,"PX_LAST",$Q70,$Q70)),Z71)</f>
        <v>0</v>
      </c>
      <c r="AA70" s="4">
        <f ca="1">IFERROR(VALUE(_xll.BDH(AA$4,"PX_LAST",$Q70,$Q70)),AA71)</f>
        <v>0</v>
      </c>
      <c r="AB70" s="4">
        <f ca="1">IFERROR(VALUE(_xll.BDH(AB$4,"PX_LAST",$Q70,$Q70)),AB71)</f>
        <v>0</v>
      </c>
      <c r="AC70" s="4">
        <f ca="1">IFERROR(VALUE(_xll.BDH(AC$4,"PX_LAST",$Q70,$Q70)),AC71)</f>
        <v>0</v>
      </c>
      <c r="AD70" s="4">
        <f ca="1">IFERROR(VALUE(_xll.BDH(AD$4,"PX_LAST",$Q70,$Q70)),AD71)</f>
        <v>0</v>
      </c>
      <c r="AF70" s="4">
        <f t="shared" si="27"/>
        <v>0.96761936229968615</v>
      </c>
      <c r="AG70" s="4" t="e">
        <f t="shared" ca="1" si="28"/>
        <v>#DIV/0!</v>
      </c>
      <c r="AH70" s="4" t="e">
        <f t="shared" ca="1" si="29"/>
        <v>#DIV/0!</v>
      </c>
      <c r="AI70" s="4" t="e">
        <f t="shared" ca="1" si="30"/>
        <v>#DIV/0!</v>
      </c>
      <c r="AJ70" s="4" t="e">
        <f t="shared" ca="1" si="31"/>
        <v>#DIV/0!</v>
      </c>
      <c r="AK70" s="4" t="e">
        <f t="shared" ca="1" si="32"/>
        <v>#DIV/0!</v>
      </c>
      <c r="AM70" s="563">
        <f t="shared" ca="1" si="33"/>
        <v>45874</v>
      </c>
      <c r="AN70" s="564">
        <v>102.9</v>
      </c>
      <c r="AO70" s="564">
        <v>433063</v>
      </c>
      <c r="AP70" s="564">
        <v>48539.625999999997</v>
      </c>
      <c r="AQ70" s="564">
        <v>4994727.5153999999</v>
      </c>
      <c r="AR70" s="564">
        <v>1.1762999999999999</v>
      </c>
    </row>
    <row r="71" spans="2:44">
      <c r="B71" s="565">
        <f t="shared" ca="1" si="34"/>
        <v>45478</v>
      </c>
      <c r="C71" s="561">
        <f ca="1">(IFERROR(IFERROR(VALUE(_xll.BDH(C$4,"CURRENT_EV_TO_T12M_EBITDA",$B71,$B71)),VALUE(_xll.BDH(C$4,"CURRENT_EV_TO_T12M_EBITDA",$B71+1,$B71+1))),C72))</f>
        <v>0</v>
      </c>
      <c r="D71" s="561">
        <f ca="1">(IFERROR(IFERROR(VALUE(_xll.BDH(D$4,"CURRENT_EV_TO_T12M_EBITDA",$B71,$B71)),VALUE(_xll.BDH(D$4,"CURRENT_EV_TO_T12M_EBITDA",$B71+1,$B71+1))),D72))</f>
        <v>0</v>
      </c>
      <c r="E71" s="561">
        <f ca="1">(IFERROR(IFERROR(VALUE(_xll.BDH(E$4,"CURRENT_EV_TO_T12M_EBITDA",$B71,$B71)),VALUE(_xll.BDH(E$4,"CURRENT_EV_TO_T12M_EBITDA",$B71+1,$B71+1))),E72))</f>
        <v>0</v>
      </c>
      <c r="F71" s="561">
        <f ca="1">(IFERROR(IFERROR(VALUE(_xll.BDH(F$4,"CURRENT_EV_TO_T12M_EBITDA",$B71,$B71)),VALUE(_xll.BDH(F$4,"CURRENT_EV_TO_T12M_EBITDA",$B71+1,$B71+1))),F72))</f>
        <v>0</v>
      </c>
      <c r="G71" s="561">
        <f ca="1">(IFERROR(IFERROR(VALUE(_xll.BDH(G$4,"CURRENT_EV_TO_T12M_EBITDA",$B71,$B71)),VALUE(_xll.BDH(G$4,"CURRENT_EV_TO_T12M_EBITDA",$B71+1,$B71+1))),G72))</f>
        <v>0</v>
      </c>
      <c r="H71" s="561">
        <f ca="1">(IFERROR(IFERROR(VALUE(_xll.BDH(H$4,"CURRENT_EV_TO_T12M_EBITDA",$B71,$B71)),VALUE(_xll.BDH(H$4,"CURRENT_EV_TO_T12M_EBITDA",$B71+1,$B71+1))),H72))</f>
        <v>0</v>
      </c>
      <c r="I71" s="565">
        <f t="shared" ca="1" si="24"/>
        <v>45478</v>
      </c>
      <c r="J71" s="561">
        <f ca="1">(IFERROR(IFERROR(VALUE(_xll.BDH(J$4,"PE_RATIO",$B71,$B71)),VALUE(_xll.BDH(J$4,"PE_RATIO",$B71+1,$B71+1))),J72))</f>
        <v>0</v>
      </c>
      <c r="K71" s="561">
        <f ca="1">(IFERROR(IFERROR(VALUE(_xll.BDH(K$4,"PE_RATIO",$B71,$B71)),VALUE(_xll.BDH(K$4,"PE_RATIO",$B71+1,$B71+1))),K72))</f>
        <v>0</v>
      </c>
      <c r="L71" s="561">
        <f ca="1">(IFERROR(IFERROR(VALUE(_xll.BDH(L$4,"PE_RATIO",$B71,$B71)),VALUE(_xll.BDH(L$4,"PE_RATIO",$B71+1,$B71+1))),L72))</f>
        <v>0</v>
      </c>
      <c r="M71" s="561">
        <f ca="1">(IFERROR(IFERROR(VALUE(_xll.BDH(M$4,"PE_RATIO",$B71,$B71)),VALUE(_xll.BDH(M$4,"PE_RATIO",$B71+1,$B71+1))),M72))</f>
        <v>0</v>
      </c>
      <c r="N71" s="561">
        <f ca="1">(IFERROR(IFERROR(VALUE(_xll.BDH(N$4,"PE_RATIO",$B71,$B71)),VALUE(_xll.BDH(N$4,"PE_RATIO",$B71+1,$B71+1))),N72))</f>
        <v>0</v>
      </c>
      <c r="O71" s="561">
        <f ca="1">(IFERROR(IFERROR(VALUE(_xll.BDH(O$4,"PE_RATIO",$B71,$B71)),VALUE(_xll.BDH(O$4,"PE_RATIO",$B71+1,$B71+1))),O72))</f>
        <v>0</v>
      </c>
      <c r="P71" s="561"/>
      <c r="Q71" s="565">
        <f t="shared" ca="1" si="25"/>
        <v>45478</v>
      </c>
      <c r="R71" s="4">
        <v>60.81</v>
      </c>
      <c r="S71" s="4">
        <v>5291.34</v>
      </c>
      <c r="T71" s="4">
        <v>335.149</v>
      </c>
      <c r="U71" s="4">
        <v>1.0046258053857591</v>
      </c>
      <c r="V71" s="4">
        <v>1.4507593309004769</v>
      </c>
      <c r="W71" s="4" t="e">
        <v>#DIV/0!</v>
      </c>
      <c r="Y71" s="561">
        <f t="shared" si="26"/>
        <v>60.81</v>
      </c>
      <c r="Z71" s="4">
        <f ca="1">IFERROR(VALUE(_xll.BDH(Z$4,"PX_LAST",$Q71,$Q71)),Z72)</f>
        <v>0</v>
      </c>
      <c r="AA71" s="4">
        <f ca="1">IFERROR(VALUE(_xll.BDH(AA$4,"PX_LAST",$Q71,$Q71)),AA72)</f>
        <v>0</v>
      </c>
      <c r="AB71" s="4">
        <f ca="1">IFERROR(VALUE(_xll.BDH(AB$4,"PX_LAST",$Q71,$Q71)),AB72)</f>
        <v>0</v>
      </c>
      <c r="AC71" s="4">
        <f ca="1">IFERROR(VALUE(_xll.BDH(AC$4,"PX_LAST",$Q71,$Q71)),AC72)</f>
        <v>0</v>
      </c>
      <c r="AD71" s="4">
        <f ca="1">IFERROR(VALUE(_xll.BDH(AD$4,"PX_LAST",$Q71,$Q71)),AD72)</f>
        <v>0</v>
      </c>
      <c r="AF71" s="4">
        <f t="shared" si="27"/>
        <v>1.0046258053857591</v>
      </c>
      <c r="AG71" s="4" t="e">
        <f t="shared" ca="1" si="28"/>
        <v>#DIV/0!</v>
      </c>
      <c r="AH71" s="4" t="e">
        <f t="shared" ca="1" si="29"/>
        <v>#DIV/0!</v>
      </c>
      <c r="AI71" s="4" t="e">
        <f t="shared" ca="1" si="30"/>
        <v>#DIV/0!</v>
      </c>
      <c r="AJ71" s="4" t="e">
        <f t="shared" ca="1" si="31"/>
        <v>#DIV/0!</v>
      </c>
      <c r="AK71" s="4" t="e">
        <f t="shared" ca="1" si="32"/>
        <v>#DIV/0!</v>
      </c>
      <c r="AM71" s="563">
        <f t="shared" ca="1" si="33"/>
        <v>45873</v>
      </c>
      <c r="AN71" s="564">
        <v>102.9</v>
      </c>
      <c r="AO71" s="564">
        <v>433063</v>
      </c>
      <c r="AP71" s="564">
        <v>48539.625999999997</v>
      </c>
      <c r="AQ71" s="564">
        <v>4994727.5153999999</v>
      </c>
      <c r="AR71" s="564">
        <v>1.1762999999999999</v>
      </c>
    </row>
    <row r="72" spans="2:44">
      <c r="B72" s="565">
        <f t="shared" ca="1" si="34"/>
        <v>45471</v>
      </c>
      <c r="C72" s="561">
        <f ca="1">(IFERROR(IFERROR(VALUE(_xll.BDH(C$4,"CURRENT_EV_TO_T12M_EBITDA",$B72,$B72)),VALUE(_xll.BDH(C$4,"CURRENT_EV_TO_T12M_EBITDA",$B72+1,$B72+1))),C73))</f>
        <v>0</v>
      </c>
      <c r="D72" s="561">
        <f ca="1">(IFERROR(IFERROR(VALUE(_xll.BDH(D$4,"CURRENT_EV_TO_T12M_EBITDA",$B72,$B72)),VALUE(_xll.BDH(D$4,"CURRENT_EV_TO_T12M_EBITDA",$B72+1,$B72+1))),D73))</f>
        <v>0</v>
      </c>
      <c r="E72" s="561">
        <f ca="1">(IFERROR(IFERROR(VALUE(_xll.BDH(E$4,"CURRENT_EV_TO_T12M_EBITDA",$B72,$B72)),VALUE(_xll.BDH(E$4,"CURRENT_EV_TO_T12M_EBITDA",$B72+1,$B72+1))),E73))</f>
        <v>0</v>
      </c>
      <c r="F72" s="561">
        <f ca="1">(IFERROR(IFERROR(VALUE(_xll.BDH(F$4,"CURRENT_EV_TO_T12M_EBITDA",$B72,$B72)),VALUE(_xll.BDH(F$4,"CURRENT_EV_TO_T12M_EBITDA",$B72+1,$B72+1))),F73))</f>
        <v>0</v>
      </c>
      <c r="G72" s="561">
        <f ca="1">(IFERROR(IFERROR(VALUE(_xll.BDH(G$4,"CURRENT_EV_TO_T12M_EBITDA",$B72,$B72)),VALUE(_xll.BDH(G$4,"CURRENT_EV_TO_T12M_EBITDA",$B72+1,$B72+1))),G73))</f>
        <v>0</v>
      </c>
      <c r="H72" s="561">
        <f ca="1">(IFERROR(IFERROR(VALUE(_xll.BDH(H$4,"CURRENT_EV_TO_T12M_EBITDA",$B72,$B72)),VALUE(_xll.BDH(H$4,"CURRENT_EV_TO_T12M_EBITDA",$B72+1,$B72+1))),H73))</f>
        <v>0</v>
      </c>
      <c r="I72" s="565">
        <f t="shared" ca="1" si="24"/>
        <v>45471</v>
      </c>
      <c r="J72" s="561">
        <f ca="1">(IFERROR(IFERROR(VALUE(_xll.BDH(J$4,"PE_RATIO",$B72,$B72)),VALUE(_xll.BDH(J$4,"PE_RATIO",$B72+1,$B72+1))),J73))</f>
        <v>0</v>
      </c>
      <c r="K72" s="561">
        <f ca="1">(IFERROR(IFERROR(VALUE(_xll.BDH(K$4,"PE_RATIO",$B72,$B72)),VALUE(_xll.BDH(K$4,"PE_RATIO",$B72+1,$B72+1))),K73))</f>
        <v>0</v>
      </c>
      <c r="L72" s="561">
        <f ca="1">(IFERROR(IFERROR(VALUE(_xll.BDH(L$4,"PE_RATIO",$B72,$B72)),VALUE(_xll.BDH(L$4,"PE_RATIO",$B72+1,$B72+1))),L73))</f>
        <v>0</v>
      </c>
      <c r="M72" s="561">
        <f ca="1">(IFERROR(IFERROR(VALUE(_xll.BDH(M$4,"PE_RATIO",$B72,$B72)),VALUE(_xll.BDH(M$4,"PE_RATIO",$B72+1,$B72+1))),M73))</f>
        <v>0</v>
      </c>
      <c r="N72" s="561">
        <f ca="1">(IFERROR(IFERROR(VALUE(_xll.BDH(N$4,"PE_RATIO",$B72,$B72)),VALUE(_xll.BDH(N$4,"PE_RATIO",$B72+1,$B72+1))),N73))</f>
        <v>0</v>
      </c>
      <c r="O72" s="561">
        <f ca="1">(IFERROR(IFERROR(VALUE(_xll.BDH(O$4,"PE_RATIO",$B72,$B72)),VALUE(_xll.BDH(O$4,"PE_RATIO",$B72+1,$B72+1))),O73))</f>
        <v>0</v>
      </c>
      <c r="P72" s="561"/>
      <c r="Q72" s="565">
        <f t="shared" ca="1" si="25"/>
        <v>45471</v>
      </c>
      <c r="R72" s="4">
        <v>60.53</v>
      </c>
      <c r="S72" s="4">
        <v>5306.04</v>
      </c>
      <c r="T72" s="4">
        <v>335.149</v>
      </c>
      <c r="U72" s="4">
        <v>1</v>
      </c>
      <c r="V72" s="4">
        <v>1.4547897205870661</v>
      </c>
      <c r="W72" s="4" t="e">
        <v>#DIV/0!</v>
      </c>
      <c r="Y72" s="561">
        <f t="shared" si="26"/>
        <v>60.53</v>
      </c>
      <c r="Z72" s="4">
        <f ca="1">IFERROR(VALUE(_xll.BDH(Z$4,"PX_LAST",$Q72,$Q72)),Z73)</f>
        <v>0</v>
      </c>
      <c r="AA72" s="4">
        <f ca="1">IFERROR(VALUE(_xll.BDH(AA$4,"PX_LAST",$Q72,$Q72)),AA73)</f>
        <v>0</v>
      </c>
      <c r="AB72" s="4">
        <f ca="1">IFERROR(VALUE(_xll.BDH(AB$4,"PX_LAST",$Q72,$Q72)),AB73)</f>
        <v>0</v>
      </c>
      <c r="AC72" s="4">
        <f ca="1">IFERROR(VALUE(_xll.BDH(AC$4,"PX_LAST",$Q72,$Q72)),AC73)</f>
        <v>0</v>
      </c>
      <c r="AD72" s="4">
        <f ca="1">IFERROR(VALUE(_xll.BDH(AD$4,"PX_LAST",$Q72,$Q72)),AD73)</f>
        <v>0</v>
      </c>
      <c r="AF72" s="4">
        <f t="shared" si="27"/>
        <v>1</v>
      </c>
      <c r="AG72" s="4" t="e">
        <f t="shared" ca="1" si="28"/>
        <v>#DIV/0!</v>
      </c>
      <c r="AH72" s="4" t="e">
        <f t="shared" ca="1" si="29"/>
        <v>#DIV/0!</v>
      </c>
      <c r="AI72" s="4" t="e">
        <f t="shared" ca="1" si="30"/>
        <v>#DIV/0!</v>
      </c>
      <c r="AJ72" s="4" t="e">
        <f t="shared" ca="1" si="31"/>
        <v>#DIV/0!</v>
      </c>
      <c r="AK72" s="4" t="e">
        <f t="shared" ca="1" si="32"/>
        <v>#DIV/0!</v>
      </c>
      <c r="AM72" s="563">
        <f t="shared" ca="1" si="33"/>
        <v>45872</v>
      </c>
      <c r="AN72" s="564">
        <v>102.9</v>
      </c>
      <c r="AO72" s="564">
        <v>433063</v>
      </c>
      <c r="AP72" s="564">
        <v>48539.625999999997</v>
      </c>
      <c r="AQ72" s="564">
        <v>4994727.5153999999</v>
      </c>
      <c r="AR72" s="564">
        <v>1.1762999999999999</v>
      </c>
    </row>
    <row r="73" spans="2:44">
      <c r="B73" s="565">
        <f t="shared" ca="1" si="34"/>
        <v>45464</v>
      </c>
      <c r="C73" s="561">
        <f ca="1">(IFERROR(IFERROR(VALUE(_xll.BDH(C$4,"CURRENT_EV_TO_T12M_EBITDA",$B73,$B73)),VALUE(_xll.BDH(C$4,"CURRENT_EV_TO_T12M_EBITDA",$B73+1,$B73+1))),C74))</f>
        <v>0</v>
      </c>
      <c r="D73" s="561">
        <f ca="1">(IFERROR(IFERROR(VALUE(_xll.BDH(D$4,"CURRENT_EV_TO_T12M_EBITDA",$B73,$B73)),VALUE(_xll.BDH(D$4,"CURRENT_EV_TO_T12M_EBITDA",$B73+1,$B73+1))),D74))</f>
        <v>0</v>
      </c>
      <c r="E73" s="561">
        <f ca="1">(IFERROR(IFERROR(VALUE(_xll.BDH(E$4,"CURRENT_EV_TO_T12M_EBITDA",$B73,$B73)),VALUE(_xll.BDH(E$4,"CURRENT_EV_TO_T12M_EBITDA",$B73+1,$B73+1))),E74))</f>
        <v>0</v>
      </c>
      <c r="F73" s="561">
        <f ca="1">(IFERROR(IFERROR(VALUE(_xll.BDH(F$4,"CURRENT_EV_TO_T12M_EBITDA",$B73,$B73)),VALUE(_xll.BDH(F$4,"CURRENT_EV_TO_T12M_EBITDA",$B73+1,$B73+1))),F74))</f>
        <v>0</v>
      </c>
      <c r="G73" s="561">
        <f ca="1">(IFERROR(IFERROR(VALUE(_xll.BDH(G$4,"CURRENT_EV_TO_T12M_EBITDA",$B73,$B73)),VALUE(_xll.BDH(G$4,"CURRENT_EV_TO_T12M_EBITDA",$B73+1,$B73+1))),G74))</f>
        <v>0</v>
      </c>
      <c r="H73" s="561">
        <f ca="1">(IFERROR(IFERROR(VALUE(_xll.BDH(H$4,"CURRENT_EV_TO_T12M_EBITDA",$B73,$B73)),VALUE(_xll.BDH(H$4,"CURRENT_EV_TO_T12M_EBITDA",$B73+1,$B73+1))),H74))</f>
        <v>0</v>
      </c>
      <c r="I73" s="565">
        <f t="shared" ca="1" si="24"/>
        <v>45464</v>
      </c>
      <c r="J73" s="561">
        <f ca="1">(IFERROR(IFERROR(VALUE(_xll.BDH(J$4,"PE_RATIO",$B73,$B73)),VALUE(_xll.BDH(J$4,"PE_RATIO",$B73+1,$B73+1))),J74))</f>
        <v>0</v>
      </c>
      <c r="K73" s="561">
        <f ca="1">(IFERROR(IFERROR(VALUE(_xll.BDH(K$4,"PE_RATIO",$B73,$B73)),VALUE(_xll.BDH(K$4,"PE_RATIO",$B73+1,$B73+1))),K74))</f>
        <v>0</v>
      </c>
      <c r="L73" s="561">
        <f ca="1">(IFERROR(IFERROR(VALUE(_xll.BDH(L$4,"PE_RATIO",$B73,$B73)),VALUE(_xll.BDH(L$4,"PE_RATIO",$B73+1,$B73+1))),L74))</f>
        <v>0</v>
      </c>
      <c r="M73" s="561">
        <f ca="1">(IFERROR(IFERROR(VALUE(_xll.BDH(M$4,"PE_RATIO",$B73,$B73)),VALUE(_xll.BDH(M$4,"PE_RATIO",$B73+1,$B73+1))),M74))</f>
        <v>0</v>
      </c>
      <c r="N73" s="561">
        <f ca="1">(IFERROR(IFERROR(VALUE(_xll.BDH(N$4,"PE_RATIO",$B73,$B73)),VALUE(_xll.BDH(N$4,"PE_RATIO",$B73+1,$B73+1))),N74))</f>
        <v>0</v>
      </c>
      <c r="O73" s="561">
        <f ca="1">(IFERROR(IFERROR(VALUE(_xll.BDH(O$4,"PE_RATIO",$B73,$B73)),VALUE(_xll.BDH(O$4,"PE_RATIO",$B73+1,$B73+1))),O74))</f>
        <v>0</v>
      </c>
      <c r="P73" s="561"/>
      <c r="Q73" s="565">
        <f t="shared" ca="1" si="25"/>
        <v>45464</v>
      </c>
      <c r="R73" s="4">
        <v>61.07</v>
      </c>
      <c r="S73" s="4">
        <v>5321.41</v>
      </c>
      <c r="T73" s="4">
        <v>335.149</v>
      </c>
      <c r="U73" s="4">
        <v>1.0089211961011069</v>
      </c>
      <c r="V73" s="4">
        <v>1.4590038083069896</v>
      </c>
      <c r="W73" s="4" t="e">
        <v>#DIV/0!</v>
      </c>
      <c r="Y73" s="561">
        <f t="shared" si="26"/>
        <v>61.07</v>
      </c>
      <c r="Z73" s="4">
        <f ca="1">IFERROR(VALUE(_xll.BDH(Z$4,"PX_LAST",$Q73,$Q73)),Z74)</f>
        <v>0</v>
      </c>
      <c r="AA73" s="4">
        <f ca="1">IFERROR(VALUE(_xll.BDH(AA$4,"PX_LAST",$Q73,$Q73)),AA74)</f>
        <v>0</v>
      </c>
      <c r="AB73" s="4">
        <f ca="1">IFERROR(VALUE(_xll.BDH(AB$4,"PX_LAST",$Q73,$Q73)),AB74)</f>
        <v>0</v>
      </c>
      <c r="AC73" s="4">
        <f ca="1">IFERROR(VALUE(_xll.BDH(AC$4,"PX_LAST",$Q73,$Q73)),AC74)</f>
        <v>0</v>
      </c>
      <c r="AD73" s="4">
        <f ca="1">IFERROR(VALUE(_xll.BDH(AD$4,"PX_LAST",$Q73,$Q73)),AD74)</f>
        <v>0</v>
      </c>
      <c r="AF73" s="4">
        <f t="shared" si="27"/>
        <v>1.0089211961011069</v>
      </c>
      <c r="AG73" s="4" t="e">
        <f t="shared" ca="1" si="28"/>
        <v>#DIV/0!</v>
      </c>
      <c r="AH73" s="4" t="e">
        <f t="shared" ca="1" si="29"/>
        <v>#DIV/0!</v>
      </c>
      <c r="AI73" s="4" t="e">
        <f t="shared" ca="1" si="30"/>
        <v>#DIV/0!</v>
      </c>
      <c r="AJ73" s="4" t="e">
        <f t="shared" ca="1" si="31"/>
        <v>#DIV/0!</v>
      </c>
      <c r="AK73" s="4" t="e">
        <f t="shared" ca="1" si="32"/>
        <v>#DIV/0!</v>
      </c>
      <c r="AM73" s="563">
        <f t="shared" ca="1" si="33"/>
        <v>45871</v>
      </c>
      <c r="AN73" s="564">
        <v>103.17</v>
      </c>
      <c r="AO73" s="564">
        <v>907204</v>
      </c>
      <c r="AP73" s="564">
        <v>48539.625999999997</v>
      </c>
      <c r="AQ73" s="564">
        <v>5007833.2144200001</v>
      </c>
      <c r="AR73" s="564">
        <v>1.1794</v>
      </c>
    </row>
    <row r="74" spans="2:44">
      <c r="B74" s="565">
        <f t="shared" ca="1" si="34"/>
        <v>45457</v>
      </c>
      <c r="C74" s="561">
        <f ca="1">(IFERROR(IFERROR(VALUE(_xll.BDH(C$4,"CURRENT_EV_TO_T12M_EBITDA",$B74,$B74)),VALUE(_xll.BDH(C$4,"CURRENT_EV_TO_T12M_EBITDA",$B74+1,$B74+1))),C75))</f>
        <v>0</v>
      </c>
      <c r="D74" s="561">
        <f ca="1">(IFERROR(IFERROR(VALUE(_xll.BDH(D$4,"CURRENT_EV_TO_T12M_EBITDA",$B74,$B74)),VALUE(_xll.BDH(D$4,"CURRENT_EV_TO_T12M_EBITDA",$B74+1,$B74+1))),D75))</f>
        <v>0</v>
      </c>
      <c r="E74" s="561">
        <f ca="1">(IFERROR(IFERROR(VALUE(_xll.BDH(E$4,"CURRENT_EV_TO_T12M_EBITDA",$B74,$B74)),VALUE(_xll.BDH(E$4,"CURRENT_EV_TO_T12M_EBITDA",$B74+1,$B74+1))),E75))</f>
        <v>0</v>
      </c>
      <c r="F74" s="561">
        <f ca="1">(IFERROR(IFERROR(VALUE(_xll.BDH(F$4,"CURRENT_EV_TO_T12M_EBITDA",$B74,$B74)),VALUE(_xll.BDH(F$4,"CURRENT_EV_TO_T12M_EBITDA",$B74+1,$B74+1))),F75))</f>
        <v>0</v>
      </c>
      <c r="G74" s="561">
        <f ca="1">(IFERROR(IFERROR(VALUE(_xll.BDH(G$4,"CURRENT_EV_TO_T12M_EBITDA",$B74,$B74)),VALUE(_xll.BDH(G$4,"CURRENT_EV_TO_T12M_EBITDA",$B74+1,$B74+1))),G75))</f>
        <v>0</v>
      </c>
      <c r="H74" s="561">
        <f ca="1">(IFERROR(IFERROR(VALUE(_xll.BDH(H$4,"CURRENT_EV_TO_T12M_EBITDA",$B74,$B74)),VALUE(_xll.BDH(H$4,"CURRENT_EV_TO_T12M_EBITDA",$B74+1,$B74+1))),H75))</f>
        <v>0</v>
      </c>
      <c r="I74" s="565">
        <f t="shared" ca="1" si="24"/>
        <v>45457</v>
      </c>
      <c r="J74" s="561">
        <f ca="1">(IFERROR(IFERROR(VALUE(_xll.BDH(J$4,"PE_RATIO",$B74,$B74)),VALUE(_xll.BDH(J$4,"PE_RATIO",$B74+1,$B74+1))),J75))</f>
        <v>0</v>
      </c>
      <c r="K74" s="561">
        <f ca="1">(IFERROR(IFERROR(VALUE(_xll.BDH(K$4,"PE_RATIO",$B74,$B74)),VALUE(_xll.BDH(K$4,"PE_RATIO",$B74+1,$B74+1))),K75))</f>
        <v>0</v>
      </c>
      <c r="L74" s="561">
        <f ca="1">(IFERROR(IFERROR(VALUE(_xll.BDH(L$4,"PE_RATIO",$B74,$B74)),VALUE(_xll.BDH(L$4,"PE_RATIO",$B74+1,$B74+1))),L75))</f>
        <v>0</v>
      </c>
      <c r="M74" s="561">
        <f ca="1">(IFERROR(IFERROR(VALUE(_xll.BDH(M$4,"PE_RATIO",$B74,$B74)),VALUE(_xll.BDH(M$4,"PE_RATIO",$B74+1,$B74+1))),M75))</f>
        <v>0</v>
      </c>
      <c r="N74" s="561">
        <f ca="1">(IFERROR(IFERROR(VALUE(_xll.BDH(N$4,"PE_RATIO",$B74,$B74)),VALUE(_xll.BDH(N$4,"PE_RATIO",$B74+1,$B74+1))),N75))</f>
        <v>0</v>
      </c>
      <c r="O74" s="561">
        <f ca="1">(IFERROR(IFERROR(VALUE(_xll.BDH(O$4,"PE_RATIO",$B74,$B74)),VALUE(_xll.BDH(O$4,"PE_RATIO",$B74+1,$B74+1))),O75))</f>
        <v>0</v>
      </c>
      <c r="P74" s="561"/>
      <c r="Q74" s="565">
        <f t="shared" ca="1" si="25"/>
        <v>45457</v>
      </c>
      <c r="R74" s="4">
        <v>58.55</v>
      </c>
      <c r="S74" s="4">
        <v>5246.68</v>
      </c>
      <c r="T74" s="4">
        <v>335.149</v>
      </c>
      <c r="U74" s="4">
        <v>0.96728894762927464</v>
      </c>
      <c r="V74" s="4">
        <v>1.438514623185982</v>
      </c>
      <c r="W74" s="4" t="e">
        <v>#DIV/0!</v>
      </c>
      <c r="Y74" s="561">
        <f t="shared" si="26"/>
        <v>58.55</v>
      </c>
      <c r="Z74" s="4">
        <f ca="1">IFERROR(VALUE(_xll.BDH(Z$4,"PX_LAST",$Q74,$Q74)),Z75)</f>
        <v>0</v>
      </c>
      <c r="AA74" s="4">
        <f ca="1">IFERROR(VALUE(_xll.BDH(AA$4,"PX_LAST",$Q74,$Q74)),AA75)</f>
        <v>0</v>
      </c>
      <c r="AB74" s="4">
        <f ca="1">IFERROR(VALUE(_xll.BDH(AB$4,"PX_LAST",$Q74,$Q74)),AB75)</f>
        <v>0</v>
      </c>
      <c r="AC74" s="4">
        <f ca="1">IFERROR(VALUE(_xll.BDH(AC$4,"PX_LAST",$Q74,$Q74)),AC75)</f>
        <v>0</v>
      </c>
      <c r="AD74" s="4">
        <f ca="1">IFERROR(VALUE(_xll.BDH(AD$4,"PX_LAST",$Q74,$Q74)),AD75)</f>
        <v>0</v>
      </c>
      <c r="AF74" s="4">
        <f t="shared" si="27"/>
        <v>0.96728894762927464</v>
      </c>
      <c r="AG74" s="4" t="e">
        <f t="shared" ca="1" si="28"/>
        <v>#DIV/0!</v>
      </c>
      <c r="AH74" s="4" t="e">
        <f t="shared" ca="1" si="29"/>
        <v>#DIV/0!</v>
      </c>
      <c r="AI74" s="4" t="e">
        <f t="shared" ca="1" si="30"/>
        <v>#DIV/0!</v>
      </c>
      <c r="AJ74" s="4" t="e">
        <f t="shared" ca="1" si="31"/>
        <v>#DIV/0!</v>
      </c>
      <c r="AK74" s="4" t="e">
        <f t="shared" ca="1" si="32"/>
        <v>#DIV/0!</v>
      </c>
      <c r="AM74" s="563">
        <f t="shared" ca="1" si="33"/>
        <v>45870</v>
      </c>
      <c r="AN74" s="564">
        <v>101.88</v>
      </c>
      <c r="AO74" s="564">
        <v>881886</v>
      </c>
      <c r="AP74" s="564">
        <v>48539.625999999997</v>
      </c>
      <c r="AQ74" s="564">
        <v>4945217.0968799992</v>
      </c>
      <c r="AR74" s="564">
        <v>1.1647000000000001</v>
      </c>
    </row>
    <row r="75" spans="2:44">
      <c r="B75" s="565">
        <f t="shared" ca="1" si="34"/>
        <v>45450</v>
      </c>
      <c r="C75" s="561">
        <f ca="1">(IFERROR(IFERROR(VALUE(_xll.BDH(C$4,"CURRENT_EV_TO_T12M_EBITDA",$B75,$B75)),VALUE(_xll.BDH(C$4,"CURRENT_EV_TO_T12M_EBITDA",$B75+1,$B75+1))),C76))</f>
        <v>0</v>
      </c>
      <c r="D75" s="561">
        <f ca="1">(IFERROR(IFERROR(VALUE(_xll.BDH(D$4,"CURRENT_EV_TO_T12M_EBITDA",$B75,$B75)),VALUE(_xll.BDH(D$4,"CURRENT_EV_TO_T12M_EBITDA",$B75+1,$B75+1))),D76))</f>
        <v>0</v>
      </c>
      <c r="E75" s="561">
        <f ca="1">(IFERROR(IFERROR(VALUE(_xll.BDH(E$4,"CURRENT_EV_TO_T12M_EBITDA",$B75,$B75)),VALUE(_xll.BDH(E$4,"CURRENT_EV_TO_T12M_EBITDA",$B75+1,$B75+1))),E76))</f>
        <v>0</v>
      </c>
      <c r="F75" s="561">
        <f ca="1">(IFERROR(IFERROR(VALUE(_xll.BDH(F$4,"CURRENT_EV_TO_T12M_EBITDA",$B75,$B75)),VALUE(_xll.BDH(F$4,"CURRENT_EV_TO_T12M_EBITDA",$B75+1,$B75+1))),F76))</f>
        <v>0</v>
      </c>
      <c r="G75" s="561">
        <f ca="1">(IFERROR(IFERROR(VALUE(_xll.BDH(G$4,"CURRENT_EV_TO_T12M_EBITDA",$B75,$B75)),VALUE(_xll.BDH(G$4,"CURRENT_EV_TO_T12M_EBITDA",$B75+1,$B75+1))),G76))</f>
        <v>0</v>
      </c>
      <c r="H75" s="561">
        <f ca="1">(IFERROR(IFERROR(VALUE(_xll.BDH(H$4,"CURRENT_EV_TO_T12M_EBITDA",$B75,$B75)),VALUE(_xll.BDH(H$4,"CURRENT_EV_TO_T12M_EBITDA",$B75+1,$B75+1))),H76))</f>
        <v>0</v>
      </c>
      <c r="I75" s="565">
        <f t="shared" ca="1" si="24"/>
        <v>45450</v>
      </c>
      <c r="J75" s="561">
        <f ca="1">(IFERROR(IFERROR(VALUE(_xll.BDH(J$4,"PE_RATIO",$B75,$B75)),VALUE(_xll.BDH(J$4,"PE_RATIO",$B75+1,$B75+1))),J76))</f>
        <v>0</v>
      </c>
      <c r="K75" s="561">
        <f ca="1">(IFERROR(IFERROR(VALUE(_xll.BDH(K$4,"PE_RATIO",$B75,$B75)),VALUE(_xll.BDH(K$4,"PE_RATIO",$B75+1,$B75+1))),K76))</f>
        <v>0</v>
      </c>
      <c r="L75" s="561">
        <f ca="1">(IFERROR(IFERROR(VALUE(_xll.BDH(L$4,"PE_RATIO",$B75,$B75)),VALUE(_xll.BDH(L$4,"PE_RATIO",$B75+1,$B75+1))),L76))</f>
        <v>0</v>
      </c>
      <c r="M75" s="561">
        <f ca="1">(IFERROR(IFERROR(VALUE(_xll.BDH(M$4,"PE_RATIO",$B75,$B75)),VALUE(_xll.BDH(M$4,"PE_RATIO",$B75+1,$B75+1))),M76))</f>
        <v>0</v>
      </c>
      <c r="N75" s="561">
        <f ca="1">(IFERROR(IFERROR(VALUE(_xll.BDH(N$4,"PE_RATIO",$B75,$B75)),VALUE(_xll.BDH(N$4,"PE_RATIO",$B75+1,$B75+1))),N76))</f>
        <v>0</v>
      </c>
      <c r="O75" s="561">
        <f ca="1">(IFERROR(IFERROR(VALUE(_xll.BDH(O$4,"PE_RATIO",$B75,$B75)),VALUE(_xll.BDH(O$4,"PE_RATIO",$B75+1,$B75+1))),O76))</f>
        <v>0</v>
      </c>
      <c r="P75" s="561"/>
      <c r="Q75" s="565">
        <f t="shared" ca="1" si="25"/>
        <v>45450</v>
      </c>
      <c r="R75" s="4">
        <v>57.08</v>
      </c>
      <c r="S75" s="4">
        <v>5187.7</v>
      </c>
      <c r="T75" s="4">
        <v>335.149</v>
      </c>
      <c r="U75" s="4">
        <v>0.94300346935403923</v>
      </c>
      <c r="V75" s="4">
        <v>1.4223437127291769</v>
      </c>
      <c r="W75" s="4" t="e">
        <v>#DIV/0!</v>
      </c>
      <c r="Y75" s="561">
        <f t="shared" si="26"/>
        <v>57.08</v>
      </c>
      <c r="Z75" s="4">
        <f ca="1">IFERROR(VALUE(_xll.BDH(Z$4,"PX_LAST",$Q75,$Q75)),Z76)</f>
        <v>0</v>
      </c>
      <c r="AA75" s="4">
        <f ca="1">IFERROR(VALUE(_xll.BDH(AA$4,"PX_LAST",$Q75,$Q75)),AA76)</f>
        <v>0</v>
      </c>
      <c r="AB75" s="4">
        <f ca="1">IFERROR(VALUE(_xll.BDH(AB$4,"PX_LAST",$Q75,$Q75)),AB76)</f>
        <v>0</v>
      </c>
      <c r="AC75" s="4">
        <f ca="1">IFERROR(VALUE(_xll.BDH(AC$4,"PX_LAST",$Q75,$Q75)),AC76)</f>
        <v>0</v>
      </c>
      <c r="AD75" s="4">
        <f ca="1">IFERROR(VALUE(_xll.BDH(AD$4,"PX_LAST",$Q75,$Q75)),AD76)</f>
        <v>0</v>
      </c>
      <c r="AF75" s="4">
        <f t="shared" si="27"/>
        <v>0.94300346935403923</v>
      </c>
      <c r="AG75" s="4" t="e">
        <f t="shared" ca="1" si="28"/>
        <v>#DIV/0!</v>
      </c>
      <c r="AH75" s="4" t="e">
        <f t="shared" ca="1" si="29"/>
        <v>#DIV/0!</v>
      </c>
      <c r="AI75" s="4" t="e">
        <f t="shared" ca="1" si="30"/>
        <v>#DIV/0!</v>
      </c>
      <c r="AJ75" s="4" t="e">
        <f t="shared" ca="1" si="31"/>
        <v>#DIV/0!</v>
      </c>
      <c r="AK75" s="4" t="e">
        <f t="shared" ca="1" si="32"/>
        <v>#DIV/0!</v>
      </c>
      <c r="AM75" s="563">
        <f t="shared" ca="1" si="33"/>
        <v>45869</v>
      </c>
      <c r="AN75" s="564">
        <v>99.63</v>
      </c>
      <c r="AO75" s="564">
        <v>924155</v>
      </c>
      <c r="AP75" s="564">
        <v>48539.625999999997</v>
      </c>
      <c r="AQ75" s="564">
        <v>4836002.9383799993</v>
      </c>
      <c r="AR75" s="564">
        <v>1.1389</v>
      </c>
    </row>
    <row r="76" spans="2:44">
      <c r="B76" s="565">
        <f t="shared" ca="1" si="34"/>
        <v>45443</v>
      </c>
      <c r="C76" s="561">
        <f ca="1">(IFERROR(IFERROR(VALUE(_xll.BDH(C$4,"CURRENT_EV_TO_T12M_EBITDA",$B76,$B76)),VALUE(_xll.BDH(C$4,"CURRENT_EV_TO_T12M_EBITDA",$B76+1,$B76+1))),C77))</f>
        <v>0</v>
      </c>
      <c r="D76" s="561">
        <f ca="1">(IFERROR(IFERROR(VALUE(_xll.BDH(D$4,"CURRENT_EV_TO_T12M_EBITDA",$B76,$B76)),VALUE(_xll.BDH(D$4,"CURRENT_EV_TO_T12M_EBITDA",$B76+1,$B76+1))),D77))</f>
        <v>0</v>
      </c>
      <c r="E76" s="561">
        <f ca="1">(IFERROR(IFERROR(VALUE(_xll.BDH(E$4,"CURRENT_EV_TO_T12M_EBITDA",$B76,$B76)),VALUE(_xll.BDH(E$4,"CURRENT_EV_TO_T12M_EBITDA",$B76+1,$B76+1))),E77))</f>
        <v>0</v>
      </c>
      <c r="F76" s="561">
        <f ca="1">(IFERROR(IFERROR(VALUE(_xll.BDH(F$4,"CURRENT_EV_TO_T12M_EBITDA",$B76,$B76)),VALUE(_xll.BDH(F$4,"CURRENT_EV_TO_T12M_EBITDA",$B76+1,$B76+1))),F77))</f>
        <v>0</v>
      </c>
      <c r="G76" s="561">
        <f ca="1">(IFERROR(IFERROR(VALUE(_xll.BDH(G$4,"CURRENT_EV_TO_T12M_EBITDA",$B76,$B76)),VALUE(_xll.BDH(G$4,"CURRENT_EV_TO_T12M_EBITDA",$B76+1,$B76+1))),G77))</f>
        <v>0</v>
      </c>
      <c r="H76" s="561">
        <f ca="1">(IFERROR(IFERROR(VALUE(_xll.BDH(H$4,"CURRENT_EV_TO_T12M_EBITDA",$B76,$B76)),VALUE(_xll.BDH(H$4,"CURRENT_EV_TO_T12M_EBITDA",$B76+1,$B76+1))),H77))</f>
        <v>0</v>
      </c>
      <c r="I76" s="565">
        <f t="shared" ca="1" si="24"/>
        <v>45443</v>
      </c>
      <c r="J76" s="561">
        <f ca="1">(IFERROR(IFERROR(VALUE(_xll.BDH(J$4,"PE_RATIO",$B76,$B76)),VALUE(_xll.BDH(J$4,"PE_RATIO",$B76+1,$B76+1))),J77))</f>
        <v>0</v>
      </c>
      <c r="K76" s="561">
        <f ca="1">(IFERROR(IFERROR(VALUE(_xll.BDH(K$4,"PE_RATIO",$B76,$B76)),VALUE(_xll.BDH(K$4,"PE_RATIO",$B76+1,$B76+1))),K77))</f>
        <v>0</v>
      </c>
      <c r="L76" s="561">
        <f ca="1">(IFERROR(IFERROR(VALUE(_xll.BDH(L$4,"PE_RATIO",$B76,$B76)),VALUE(_xll.BDH(L$4,"PE_RATIO",$B76+1,$B76+1))),L77))</f>
        <v>0</v>
      </c>
      <c r="M76" s="561">
        <f ca="1">(IFERROR(IFERROR(VALUE(_xll.BDH(M$4,"PE_RATIO",$B76,$B76)),VALUE(_xll.BDH(M$4,"PE_RATIO",$B76+1,$B76+1))),M77))</f>
        <v>0</v>
      </c>
      <c r="N76" s="561">
        <f ca="1">(IFERROR(IFERROR(VALUE(_xll.BDH(N$4,"PE_RATIO",$B76,$B76)),VALUE(_xll.BDH(N$4,"PE_RATIO",$B76+1,$B76+1))),N77))</f>
        <v>0</v>
      </c>
      <c r="O76" s="561">
        <f ca="1">(IFERROR(IFERROR(VALUE(_xll.BDH(O$4,"PE_RATIO",$B76,$B76)),VALUE(_xll.BDH(O$4,"PE_RATIO",$B76+1,$B76+1))),O77))</f>
        <v>0</v>
      </c>
      <c r="P76" s="561"/>
      <c r="Q76" s="565">
        <f t="shared" ca="1" si="25"/>
        <v>45443</v>
      </c>
      <c r="R76" s="4">
        <v>55.33</v>
      </c>
      <c r="S76" s="4">
        <v>5035.6899999999996</v>
      </c>
      <c r="T76" s="4">
        <v>335.149</v>
      </c>
      <c r="U76" s="4">
        <v>0.91409218569304473</v>
      </c>
      <c r="V76" s="4">
        <v>1.3806661932558144</v>
      </c>
      <c r="W76" s="4" t="e">
        <v>#DIV/0!</v>
      </c>
      <c r="Y76" s="561">
        <f t="shared" si="26"/>
        <v>55.33</v>
      </c>
      <c r="Z76" s="4">
        <f ca="1">IFERROR(VALUE(_xll.BDH(Z$4,"PX_LAST",$Q76,$Q76)),Z77)</f>
        <v>0</v>
      </c>
      <c r="AA76" s="4">
        <f ca="1">IFERROR(VALUE(_xll.BDH(AA$4,"PX_LAST",$Q76,$Q76)),AA77)</f>
        <v>0</v>
      </c>
      <c r="AB76" s="4">
        <f ca="1">IFERROR(VALUE(_xll.BDH(AB$4,"PX_LAST",$Q76,$Q76)),AB77)</f>
        <v>0</v>
      </c>
      <c r="AC76" s="4">
        <f ca="1">IFERROR(VALUE(_xll.BDH(AC$4,"PX_LAST",$Q76,$Q76)),AC77)</f>
        <v>0</v>
      </c>
      <c r="AD76" s="4">
        <f ca="1">IFERROR(VALUE(_xll.BDH(AD$4,"PX_LAST",$Q76,$Q76)),AD77)</f>
        <v>0</v>
      </c>
      <c r="AF76" s="4">
        <f t="shared" si="27"/>
        <v>0.91409218569304473</v>
      </c>
      <c r="AG76" s="4" t="e">
        <f t="shared" ca="1" si="28"/>
        <v>#DIV/0!</v>
      </c>
      <c r="AH76" s="4" t="e">
        <f t="shared" ca="1" si="29"/>
        <v>#DIV/0!</v>
      </c>
      <c r="AI76" s="4" t="e">
        <f t="shared" ca="1" si="30"/>
        <v>#DIV/0!</v>
      </c>
      <c r="AJ76" s="4" t="e">
        <f t="shared" ca="1" si="31"/>
        <v>#DIV/0!</v>
      </c>
      <c r="AK76" s="4" t="e">
        <f t="shared" ca="1" si="32"/>
        <v>#DIV/0!</v>
      </c>
      <c r="AM76" s="563">
        <f t="shared" ca="1" si="33"/>
        <v>45868</v>
      </c>
      <c r="AN76" s="564">
        <v>99.16</v>
      </c>
      <c r="AO76" s="564">
        <v>1849394</v>
      </c>
      <c r="AP76" s="564">
        <v>48539.625999999997</v>
      </c>
      <c r="AQ76" s="564">
        <v>4813189.3141599996</v>
      </c>
      <c r="AR76" s="564">
        <v>1.1335999999999999</v>
      </c>
    </row>
    <row r="77" spans="2:44">
      <c r="B77" s="565">
        <f t="shared" ca="1" si="34"/>
        <v>45436</v>
      </c>
      <c r="C77" s="561">
        <f ca="1">(IFERROR(IFERROR(VALUE(_xll.BDH(C$4,"CURRENT_EV_TO_T12M_EBITDA",$B77,$B77)),VALUE(_xll.BDH(C$4,"CURRENT_EV_TO_T12M_EBITDA",$B77+1,$B77+1))),C78))</f>
        <v>0</v>
      </c>
      <c r="D77" s="561">
        <f ca="1">(IFERROR(IFERROR(VALUE(_xll.BDH(D$4,"CURRENT_EV_TO_T12M_EBITDA",$B77,$B77)),VALUE(_xll.BDH(D$4,"CURRENT_EV_TO_T12M_EBITDA",$B77+1,$B77+1))),D78))</f>
        <v>0</v>
      </c>
      <c r="E77" s="561">
        <f ca="1">(IFERROR(IFERROR(VALUE(_xll.BDH(E$4,"CURRENT_EV_TO_T12M_EBITDA",$B77,$B77)),VALUE(_xll.BDH(E$4,"CURRENT_EV_TO_T12M_EBITDA",$B77+1,$B77+1))),E78))</f>
        <v>0</v>
      </c>
      <c r="F77" s="561">
        <f ca="1">(IFERROR(IFERROR(VALUE(_xll.BDH(F$4,"CURRENT_EV_TO_T12M_EBITDA",$B77,$B77)),VALUE(_xll.BDH(F$4,"CURRENT_EV_TO_T12M_EBITDA",$B77+1,$B77+1))),F78))</f>
        <v>0</v>
      </c>
      <c r="G77" s="561">
        <f ca="1">(IFERROR(IFERROR(VALUE(_xll.BDH(G$4,"CURRENT_EV_TO_T12M_EBITDA",$B77,$B77)),VALUE(_xll.BDH(G$4,"CURRENT_EV_TO_T12M_EBITDA",$B77+1,$B77+1))),G78))</f>
        <v>0</v>
      </c>
      <c r="H77" s="561">
        <f ca="1">(IFERROR(IFERROR(VALUE(_xll.BDH(H$4,"CURRENT_EV_TO_T12M_EBITDA",$B77,$B77)),VALUE(_xll.BDH(H$4,"CURRENT_EV_TO_T12M_EBITDA",$B77+1,$B77+1))),H78))</f>
        <v>0</v>
      </c>
      <c r="I77" s="565">
        <f t="shared" ca="1" si="24"/>
        <v>45436</v>
      </c>
      <c r="J77" s="561">
        <f ca="1">(IFERROR(IFERROR(VALUE(_xll.BDH(J$4,"PE_RATIO",$B77,$B77)),VALUE(_xll.BDH(J$4,"PE_RATIO",$B77+1,$B77+1))),J78))</f>
        <v>0</v>
      </c>
      <c r="K77" s="561">
        <f ca="1">(IFERROR(IFERROR(VALUE(_xll.BDH(K$4,"PE_RATIO",$B77,$B77)),VALUE(_xll.BDH(K$4,"PE_RATIO",$B77+1,$B77+1))),K78))</f>
        <v>0</v>
      </c>
      <c r="L77" s="561">
        <f ca="1">(IFERROR(IFERROR(VALUE(_xll.BDH(L$4,"PE_RATIO",$B77,$B77)),VALUE(_xll.BDH(L$4,"PE_RATIO",$B77+1,$B77+1))),L78))</f>
        <v>0</v>
      </c>
      <c r="M77" s="561">
        <f ca="1">(IFERROR(IFERROR(VALUE(_xll.BDH(M$4,"PE_RATIO",$B77,$B77)),VALUE(_xll.BDH(M$4,"PE_RATIO",$B77+1,$B77+1))),M78))</f>
        <v>0</v>
      </c>
      <c r="N77" s="561">
        <f ca="1">(IFERROR(IFERROR(VALUE(_xll.BDH(N$4,"PE_RATIO",$B77,$B77)),VALUE(_xll.BDH(N$4,"PE_RATIO",$B77+1,$B77+1))),N78))</f>
        <v>0</v>
      </c>
      <c r="O77" s="561">
        <f ca="1">(IFERROR(IFERROR(VALUE(_xll.BDH(O$4,"PE_RATIO",$B77,$B77)),VALUE(_xll.BDH(O$4,"PE_RATIO",$B77+1,$B77+1))),O78))</f>
        <v>0</v>
      </c>
      <c r="P77" s="561"/>
      <c r="Q77" s="565">
        <f t="shared" ca="1" si="25"/>
        <v>45436</v>
      </c>
      <c r="R77" s="4">
        <v>59.68</v>
      </c>
      <c r="S77" s="4">
        <v>5070.55</v>
      </c>
      <c r="T77" s="4">
        <v>265.39600000000002</v>
      </c>
      <c r="U77" s="4">
        <v>0.98595737650751691</v>
      </c>
      <c r="V77" s="4">
        <v>1.3902239745125833</v>
      </c>
      <c r="W77" s="4" t="e">
        <v>#DIV/0!</v>
      </c>
      <c r="Y77" s="561">
        <f t="shared" si="26"/>
        <v>59.68</v>
      </c>
      <c r="Z77" s="4">
        <f ca="1">IFERROR(VALUE(_xll.BDH(Z$4,"PX_LAST",$Q77,$Q77)),Z78)</f>
        <v>0</v>
      </c>
      <c r="AA77" s="4">
        <f ca="1">IFERROR(VALUE(_xll.BDH(AA$4,"PX_LAST",$Q77,$Q77)),AA78)</f>
        <v>0</v>
      </c>
      <c r="AB77" s="4">
        <f ca="1">IFERROR(VALUE(_xll.BDH(AB$4,"PX_LAST",$Q77,$Q77)),AB78)</f>
        <v>0</v>
      </c>
      <c r="AC77" s="4">
        <f ca="1">IFERROR(VALUE(_xll.BDH(AC$4,"PX_LAST",$Q77,$Q77)),AC78)</f>
        <v>0</v>
      </c>
      <c r="AD77" s="4">
        <f ca="1">IFERROR(VALUE(_xll.BDH(AD$4,"PX_LAST",$Q77,$Q77)),AD78)</f>
        <v>0</v>
      </c>
      <c r="AF77" s="4">
        <f t="shared" si="27"/>
        <v>0.98595737650751691</v>
      </c>
      <c r="AG77" s="4" t="e">
        <f t="shared" ca="1" si="28"/>
        <v>#DIV/0!</v>
      </c>
      <c r="AH77" s="4" t="e">
        <f t="shared" ca="1" si="29"/>
        <v>#DIV/0!</v>
      </c>
      <c r="AI77" s="4" t="e">
        <f t="shared" ca="1" si="30"/>
        <v>#DIV/0!</v>
      </c>
      <c r="AJ77" s="4" t="e">
        <f t="shared" ca="1" si="31"/>
        <v>#DIV/0!</v>
      </c>
      <c r="AK77" s="4" t="e">
        <f t="shared" ca="1" si="32"/>
        <v>#DIV/0!</v>
      </c>
      <c r="AM77" s="563">
        <f t="shared" ca="1" si="33"/>
        <v>45867</v>
      </c>
      <c r="AN77" s="564">
        <v>99.16</v>
      </c>
      <c r="AO77" s="564">
        <v>1849394</v>
      </c>
      <c r="AP77" s="564">
        <v>48539.625999999997</v>
      </c>
      <c r="AQ77" s="564">
        <v>4813189.3141599996</v>
      </c>
      <c r="AR77" s="564">
        <v>1.1335999999999999</v>
      </c>
    </row>
    <row r="78" spans="2:44">
      <c r="B78" s="565">
        <f t="shared" ca="1" si="34"/>
        <v>45429</v>
      </c>
      <c r="C78" s="561">
        <f ca="1">(IFERROR(IFERROR(VALUE(_xll.BDH(C$4,"CURRENT_EV_TO_T12M_EBITDA",$B78,$B78)),VALUE(_xll.BDH(C$4,"CURRENT_EV_TO_T12M_EBITDA",$B78+1,$B78+1))),C79))</f>
        <v>0</v>
      </c>
      <c r="D78" s="561">
        <f ca="1">(IFERROR(IFERROR(VALUE(_xll.BDH(D$4,"CURRENT_EV_TO_T12M_EBITDA",$B78,$B78)),VALUE(_xll.BDH(D$4,"CURRENT_EV_TO_T12M_EBITDA",$B78+1,$B78+1))),D79))</f>
        <v>0</v>
      </c>
      <c r="E78" s="561">
        <f ca="1">(IFERROR(IFERROR(VALUE(_xll.BDH(E$4,"CURRENT_EV_TO_T12M_EBITDA",$B78,$B78)),VALUE(_xll.BDH(E$4,"CURRENT_EV_TO_T12M_EBITDA",$B78+1,$B78+1))),E79))</f>
        <v>0</v>
      </c>
      <c r="F78" s="561">
        <f ca="1">(IFERROR(IFERROR(VALUE(_xll.BDH(F$4,"CURRENT_EV_TO_T12M_EBITDA",$B78,$B78)),VALUE(_xll.BDH(F$4,"CURRENT_EV_TO_T12M_EBITDA",$B78+1,$B78+1))),F79))</f>
        <v>0</v>
      </c>
      <c r="G78" s="561">
        <f ca="1">(IFERROR(IFERROR(VALUE(_xll.BDH(G$4,"CURRENT_EV_TO_T12M_EBITDA",$B78,$B78)),VALUE(_xll.BDH(G$4,"CURRENT_EV_TO_T12M_EBITDA",$B78+1,$B78+1))),G79))</f>
        <v>0</v>
      </c>
      <c r="H78" s="561">
        <f ca="1">(IFERROR(IFERROR(VALUE(_xll.BDH(H$4,"CURRENT_EV_TO_T12M_EBITDA",$B78,$B78)),VALUE(_xll.BDH(H$4,"CURRENT_EV_TO_T12M_EBITDA",$B78+1,$B78+1))),H79))</f>
        <v>0</v>
      </c>
      <c r="I78" s="565">
        <f t="shared" ca="1" si="24"/>
        <v>45429</v>
      </c>
      <c r="J78" s="561">
        <f ca="1">(IFERROR(IFERROR(VALUE(_xll.BDH(J$4,"PE_RATIO",$B78,$B78)),VALUE(_xll.BDH(J$4,"PE_RATIO",$B78+1,$B78+1))),J79))</f>
        <v>0</v>
      </c>
      <c r="K78" s="561">
        <f ca="1">(IFERROR(IFERROR(VALUE(_xll.BDH(K$4,"PE_RATIO",$B78,$B78)),VALUE(_xll.BDH(K$4,"PE_RATIO",$B78+1,$B78+1))),K79))</f>
        <v>0</v>
      </c>
      <c r="L78" s="561">
        <f ca="1">(IFERROR(IFERROR(VALUE(_xll.BDH(L$4,"PE_RATIO",$B78,$B78)),VALUE(_xll.BDH(L$4,"PE_RATIO",$B78+1,$B78+1))),L79))</f>
        <v>0</v>
      </c>
      <c r="M78" s="561">
        <f ca="1">(IFERROR(IFERROR(VALUE(_xll.BDH(M$4,"PE_RATIO",$B78,$B78)),VALUE(_xll.BDH(M$4,"PE_RATIO",$B78+1,$B78+1))),M79))</f>
        <v>0</v>
      </c>
      <c r="N78" s="561">
        <f ca="1">(IFERROR(IFERROR(VALUE(_xll.BDH(N$4,"PE_RATIO",$B78,$B78)),VALUE(_xll.BDH(N$4,"PE_RATIO",$B78+1,$B78+1))),N79))</f>
        <v>0</v>
      </c>
      <c r="O78" s="561">
        <f ca="1">(IFERROR(IFERROR(VALUE(_xll.BDH(O$4,"PE_RATIO",$B78,$B78)),VALUE(_xll.BDH(O$4,"PE_RATIO",$B78+1,$B78+1))),O79))</f>
        <v>0</v>
      </c>
      <c r="P78" s="561"/>
      <c r="Q78" s="565">
        <f t="shared" ca="1" si="25"/>
        <v>45429</v>
      </c>
      <c r="R78" s="4">
        <v>61.9</v>
      </c>
      <c r="S78" s="4">
        <v>5051.41</v>
      </c>
      <c r="T78" s="4">
        <v>265.39600000000002</v>
      </c>
      <c r="U78" s="4">
        <v>1.0226334049231784</v>
      </c>
      <c r="V78" s="4">
        <v>1.3849762426349426</v>
      </c>
      <c r="W78" s="4" t="e">
        <v>#DIV/0!</v>
      </c>
      <c r="Y78" s="561">
        <f t="shared" si="26"/>
        <v>61.9</v>
      </c>
      <c r="Z78" s="4">
        <f ca="1">IFERROR(VALUE(_xll.BDH(Z$4,"PX_LAST",$Q78,$Q78)),Z79)</f>
        <v>0</v>
      </c>
      <c r="AA78" s="4">
        <f ca="1">IFERROR(VALUE(_xll.BDH(AA$4,"PX_LAST",$Q78,$Q78)),AA79)</f>
        <v>0</v>
      </c>
      <c r="AB78" s="4">
        <f ca="1">IFERROR(VALUE(_xll.BDH(AB$4,"PX_LAST",$Q78,$Q78)),AB79)</f>
        <v>0</v>
      </c>
      <c r="AC78" s="4">
        <f ca="1">IFERROR(VALUE(_xll.BDH(AC$4,"PX_LAST",$Q78,$Q78)),AC79)</f>
        <v>0</v>
      </c>
      <c r="AD78" s="4">
        <f ca="1">IFERROR(VALUE(_xll.BDH(AD$4,"PX_LAST",$Q78,$Q78)),AD79)</f>
        <v>0</v>
      </c>
      <c r="AF78" s="4">
        <f t="shared" si="27"/>
        <v>1.0226334049231784</v>
      </c>
      <c r="AG78" s="4" t="e">
        <f t="shared" ca="1" si="28"/>
        <v>#DIV/0!</v>
      </c>
      <c r="AH78" s="4" t="e">
        <f t="shared" ca="1" si="29"/>
        <v>#DIV/0!</v>
      </c>
      <c r="AI78" s="4" t="e">
        <f t="shared" ca="1" si="30"/>
        <v>#DIV/0!</v>
      </c>
      <c r="AJ78" s="4" t="e">
        <f t="shared" ca="1" si="31"/>
        <v>#DIV/0!</v>
      </c>
      <c r="AK78" s="4" t="e">
        <f t="shared" ca="1" si="32"/>
        <v>#DIV/0!</v>
      </c>
      <c r="AM78" s="563">
        <f t="shared" ca="1" si="33"/>
        <v>45866</v>
      </c>
      <c r="AN78" s="564">
        <v>99.16</v>
      </c>
      <c r="AO78" s="564">
        <v>1849394</v>
      </c>
      <c r="AP78" s="564">
        <v>48539.625999999997</v>
      </c>
      <c r="AQ78" s="564">
        <v>4813189.3141599996</v>
      </c>
      <c r="AR78" s="564">
        <v>1.1335999999999999</v>
      </c>
    </row>
    <row r="79" spans="2:44">
      <c r="B79" s="565">
        <f t="shared" ca="1" si="34"/>
        <v>45422</v>
      </c>
      <c r="C79" s="561">
        <f ca="1">(IFERROR(IFERROR(VALUE(_xll.BDH(C$4,"CURRENT_EV_TO_T12M_EBITDA",$B79,$B79)),VALUE(_xll.BDH(C$4,"CURRENT_EV_TO_T12M_EBITDA",$B79+1,$B79+1))),C80))</f>
        <v>0</v>
      </c>
      <c r="D79" s="561">
        <f ca="1">(IFERROR(IFERROR(VALUE(_xll.BDH(D$4,"CURRENT_EV_TO_T12M_EBITDA",$B79,$B79)),VALUE(_xll.BDH(D$4,"CURRENT_EV_TO_T12M_EBITDA",$B79+1,$B79+1))),D80))</f>
        <v>0</v>
      </c>
      <c r="E79" s="561">
        <f ca="1">(IFERROR(IFERROR(VALUE(_xll.BDH(E$4,"CURRENT_EV_TO_T12M_EBITDA",$B79,$B79)),VALUE(_xll.BDH(E$4,"CURRENT_EV_TO_T12M_EBITDA",$B79+1,$B79+1))),E80))</f>
        <v>0</v>
      </c>
      <c r="F79" s="561">
        <f ca="1">(IFERROR(IFERROR(VALUE(_xll.BDH(F$4,"CURRENT_EV_TO_T12M_EBITDA",$B79,$B79)),VALUE(_xll.BDH(F$4,"CURRENT_EV_TO_T12M_EBITDA",$B79+1,$B79+1))),F80))</f>
        <v>0</v>
      </c>
      <c r="G79" s="561">
        <f ca="1">(IFERROR(IFERROR(VALUE(_xll.BDH(G$4,"CURRENT_EV_TO_T12M_EBITDA",$B79,$B79)),VALUE(_xll.BDH(G$4,"CURRENT_EV_TO_T12M_EBITDA",$B79+1,$B79+1))),G80))</f>
        <v>0</v>
      </c>
      <c r="H79" s="561">
        <f ca="1">(IFERROR(IFERROR(VALUE(_xll.BDH(H$4,"CURRENT_EV_TO_T12M_EBITDA",$B79,$B79)),VALUE(_xll.BDH(H$4,"CURRENT_EV_TO_T12M_EBITDA",$B79+1,$B79+1))),H80))</f>
        <v>0</v>
      </c>
      <c r="I79" s="565">
        <f t="shared" ca="1" si="24"/>
        <v>45422</v>
      </c>
      <c r="J79" s="561">
        <f ca="1">(IFERROR(IFERROR(VALUE(_xll.BDH(J$4,"PE_RATIO",$B79,$B79)),VALUE(_xll.BDH(J$4,"PE_RATIO",$B79+1,$B79+1))),J80))</f>
        <v>0</v>
      </c>
      <c r="K79" s="561">
        <f ca="1">(IFERROR(IFERROR(VALUE(_xll.BDH(K$4,"PE_RATIO",$B79,$B79)),VALUE(_xll.BDH(K$4,"PE_RATIO",$B79+1,$B79+1))),K80))</f>
        <v>0</v>
      </c>
      <c r="L79" s="561">
        <f ca="1">(IFERROR(IFERROR(VALUE(_xll.BDH(L$4,"PE_RATIO",$B79,$B79)),VALUE(_xll.BDH(L$4,"PE_RATIO",$B79+1,$B79+1))),L80))</f>
        <v>0</v>
      </c>
      <c r="M79" s="561">
        <f ca="1">(IFERROR(IFERROR(VALUE(_xll.BDH(M$4,"PE_RATIO",$B79,$B79)),VALUE(_xll.BDH(M$4,"PE_RATIO",$B79+1,$B79+1))),M80))</f>
        <v>0</v>
      </c>
      <c r="N79" s="561">
        <f ca="1">(IFERROR(IFERROR(VALUE(_xll.BDH(N$4,"PE_RATIO",$B79,$B79)),VALUE(_xll.BDH(N$4,"PE_RATIO",$B79+1,$B79+1))),N80))</f>
        <v>0</v>
      </c>
      <c r="O79" s="561">
        <f ca="1">(IFERROR(IFERROR(VALUE(_xll.BDH(O$4,"PE_RATIO",$B79,$B79)),VALUE(_xll.BDH(O$4,"PE_RATIO",$B79+1,$B79+1))),O80))</f>
        <v>0</v>
      </c>
      <c r="P79" s="561"/>
      <c r="Q79" s="565">
        <f t="shared" ca="1" si="25"/>
        <v>45422</v>
      </c>
      <c r="R79" s="4">
        <v>62.46</v>
      </c>
      <c r="S79" s="4">
        <v>5209.91</v>
      </c>
      <c r="T79" s="4">
        <v>265.39600000000002</v>
      </c>
      <c r="U79" s="4">
        <v>1.0318850156946968</v>
      </c>
      <c r="V79" s="4">
        <v>1.4284331654461258</v>
      </c>
      <c r="W79" s="4" t="e">
        <v>#DIV/0!</v>
      </c>
      <c r="Y79" s="561">
        <f t="shared" si="26"/>
        <v>62.46</v>
      </c>
      <c r="Z79" s="4">
        <f ca="1">IFERROR(VALUE(_xll.BDH(Z$4,"PX_LAST",$Q79,$Q79)),Z80)</f>
        <v>0</v>
      </c>
      <c r="AA79" s="4">
        <f ca="1">IFERROR(VALUE(_xll.BDH(AA$4,"PX_LAST",$Q79,$Q79)),AA80)</f>
        <v>0</v>
      </c>
      <c r="AB79" s="4">
        <f ca="1">IFERROR(VALUE(_xll.BDH(AB$4,"PX_LAST",$Q79,$Q79)),AB80)</f>
        <v>0</v>
      </c>
      <c r="AC79" s="4">
        <f ca="1">IFERROR(VALUE(_xll.BDH(AC$4,"PX_LAST",$Q79,$Q79)),AC80)</f>
        <v>0</v>
      </c>
      <c r="AD79" s="4">
        <f ca="1">IFERROR(VALUE(_xll.BDH(AD$4,"PX_LAST",$Q79,$Q79)),AD80)</f>
        <v>0</v>
      </c>
      <c r="AF79" s="4">
        <f t="shared" si="27"/>
        <v>1.0318850156946968</v>
      </c>
      <c r="AG79" s="4" t="e">
        <f t="shared" ca="1" si="28"/>
        <v>#DIV/0!</v>
      </c>
      <c r="AH79" s="4" t="e">
        <f t="shared" ca="1" si="29"/>
        <v>#DIV/0!</v>
      </c>
      <c r="AI79" s="4" t="e">
        <f t="shared" ca="1" si="30"/>
        <v>#DIV/0!</v>
      </c>
      <c r="AJ79" s="4" t="e">
        <f t="shared" ca="1" si="31"/>
        <v>#DIV/0!</v>
      </c>
      <c r="AK79" s="4" t="e">
        <f t="shared" ca="1" si="32"/>
        <v>#DIV/0!</v>
      </c>
      <c r="AM79" s="563">
        <f t="shared" ca="1" si="33"/>
        <v>45865</v>
      </c>
      <c r="AN79" s="564">
        <v>98.58</v>
      </c>
      <c r="AO79" s="564">
        <v>559247</v>
      </c>
      <c r="AP79" s="564">
        <v>48539.625999999997</v>
      </c>
      <c r="AQ79" s="564">
        <v>4785036.3310799999</v>
      </c>
      <c r="AR79" s="564">
        <v>1.1269</v>
      </c>
    </row>
    <row r="80" spans="2:44">
      <c r="B80" s="565">
        <f t="shared" ca="1" si="34"/>
        <v>45415</v>
      </c>
      <c r="C80" s="561">
        <f ca="1">(IFERROR(IFERROR(VALUE(_xll.BDH(C$4,"CURRENT_EV_TO_T12M_EBITDA",$B80,$B80)),VALUE(_xll.BDH(C$4,"CURRENT_EV_TO_T12M_EBITDA",$B80+1,$B80+1))),C81))</f>
        <v>0</v>
      </c>
      <c r="D80" s="561">
        <f ca="1">(IFERROR(IFERROR(VALUE(_xll.BDH(D$4,"CURRENT_EV_TO_T12M_EBITDA",$B80,$B80)),VALUE(_xll.BDH(D$4,"CURRENT_EV_TO_T12M_EBITDA",$B80+1,$B80+1))),D81))</f>
        <v>0</v>
      </c>
      <c r="E80" s="561">
        <f ca="1">(IFERROR(IFERROR(VALUE(_xll.BDH(E$4,"CURRENT_EV_TO_T12M_EBITDA",$B80,$B80)),VALUE(_xll.BDH(E$4,"CURRENT_EV_TO_T12M_EBITDA",$B80+1,$B80+1))),E81))</f>
        <v>0</v>
      </c>
      <c r="F80" s="561">
        <f ca="1">(IFERROR(IFERROR(VALUE(_xll.BDH(F$4,"CURRENT_EV_TO_T12M_EBITDA",$B80,$B80)),VALUE(_xll.BDH(F$4,"CURRENT_EV_TO_T12M_EBITDA",$B80+1,$B80+1))),F81))</f>
        <v>0</v>
      </c>
      <c r="G80" s="561">
        <f ca="1">(IFERROR(IFERROR(VALUE(_xll.BDH(G$4,"CURRENT_EV_TO_T12M_EBITDA",$B80,$B80)),VALUE(_xll.BDH(G$4,"CURRENT_EV_TO_T12M_EBITDA",$B80+1,$B80+1))),G81))</f>
        <v>0</v>
      </c>
      <c r="H80" s="561">
        <f ca="1">(IFERROR(IFERROR(VALUE(_xll.BDH(H$4,"CURRENT_EV_TO_T12M_EBITDA",$B80,$B80)),VALUE(_xll.BDH(H$4,"CURRENT_EV_TO_T12M_EBITDA",$B80+1,$B80+1))),H81))</f>
        <v>0</v>
      </c>
      <c r="I80" s="565">
        <f t="shared" ca="1" si="24"/>
        <v>45415</v>
      </c>
      <c r="J80" s="561">
        <f ca="1">(IFERROR(IFERROR(VALUE(_xll.BDH(J$4,"PE_RATIO",$B80,$B80)),VALUE(_xll.BDH(J$4,"PE_RATIO",$B80+1,$B80+1))),J81))</f>
        <v>0</v>
      </c>
      <c r="K80" s="561">
        <f ca="1">(IFERROR(IFERROR(VALUE(_xll.BDH(K$4,"PE_RATIO",$B80,$B80)),VALUE(_xll.BDH(K$4,"PE_RATIO",$B80+1,$B80+1))),K81))</f>
        <v>0</v>
      </c>
      <c r="L80" s="561">
        <f ca="1">(IFERROR(IFERROR(VALUE(_xll.BDH(L$4,"PE_RATIO",$B80,$B80)),VALUE(_xll.BDH(L$4,"PE_RATIO",$B80+1,$B80+1))),L81))</f>
        <v>0</v>
      </c>
      <c r="M80" s="561">
        <f ca="1">(IFERROR(IFERROR(VALUE(_xll.BDH(M$4,"PE_RATIO",$B80,$B80)),VALUE(_xll.BDH(M$4,"PE_RATIO",$B80+1,$B80+1))),M81))</f>
        <v>0</v>
      </c>
      <c r="N80" s="561">
        <f ca="1">(IFERROR(IFERROR(VALUE(_xll.BDH(N$4,"PE_RATIO",$B80,$B80)),VALUE(_xll.BDH(N$4,"PE_RATIO",$B80+1,$B80+1))),N81))</f>
        <v>0</v>
      </c>
      <c r="O80" s="561">
        <f ca="1">(IFERROR(IFERROR(VALUE(_xll.BDH(O$4,"PE_RATIO",$B80,$B80)),VALUE(_xll.BDH(O$4,"PE_RATIO",$B80+1,$B80+1))),O81))</f>
        <v>0</v>
      </c>
      <c r="P80" s="561"/>
      <c r="Q80" s="565">
        <f t="shared" ca="1" si="25"/>
        <v>45415</v>
      </c>
      <c r="R80" s="4">
        <v>58.91</v>
      </c>
      <c r="S80" s="4">
        <v>5205.8100000000004</v>
      </c>
      <c r="T80" s="4">
        <v>265.39600000000002</v>
      </c>
      <c r="U80" s="4">
        <v>0.97323641169667929</v>
      </c>
      <c r="V80" s="4">
        <v>1.4273090431525874</v>
      </c>
      <c r="W80" s="4" t="e">
        <v>#DIV/0!</v>
      </c>
      <c r="Y80" s="561">
        <f t="shared" si="26"/>
        <v>58.91</v>
      </c>
      <c r="Z80" s="4">
        <f ca="1">IFERROR(VALUE(_xll.BDH(Z$4,"PX_LAST",$Q80,$Q80)),Z81)</f>
        <v>0</v>
      </c>
      <c r="AA80" s="4">
        <f ca="1">IFERROR(VALUE(_xll.BDH(AA$4,"PX_LAST",$Q80,$Q80)),AA81)</f>
        <v>0</v>
      </c>
      <c r="AB80" s="4">
        <f ca="1">IFERROR(VALUE(_xll.BDH(AB$4,"PX_LAST",$Q80,$Q80)),AB81)</f>
        <v>0</v>
      </c>
      <c r="AC80" s="4">
        <f ca="1">IFERROR(VALUE(_xll.BDH(AC$4,"PX_LAST",$Q80,$Q80)),AC81)</f>
        <v>0</v>
      </c>
      <c r="AD80" s="4">
        <f ca="1">IFERROR(VALUE(_xll.BDH(AD$4,"PX_LAST",$Q80,$Q80)),AD81)</f>
        <v>0</v>
      </c>
      <c r="AF80" s="4">
        <f t="shared" si="27"/>
        <v>0.97323641169667929</v>
      </c>
      <c r="AG80" s="4" t="e">
        <f t="shared" ca="1" si="28"/>
        <v>#DIV/0!</v>
      </c>
      <c r="AH80" s="4" t="e">
        <f t="shared" ca="1" si="29"/>
        <v>#DIV/0!</v>
      </c>
      <c r="AI80" s="4" t="e">
        <f t="shared" ca="1" si="30"/>
        <v>#DIV/0!</v>
      </c>
      <c r="AJ80" s="4" t="e">
        <f t="shared" ca="1" si="31"/>
        <v>#DIV/0!</v>
      </c>
      <c r="AK80" s="4" t="e">
        <f t="shared" ca="1" si="32"/>
        <v>#DIV/0!</v>
      </c>
      <c r="AM80" s="563">
        <f t="shared" ca="1" si="33"/>
        <v>45864</v>
      </c>
      <c r="AN80" s="564">
        <v>99.34</v>
      </c>
      <c r="AO80" s="564">
        <v>751101</v>
      </c>
      <c r="AP80" s="564">
        <v>48539.625999999997</v>
      </c>
      <c r="AQ80" s="564">
        <v>4821926.4468399994</v>
      </c>
      <c r="AR80" s="564">
        <v>1.1355999999999999</v>
      </c>
    </row>
    <row r="81" spans="2:44">
      <c r="B81" s="565">
        <f t="shared" ca="1" si="34"/>
        <v>45408</v>
      </c>
      <c r="C81" s="561">
        <f ca="1">(IFERROR(IFERROR(VALUE(_xll.BDH(C$4,"CURRENT_EV_TO_T12M_EBITDA",$B81,$B81)),VALUE(_xll.BDH(C$4,"CURRENT_EV_TO_T12M_EBITDA",$B81+1,$B81+1))),C82))</f>
        <v>0</v>
      </c>
      <c r="D81" s="561">
        <f ca="1">(IFERROR(IFERROR(VALUE(_xll.BDH(D$4,"CURRENT_EV_TO_T12M_EBITDA",$B81,$B81)),VALUE(_xll.BDH(D$4,"CURRENT_EV_TO_T12M_EBITDA",$B81+1,$B81+1))),D82))</f>
        <v>0</v>
      </c>
      <c r="E81" s="561">
        <f ca="1">(IFERROR(IFERROR(VALUE(_xll.BDH(E$4,"CURRENT_EV_TO_T12M_EBITDA",$B81,$B81)),VALUE(_xll.BDH(E$4,"CURRENT_EV_TO_T12M_EBITDA",$B81+1,$B81+1))),E82))</f>
        <v>0</v>
      </c>
      <c r="F81" s="561">
        <f ca="1">(IFERROR(IFERROR(VALUE(_xll.BDH(F$4,"CURRENT_EV_TO_T12M_EBITDA",$B81,$B81)),VALUE(_xll.BDH(F$4,"CURRENT_EV_TO_T12M_EBITDA",$B81+1,$B81+1))),F82))</f>
        <v>0</v>
      </c>
      <c r="G81" s="561">
        <f ca="1">(IFERROR(IFERROR(VALUE(_xll.BDH(G$4,"CURRENT_EV_TO_T12M_EBITDA",$B81,$B81)),VALUE(_xll.BDH(G$4,"CURRENT_EV_TO_T12M_EBITDA",$B81+1,$B81+1))),G82))</f>
        <v>0</v>
      </c>
      <c r="H81" s="561">
        <f ca="1">(IFERROR(IFERROR(VALUE(_xll.BDH(H$4,"CURRENT_EV_TO_T12M_EBITDA",$B81,$B81)),VALUE(_xll.BDH(H$4,"CURRENT_EV_TO_T12M_EBITDA",$B81+1,$B81+1))),H82))</f>
        <v>0</v>
      </c>
      <c r="I81" s="565">
        <f t="shared" ca="1" si="24"/>
        <v>45408</v>
      </c>
      <c r="J81" s="561">
        <f ca="1">(IFERROR(IFERROR(VALUE(_xll.BDH(J$4,"PE_RATIO",$B81,$B81)),VALUE(_xll.BDH(J$4,"PE_RATIO",$B81+1,$B81+1))),J82))</f>
        <v>0</v>
      </c>
      <c r="K81" s="561">
        <f ca="1">(IFERROR(IFERROR(VALUE(_xll.BDH(K$4,"PE_RATIO",$B81,$B81)),VALUE(_xll.BDH(K$4,"PE_RATIO",$B81+1,$B81+1))),K82))</f>
        <v>0</v>
      </c>
      <c r="L81" s="561">
        <f ca="1">(IFERROR(IFERROR(VALUE(_xll.BDH(L$4,"PE_RATIO",$B81,$B81)),VALUE(_xll.BDH(L$4,"PE_RATIO",$B81+1,$B81+1))),L82))</f>
        <v>0</v>
      </c>
      <c r="M81" s="561">
        <f ca="1">(IFERROR(IFERROR(VALUE(_xll.BDH(M$4,"PE_RATIO",$B81,$B81)),VALUE(_xll.BDH(M$4,"PE_RATIO",$B81+1,$B81+1))),M82))</f>
        <v>0</v>
      </c>
      <c r="N81" s="561">
        <f ca="1">(IFERROR(IFERROR(VALUE(_xll.BDH(N$4,"PE_RATIO",$B81,$B81)),VALUE(_xll.BDH(N$4,"PE_RATIO",$B81+1,$B81+1))),N82))</f>
        <v>0</v>
      </c>
      <c r="O81" s="561">
        <f ca="1">(IFERROR(IFERROR(VALUE(_xll.BDH(O$4,"PE_RATIO",$B81,$B81)),VALUE(_xll.BDH(O$4,"PE_RATIO",$B81+1,$B81+1))),O82))</f>
        <v>0</v>
      </c>
      <c r="P81" s="561"/>
      <c r="Q81" s="565">
        <f t="shared" ca="1" si="25"/>
        <v>45408</v>
      </c>
      <c r="R81" s="4">
        <v>59.46</v>
      </c>
      <c r="S81" s="4">
        <v>5203.58</v>
      </c>
      <c r="T81" s="4">
        <v>265.39600000000002</v>
      </c>
      <c r="U81" s="4">
        <v>0.98232281513299191</v>
      </c>
      <c r="V81" s="4">
        <v>1.42669763029537</v>
      </c>
      <c r="W81" s="4" t="e">
        <v>#DIV/0!</v>
      </c>
      <c r="Y81" s="561">
        <f t="shared" si="26"/>
        <v>59.46</v>
      </c>
      <c r="Z81" s="4">
        <f ca="1">IFERROR(VALUE(_xll.BDH(Z$4,"PX_LAST",$Q81,$Q81)),Z82)</f>
        <v>0</v>
      </c>
      <c r="AA81" s="4">
        <f ca="1">IFERROR(VALUE(_xll.BDH(AA$4,"PX_LAST",$Q81,$Q81)),AA82)</f>
        <v>0</v>
      </c>
      <c r="AB81" s="4">
        <f ca="1">IFERROR(VALUE(_xll.BDH(AB$4,"PX_LAST",$Q81,$Q81)),AB82)</f>
        <v>0</v>
      </c>
      <c r="AC81" s="4">
        <f ca="1">IFERROR(VALUE(_xll.BDH(AC$4,"PX_LAST",$Q81,$Q81)),AC82)</f>
        <v>0</v>
      </c>
      <c r="AD81" s="4">
        <f ca="1">IFERROR(VALUE(_xll.BDH(AD$4,"PX_LAST",$Q81,$Q81)),AD82)</f>
        <v>0</v>
      </c>
      <c r="AF81" s="4">
        <f t="shared" si="27"/>
        <v>0.98232281513299191</v>
      </c>
      <c r="AG81" s="4" t="e">
        <f t="shared" ca="1" si="28"/>
        <v>#DIV/0!</v>
      </c>
      <c r="AH81" s="4" t="e">
        <f t="shared" ca="1" si="29"/>
        <v>#DIV/0!</v>
      </c>
      <c r="AI81" s="4" t="e">
        <f t="shared" ca="1" si="30"/>
        <v>#DIV/0!</v>
      </c>
      <c r="AJ81" s="4" t="e">
        <f t="shared" ca="1" si="31"/>
        <v>#DIV/0!</v>
      </c>
      <c r="AK81" s="4" t="e">
        <f t="shared" ca="1" si="32"/>
        <v>#DIV/0!</v>
      </c>
      <c r="AM81" s="563">
        <f t="shared" ca="1" si="33"/>
        <v>45863</v>
      </c>
      <c r="AN81" s="564">
        <v>101.86</v>
      </c>
      <c r="AO81" s="564">
        <v>801570</v>
      </c>
      <c r="AP81" s="564">
        <v>48539.625999999997</v>
      </c>
      <c r="AQ81" s="564">
        <v>4944246.3043599995</v>
      </c>
      <c r="AR81" s="564">
        <v>1.1644000000000001</v>
      </c>
    </row>
    <row r="82" spans="2:44">
      <c r="B82" s="565">
        <f t="shared" ca="1" si="34"/>
        <v>45401</v>
      </c>
      <c r="C82" s="561">
        <f ca="1">(IFERROR(IFERROR(VALUE(_xll.BDH(C$4,"CURRENT_EV_TO_T12M_EBITDA",$B82,$B82)),VALUE(_xll.BDH(C$4,"CURRENT_EV_TO_T12M_EBITDA",$B82+1,$B82+1))),C83))</f>
        <v>0</v>
      </c>
      <c r="D82" s="561">
        <f ca="1">(IFERROR(IFERROR(VALUE(_xll.BDH(D$4,"CURRENT_EV_TO_T12M_EBITDA",$B82,$B82)),VALUE(_xll.BDH(D$4,"CURRENT_EV_TO_T12M_EBITDA",$B82+1,$B82+1))),D83))</f>
        <v>0</v>
      </c>
      <c r="E82" s="561">
        <f ca="1">(IFERROR(IFERROR(VALUE(_xll.BDH(E$4,"CURRENT_EV_TO_T12M_EBITDA",$B82,$B82)),VALUE(_xll.BDH(E$4,"CURRENT_EV_TO_T12M_EBITDA",$B82+1,$B82+1))),E83))</f>
        <v>0</v>
      </c>
      <c r="F82" s="561">
        <f ca="1">(IFERROR(IFERROR(VALUE(_xll.BDH(F$4,"CURRENT_EV_TO_T12M_EBITDA",$B82,$B82)),VALUE(_xll.BDH(F$4,"CURRENT_EV_TO_T12M_EBITDA",$B82+1,$B82+1))),F83))</f>
        <v>0</v>
      </c>
      <c r="G82" s="561">
        <f ca="1">(IFERROR(IFERROR(VALUE(_xll.BDH(G$4,"CURRENT_EV_TO_T12M_EBITDA",$B82,$B82)),VALUE(_xll.BDH(G$4,"CURRENT_EV_TO_T12M_EBITDA",$B82+1,$B82+1))),G83))</f>
        <v>0</v>
      </c>
      <c r="H82" s="561">
        <f ca="1">(IFERROR(IFERROR(VALUE(_xll.BDH(H$4,"CURRENT_EV_TO_T12M_EBITDA",$B82,$B82)),VALUE(_xll.BDH(H$4,"CURRENT_EV_TO_T12M_EBITDA",$B82+1,$B82+1))),H83))</f>
        <v>0</v>
      </c>
      <c r="I82" s="565">
        <f t="shared" ca="1" si="24"/>
        <v>45401</v>
      </c>
      <c r="J82" s="561">
        <f ca="1">(IFERROR(IFERROR(VALUE(_xll.BDH(J$4,"PE_RATIO",$B82,$B82)),VALUE(_xll.BDH(J$4,"PE_RATIO",$B82+1,$B82+1))),J83))</f>
        <v>0</v>
      </c>
      <c r="K82" s="561">
        <f ca="1">(IFERROR(IFERROR(VALUE(_xll.BDH(K$4,"PE_RATIO",$B82,$B82)),VALUE(_xll.BDH(K$4,"PE_RATIO",$B82+1,$B82+1))),K83))</f>
        <v>0</v>
      </c>
      <c r="L82" s="561">
        <f ca="1">(IFERROR(IFERROR(VALUE(_xll.BDH(L$4,"PE_RATIO",$B82,$B82)),VALUE(_xll.BDH(L$4,"PE_RATIO",$B82+1,$B82+1))),L83))</f>
        <v>0</v>
      </c>
      <c r="M82" s="561">
        <f ca="1">(IFERROR(IFERROR(VALUE(_xll.BDH(M$4,"PE_RATIO",$B82,$B82)),VALUE(_xll.BDH(M$4,"PE_RATIO",$B82+1,$B82+1))),M83))</f>
        <v>0</v>
      </c>
      <c r="N82" s="561">
        <f ca="1">(IFERROR(IFERROR(VALUE(_xll.BDH(N$4,"PE_RATIO",$B82,$B82)),VALUE(_xll.BDH(N$4,"PE_RATIO",$B82+1,$B82+1))),N83))</f>
        <v>0</v>
      </c>
      <c r="O82" s="561">
        <f ca="1">(IFERROR(IFERROR(VALUE(_xll.BDH(O$4,"PE_RATIO",$B82,$B82)),VALUE(_xll.BDH(O$4,"PE_RATIO",$B82+1,$B82+1))),O83))</f>
        <v>0</v>
      </c>
      <c r="P82" s="561"/>
      <c r="Q82" s="565">
        <f t="shared" ca="1" si="25"/>
        <v>45401</v>
      </c>
      <c r="R82" s="4">
        <v>60.72</v>
      </c>
      <c r="S82" s="4">
        <v>5178.51</v>
      </c>
      <c r="T82" s="4">
        <v>265.39600000000002</v>
      </c>
      <c r="U82" s="4">
        <v>1.0031389393689079</v>
      </c>
      <c r="V82" s="4">
        <v>1.4198240337346359</v>
      </c>
      <c r="W82" s="4" t="e">
        <v>#DIV/0!</v>
      </c>
      <c r="Y82" s="561">
        <f t="shared" si="26"/>
        <v>60.72</v>
      </c>
      <c r="Z82" s="4">
        <f ca="1">IFERROR(VALUE(_xll.BDH(Z$4,"PX_LAST",$Q82,$Q82)),Z83)</f>
        <v>0</v>
      </c>
      <c r="AA82" s="4">
        <f ca="1">IFERROR(VALUE(_xll.BDH(AA$4,"PX_LAST",$Q82,$Q82)),AA83)</f>
        <v>0</v>
      </c>
      <c r="AB82" s="4">
        <f ca="1">IFERROR(VALUE(_xll.BDH(AB$4,"PX_LAST",$Q82,$Q82)),AB83)</f>
        <v>0</v>
      </c>
      <c r="AC82" s="4">
        <f ca="1">IFERROR(VALUE(_xll.BDH(AC$4,"PX_LAST",$Q82,$Q82)),AC83)</f>
        <v>0</v>
      </c>
      <c r="AD82" s="4">
        <f ca="1">IFERROR(VALUE(_xll.BDH(AD$4,"PX_LAST",$Q82,$Q82)),AD83)</f>
        <v>0</v>
      </c>
      <c r="AF82" s="4">
        <f t="shared" si="27"/>
        <v>1.0031389393689079</v>
      </c>
      <c r="AG82" s="4" t="e">
        <f t="shared" ca="1" si="28"/>
        <v>#DIV/0!</v>
      </c>
      <c r="AH82" s="4" t="e">
        <f t="shared" ca="1" si="29"/>
        <v>#DIV/0!</v>
      </c>
      <c r="AI82" s="4" t="e">
        <f t="shared" ca="1" si="30"/>
        <v>#DIV/0!</v>
      </c>
      <c r="AJ82" s="4" t="e">
        <f t="shared" ca="1" si="31"/>
        <v>#DIV/0!</v>
      </c>
      <c r="AK82" s="4" t="e">
        <f t="shared" ca="1" si="32"/>
        <v>#DIV/0!</v>
      </c>
      <c r="AM82" s="563">
        <f t="shared" ca="1" si="33"/>
        <v>45862</v>
      </c>
      <c r="AN82" s="564">
        <v>101.55</v>
      </c>
      <c r="AO82" s="564">
        <v>741222</v>
      </c>
      <c r="AP82" s="564">
        <v>48539.625999999997</v>
      </c>
      <c r="AQ82" s="564">
        <v>4929199.0203</v>
      </c>
      <c r="AR82" s="564">
        <v>1.1609</v>
      </c>
    </row>
    <row r="83" spans="2:44">
      <c r="B83" s="565">
        <f t="shared" ca="1" si="34"/>
        <v>45394</v>
      </c>
      <c r="C83" s="561">
        <f ca="1">(IFERROR(IFERROR(VALUE(_xll.BDH(C$4,"CURRENT_EV_TO_T12M_EBITDA",$B83,$B83)),VALUE(_xll.BDH(C$4,"CURRENT_EV_TO_T12M_EBITDA",$B83+1,$B83+1))),C84))</f>
        <v>0</v>
      </c>
      <c r="D83" s="561">
        <f ca="1">(IFERROR(IFERROR(VALUE(_xll.BDH(D$4,"CURRENT_EV_TO_T12M_EBITDA",$B83,$B83)),VALUE(_xll.BDH(D$4,"CURRENT_EV_TO_T12M_EBITDA",$B83+1,$B83+1))),D84))</f>
        <v>0</v>
      </c>
      <c r="E83" s="561">
        <f ca="1">(IFERROR(IFERROR(VALUE(_xll.BDH(E$4,"CURRENT_EV_TO_T12M_EBITDA",$B83,$B83)),VALUE(_xll.BDH(E$4,"CURRENT_EV_TO_T12M_EBITDA",$B83+1,$B83+1))),E84))</f>
        <v>0</v>
      </c>
      <c r="F83" s="561">
        <f ca="1">(IFERROR(IFERROR(VALUE(_xll.BDH(F$4,"CURRENT_EV_TO_T12M_EBITDA",$B83,$B83)),VALUE(_xll.BDH(F$4,"CURRENT_EV_TO_T12M_EBITDA",$B83+1,$B83+1))),F84))</f>
        <v>0</v>
      </c>
      <c r="G83" s="561">
        <f ca="1">(IFERROR(IFERROR(VALUE(_xll.BDH(G$4,"CURRENT_EV_TO_T12M_EBITDA",$B83,$B83)),VALUE(_xll.BDH(G$4,"CURRENT_EV_TO_T12M_EBITDA",$B83+1,$B83+1))),G84))</f>
        <v>0</v>
      </c>
      <c r="H83" s="561">
        <f ca="1">(IFERROR(IFERROR(VALUE(_xll.BDH(H$4,"CURRENT_EV_TO_T12M_EBITDA",$B83,$B83)),VALUE(_xll.BDH(H$4,"CURRENT_EV_TO_T12M_EBITDA",$B83+1,$B83+1))),H84))</f>
        <v>0</v>
      </c>
      <c r="I83" s="565">
        <f t="shared" ca="1" si="24"/>
        <v>45394</v>
      </c>
      <c r="J83" s="561">
        <f ca="1">(IFERROR(IFERROR(VALUE(_xll.BDH(J$4,"PE_RATIO",$B83,$B83)),VALUE(_xll.BDH(J$4,"PE_RATIO",$B83+1,$B83+1))),J84))</f>
        <v>0</v>
      </c>
      <c r="K83" s="561">
        <f ca="1">(IFERROR(IFERROR(VALUE(_xll.BDH(K$4,"PE_RATIO",$B83,$B83)),VALUE(_xll.BDH(K$4,"PE_RATIO",$B83+1,$B83+1))),K84))</f>
        <v>0</v>
      </c>
      <c r="L83" s="561">
        <f ca="1">(IFERROR(IFERROR(VALUE(_xll.BDH(L$4,"PE_RATIO",$B83,$B83)),VALUE(_xll.BDH(L$4,"PE_RATIO",$B83+1,$B83+1))),L84))</f>
        <v>0</v>
      </c>
      <c r="M83" s="561">
        <f ca="1">(IFERROR(IFERROR(VALUE(_xll.BDH(M$4,"PE_RATIO",$B83,$B83)),VALUE(_xll.BDH(M$4,"PE_RATIO",$B83+1,$B83+1))),M84))</f>
        <v>0</v>
      </c>
      <c r="N83" s="561">
        <f ca="1">(IFERROR(IFERROR(VALUE(_xll.BDH(N$4,"PE_RATIO",$B83,$B83)),VALUE(_xll.BDH(N$4,"PE_RATIO",$B83+1,$B83+1))),N84))</f>
        <v>0</v>
      </c>
      <c r="O83" s="561">
        <f ca="1">(IFERROR(IFERROR(VALUE(_xll.BDH(O$4,"PE_RATIO",$B83,$B83)),VALUE(_xll.BDH(O$4,"PE_RATIO",$B83+1,$B83+1))),O84))</f>
        <v>0</v>
      </c>
      <c r="P83" s="561"/>
      <c r="Q83" s="565">
        <f t="shared" ca="1" si="25"/>
        <v>45394</v>
      </c>
      <c r="R83" s="4">
        <v>59.34</v>
      </c>
      <c r="S83" s="4">
        <v>5175.2700000000004</v>
      </c>
      <c r="T83" s="4">
        <v>265.39600000000002</v>
      </c>
      <c r="U83" s="4">
        <v>0.98034032711052377</v>
      </c>
      <c r="V83" s="4">
        <v>1.4189357029465715</v>
      </c>
      <c r="W83" s="4" t="e">
        <v>#DIV/0!</v>
      </c>
      <c r="Y83" s="561">
        <f t="shared" si="26"/>
        <v>59.34</v>
      </c>
      <c r="Z83" s="4">
        <f ca="1">IFERROR(VALUE(_xll.BDH(Z$4,"PX_LAST",$Q83,$Q83)),Z84)</f>
        <v>0</v>
      </c>
      <c r="AA83" s="4">
        <f ca="1">IFERROR(VALUE(_xll.BDH(AA$4,"PX_LAST",$Q83,$Q83)),AA84)</f>
        <v>0</v>
      </c>
      <c r="AB83" s="4">
        <f ca="1">IFERROR(VALUE(_xll.BDH(AB$4,"PX_LAST",$Q83,$Q83)),AB84)</f>
        <v>0</v>
      </c>
      <c r="AC83" s="4">
        <f ca="1">IFERROR(VALUE(_xll.BDH(AC$4,"PX_LAST",$Q83,$Q83)),AC84)</f>
        <v>0</v>
      </c>
      <c r="AD83" s="4">
        <f ca="1">IFERROR(VALUE(_xll.BDH(AD$4,"PX_LAST",$Q83,$Q83)),AD84)</f>
        <v>0</v>
      </c>
      <c r="AF83" s="4">
        <f t="shared" si="27"/>
        <v>0.98034032711052377</v>
      </c>
      <c r="AG83" s="4" t="e">
        <f t="shared" ca="1" si="28"/>
        <v>#DIV/0!</v>
      </c>
      <c r="AH83" s="4" t="e">
        <f t="shared" ca="1" si="29"/>
        <v>#DIV/0!</v>
      </c>
      <c r="AI83" s="4" t="e">
        <f t="shared" ca="1" si="30"/>
        <v>#DIV/0!</v>
      </c>
      <c r="AJ83" s="4" t="e">
        <f t="shared" ca="1" si="31"/>
        <v>#DIV/0!</v>
      </c>
      <c r="AK83" s="4" t="e">
        <f t="shared" ca="1" si="32"/>
        <v>#DIV/0!</v>
      </c>
      <c r="AM83" s="563">
        <f t="shared" ca="1" si="33"/>
        <v>45861</v>
      </c>
      <c r="AN83" s="564">
        <v>102.1</v>
      </c>
      <c r="AO83" s="564">
        <v>1419838</v>
      </c>
      <c r="AP83" s="564">
        <v>48539.625999999997</v>
      </c>
      <c r="AQ83" s="564">
        <v>4955895.8145999992</v>
      </c>
      <c r="AR83" s="564">
        <v>1.1672</v>
      </c>
    </row>
    <row r="84" spans="2:44">
      <c r="B84" s="565">
        <f t="shared" ca="1" si="34"/>
        <v>45387</v>
      </c>
      <c r="C84" s="561">
        <f ca="1">(IFERROR(IFERROR(VALUE(_xll.BDH(C$4,"CURRENT_EV_TO_T12M_EBITDA",$B84,$B84)),VALUE(_xll.BDH(C$4,"CURRENT_EV_TO_T12M_EBITDA",$B84+1,$B84+1))),C85))</f>
        <v>0</v>
      </c>
      <c r="D84" s="561">
        <f ca="1">(IFERROR(IFERROR(VALUE(_xll.BDH(D$4,"CURRENT_EV_TO_T12M_EBITDA",$B84,$B84)),VALUE(_xll.BDH(D$4,"CURRENT_EV_TO_T12M_EBITDA",$B84+1,$B84+1))),D85))</f>
        <v>0</v>
      </c>
      <c r="E84" s="561">
        <f ca="1">(IFERROR(IFERROR(VALUE(_xll.BDH(E$4,"CURRENT_EV_TO_T12M_EBITDA",$B84,$B84)),VALUE(_xll.BDH(E$4,"CURRENT_EV_TO_T12M_EBITDA",$B84+1,$B84+1))),E85))</f>
        <v>0</v>
      </c>
      <c r="F84" s="561">
        <f ca="1">(IFERROR(IFERROR(VALUE(_xll.BDH(F$4,"CURRENT_EV_TO_T12M_EBITDA",$B84,$B84)),VALUE(_xll.BDH(F$4,"CURRENT_EV_TO_T12M_EBITDA",$B84+1,$B84+1))),F85))</f>
        <v>0</v>
      </c>
      <c r="G84" s="561">
        <f ca="1">(IFERROR(IFERROR(VALUE(_xll.BDH(G$4,"CURRENT_EV_TO_T12M_EBITDA",$B84,$B84)),VALUE(_xll.BDH(G$4,"CURRENT_EV_TO_T12M_EBITDA",$B84+1,$B84+1))),G85))</f>
        <v>0</v>
      </c>
      <c r="H84" s="561">
        <f ca="1">(IFERROR(IFERROR(VALUE(_xll.BDH(H$4,"CURRENT_EV_TO_T12M_EBITDA",$B84,$B84)),VALUE(_xll.BDH(H$4,"CURRENT_EV_TO_T12M_EBITDA",$B84+1,$B84+1))),H85))</f>
        <v>0</v>
      </c>
      <c r="I84" s="565">
        <f t="shared" ca="1" si="24"/>
        <v>45387</v>
      </c>
      <c r="J84" s="561">
        <f ca="1">(IFERROR(IFERROR(VALUE(_xll.BDH(J$4,"PE_RATIO",$B84,$B84)),VALUE(_xll.BDH(J$4,"PE_RATIO",$B84+1,$B84+1))),J85))</f>
        <v>0</v>
      </c>
      <c r="K84" s="561">
        <f ca="1">(IFERROR(IFERROR(VALUE(_xll.BDH(K$4,"PE_RATIO",$B84,$B84)),VALUE(_xll.BDH(K$4,"PE_RATIO",$B84+1,$B84+1))),K85))</f>
        <v>0</v>
      </c>
      <c r="L84" s="561">
        <f ca="1">(IFERROR(IFERROR(VALUE(_xll.BDH(L$4,"PE_RATIO",$B84,$B84)),VALUE(_xll.BDH(L$4,"PE_RATIO",$B84+1,$B84+1))),L85))</f>
        <v>0</v>
      </c>
      <c r="M84" s="561">
        <f ca="1">(IFERROR(IFERROR(VALUE(_xll.BDH(M$4,"PE_RATIO",$B84,$B84)),VALUE(_xll.BDH(M$4,"PE_RATIO",$B84+1,$B84+1))),M85))</f>
        <v>0</v>
      </c>
      <c r="N84" s="561">
        <f ca="1">(IFERROR(IFERROR(VALUE(_xll.BDH(N$4,"PE_RATIO",$B84,$B84)),VALUE(_xll.BDH(N$4,"PE_RATIO",$B84+1,$B84+1))),N85))</f>
        <v>0</v>
      </c>
      <c r="O84" s="561">
        <f ca="1">(IFERROR(IFERROR(VALUE(_xll.BDH(O$4,"PE_RATIO",$B84,$B84)),VALUE(_xll.BDH(O$4,"PE_RATIO",$B84+1,$B84+1))),O85))</f>
        <v>0</v>
      </c>
      <c r="P84" s="561"/>
      <c r="Q84" s="565">
        <f t="shared" ca="1" si="25"/>
        <v>45387</v>
      </c>
      <c r="R84" s="4">
        <v>56.85</v>
      </c>
      <c r="S84" s="4">
        <v>5078.6499999999996</v>
      </c>
      <c r="T84" s="4">
        <v>265.39600000000002</v>
      </c>
      <c r="U84" s="4">
        <v>0.93920370064430858</v>
      </c>
      <c r="V84" s="4">
        <v>1.3924448014827446</v>
      </c>
      <c r="W84" s="4" t="e">
        <v>#DIV/0!</v>
      </c>
      <c r="Y84" s="561">
        <f t="shared" si="26"/>
        <v>56.85</v>
      </c>
      <c r="Z84" s="4">
        <f ca="1">IFERROR(VALUE(_xll.BDH(Z$4,"PX_LAST",$Q84,$Q84)),Z85)</f>
        <v>0</v>
      </c>
      <c r="AA84" s="4">
        <f ca="1">IFERROR(VALUE(_xll.BDH(AA$4,"PX_LAST",$Q84,$Q84)),AA85)</f>
        <v>0</v>
      </c>
      <c r="AB84" s="4">
        <f ca="1">IFERROR(VALUE(_xll.BDH(AB$4,"PX_LAST",$Q84,$Q84)),AB85)</f>
        <v>0</v>
      </c>
      <c r="AC84" s="4">
        <f ca="1">IFERROR(VALUE(_xll.BDH(AC$4,"PX_LAST",$Q84,$Q84)),AC85)</f>
        <v>0</v>
      </c>
      <c r="AD84" s="4">
        <f ca="1">IFERROR(VALUE(_xll.BDH(AD$4,"PX_LAST",$Q84,$Q84)),AD85)</f>
        <v>0</v>
      </c>
      <c r="AF84" s="4">
        <f t="shared" si="27"/>
        <v>0.93920370064430858</v>
      </c>
      <c r="AG84" s="4" t="e">
        <f t="shared" ca="1" si="28"/>
        <v>#DIV/0!</v>
      </c>
      <c r="AH84" s="4" t="e">
        <f t="shared" ca="1" si="29"/>
        <v>#DIV/0!</v>
      </c>
      <c r="AI84" s="4" t="e">
        <f t="shared" ca="1" si="30"/>
        <v>#DIV/0!</v>
      </c>
      <c r="AJ84" s="4" t="e">
        <f t="shared" ca="1" si="31"/>
        <v>#DIV/0!</v>
      </c>
      <c r="AK84" s="4" t="e">
        <f t="shared" ca="1" si="32"/>
        <v>#DIV/0!</v>
      </c>
      <c r="AM84" s="563">
        <f t="shared" ca="1" si="33"/>
        <v>45860</v>
      </c>
      <c r="AN84" s="564">
        <v>102.1</v>
      </c>
      <c r="AO84" s="564">
        <v>1419838</v>
      </c>
      <c r="AP84" s="564">
        <v>48539.625999999997</v>
      </c>
      <c r="AQ84" s="564">
        <v>4955895.8145999992</v>
      </c>
      <c r="AR84" s="564">
        <v>1.1672</v>
      </c>
    </row>
    <row r="85" spans="2:44">
      <c r="B85" s="565">
        <f t="shared" ca="1" si="34"/>
        <v>45380</v>
      </c>
      <c r="C85" s="561">
        <f ca="1">(IFERROR(IFERROR(VALUE(_xll.BDH(C$4,"CURRENT_EV_TO_T12M_EBITDA",$B85,$B85)),VALUE(_xll.BDH(C$4,"CURRENT_EV_TO_T12M_EBITDA",$B85+1,$B85+1))),C86))</f>
        <v>0</v>
      </c>
      <c r="D85" s="561">
        <f ca="1">(IFERROR(IFERROR(VALUE(_xll.BDH(D$4,"CURRENT_EV_TO_T12M_EBITDA",$B85,$B85)),VALUE(_xll.BDH(D$4,"CURRENT_EV_TO_T12M_EBITDA",$B85+1,$B85+1))),D86))</f>
        <v>0</v>
      </c>
      <c r="E85" s="561">
        <f ca="1">(IFERROR(IFERROR(VALUE(_xll.BDH(E$4,"CURRENT_EV_TO_T12M_EBITDA",$B85,$B85)),VALUE(_xll.BDH(E$4,"CURRENT_EV_TO_T12M_EBITDA",$B85+1,$B85+1))),E86))</f>
        <v>0</v>
      </c>
      <c r="F85" s="561">
        <f ca="1">(IFERROR(IFERROR(VALUE(_xll.BDH(F$4,"CURRENT_EV_TO_T12M_EBITDA",$B85,$B85)),VALUE(_xll.BDH(F$4,"CURRENT_EV_TO_T12M_EBITDA",$B85+1,$B85+1))),F86))</f>
        <v>0</v>
      </c>
      <c r="G85" s="561">
        <f ca="1">(IFERROR(IFERROR(VALUE(_xll.BDH(G$4,"CURRENT_EV_TO_T12M_EBITDA",$B85,$B85)),VALUE(_xll.BDH(G$4,"CURRENT_EV_TO_T12M_EBITDA",$B85+1,$B85+1))),G86))</f>
        <v>0</v>
      </c>
      <c r="H85" s="561">
        <f ca="1">(IFERROR(IFERROR(VALUE(_xll.BDH(H$4,"CURRENT_EV_TO_T12M_EBITDA",$B85,$B85)),VALUE(_xll.BDH(H$4,"CURRENT_EV_TO_T12M_EBITDA",$B85+1,$B85+1))),H86))</f>
        <v>0</v>
      </c>
      <c r="I85" s="565">
        <f t="shared" ca="1" si="24"/>
        <v>45380</v>
      </c>
      <c r="J85" s="561">
        <f ca="1">(IFERROR(IFERROR(VALUE(_xll.BDH(J$4,"PE_RATIO",$B85,$B85)),VALUE(_xll.BDH(J$4,"PE_RATIO",$B85+1,$B85+1))),J86))</f>
        <v>0</v>
      </c>
      <c r="K85" s="561">
        <f ca="1">(IFERROR(IFERROR(VALUE(_xll.BDH(K$4,"PE_RATIO",$B85,$B85)),VALUE(_xll.BDH(K$4,"PE_RATIO",$B85+1,$B85+1))),K86))</f>
        <v>0</v>
      </c>
      <c r="L85" s="561">
        <f ca="1">(IFERROR(IFERROR(VALUE(_xll.BDH(L$4,"PE_RATIO",$B85,$B85)),VALUE(_xll.BDH(L$4,"PE_RATIO",$B85+1,$B85+1))),L86))</f>
        <v>0</v>
      </c>
      <c r="M85" s="561">
        <f ca="1">(IFERROR(IFERROR(VALUE(_xll.BDH(M$4,"PE_RATIO",$B85,$B85)),VALUE(_xll.BDH(M$4,"PE_RATIO",$B85+1,$B85+1))),M86))</f>
        <v>0</v>
      </c>
      <c r="N85" s="561">
        <f ca="1">(IFERROR(IFERROR(VALUE(_xll.BDH(N$4,"PE_RATIO",$B85,$B85)),VALUE(_xll.BDH(N$4,"PE_RATIO",$B85+1,$B85+1))),N86))</f>
        <v>0</v>
      </c>
      <c r="O85" s="561">
        <f ca="1">(IFERROR(IFERROR(VALUE(_xll.BDH(O$4,"PE_RATIO",$B85,$B85)),VALUE(_xll.BDH(O$4,"PE_RATIO",$B85+1,$B85+1))),O86))</f>
        <v>0</v>
      </c>
      <c r="P85" s="561"/>
      <c r="Q85" s="565">
        <f t="shared" ca="1" si="25"/>
        <v>45380</v>
      </c>
      <c r="R85" s="4">
        <v>57.95</v>
      </c>
      <c r="S85" s="4">
        <v>5078.18</v>
      </c>
      <c r="T85" s="4">
        <v>265.39600000000002</v>
      </c>
      <c r="U85" s="4">
        <v>0.95737650751693382</v>
      </c>
      <c r="V85" s="4">
        <v>1.3923159386832415</v>
      </c>
      <c r="W85" s="4" t="e">
        <v>#DIV/0!</v>
      </c>
      <c r="Y85" s="561">
        <f t="shared" si="26"/>
        <v>57.95</v>
      </c>
      <c r="Z85" s="4">
        <f ca="1">IFERROR(VALUE(_xll.BDH(Z$4,"PX_LAST",$Q85,$Q85)),Z86)</f>
        <v>0</v>
      </c>
      <c r="AA85" s="4">
        <f ca="1">IFERROR(VALUE(_xll.BDH(AA$4,"PX_LAST",$Q85,$Q85)),AA86)</f>
        <v>0</v>
      </c>
      <c r="AB85" s="4">
        <f ca="1">IFERROR(VALUE(_xll.BDH(AB$4,"PX_LAST",$Q85,$Q85)),AB86)</f>
        <v>0</v>
      </c>
      <c r="AC85" s="4">
        <f ca="1">IFERROR(VALUE(_xll.BDH(AC$4,"PX_LAST",$Q85,$Q85)),AC86)</f>
        <v>0</v>
      </c>
      <c r="AD85" s="4">
        <f ca="1">IFERROR(VALUE(_xll.BDH(AD$4,"PX_LAST",$Q85,$Q85)),AD86)</f>
        <v>0</v>
      </c>
      <c r="AF85" s="4">
        <f t="shared" si="27"/>
        <v>0.95737650751693382</v>
      </c>
      <c r="AG85" s="4" t="e">
        <f t="shared" ca="1" si="28"/>
        <v>#DIV/0!</v>
      </c>
      <c r="AH85" s="4" t="e">
        <f t="shared" ca="1" si="29"/>
        <v>#DIV/0!</v>
      </c>
      <c r="AI85" s="4" t="e">
        <f t="shared" ca="1" si="30"/>
        <v>#DIV/0!</v>
      </c>
      <c r="AJ85" s="4" t="e">
        <f t="shared" ca="1" si="31"/>
        <v>#DIV/0!</v>
      </c>
      <c r="AK85" s="4" t="e">
        <f t="shared" ca="1" si="32"/>
        <v>#DIV/0!</v>
      </c>
      <c r="AM85" s="563">
        <f t="shared" ca="1" si="33"/>
        <v>45859</v>
      </c>
      <c r="AN85" s="564">
        <v>102.1</v>
      </c>
      <c r="AO85" s="564">
        <v>1419838</v>
      </c>
      <c r="AP85" s="564">
        <v>48539.625999999997</v>
      </c>
      <c r="AQ85" s="564">
        <v>4955895.8145999992</v>
      </c>
      <c r="AR85" s="564">
        <v>1.1672</v>
      </c>
    </row>
    <row r="86" spans="2:44">
      <c r="B86" s="565">
        <f t="shared" ca="1" si="34"/>
        <v>45373</v>
      </c>
      <c r="C86" s="561">
        <f ca="1">(IFERROR(IFERROR(VALUE(_xll.BDH(C$4,"CURRENT_EV_TO_T12M_EBITDA",$B86,$B86)),VALUE(_xll.BDH(C$4,"CURRENT_EV_TO_T12M_EBITDA",$B86+1,$B86+1))),C87))</f>
        <v>0</v>
      </c>
      <c r="D86" s="561">
        <f ca="1">(IFERROR(IFERROR(VALUE(_xll.BDH(D$4,"CURRENT_EV_TO_T12M_EBITDA",$B86,$B86)),VALUE(_xll.BDH(D$4,"CURRENT_EV_TO_T12M_EBITDA",$B86+1,$B86+1))),D87))</f>
        <v>0</v>
      </c>
      <c r="E86" s="561">
        <f ca="1">(IFERROR(IFERROR(VALUE(_xll.BDH(E$4,"CURRENT_EV_TO_T12M_EBITDA",$B86,$B86)),VALUE(_xll.BDH(E$4,"CURRENT_EV_TO_T12M_EBITDA",$B86+1,$B86+1))),E87))</f>
        <v>0</v>
      </c>
      <c r="F86" s="561">
        <f ca="1">(IFERROR(IFERROR(VALUE(_xll.BDH(F$4,"CURRENT_EV_TO_T12M_EBITDA",$B86,$B86)),VALUE(_xll.BDH(F$4,"CURRENT_EV_TO_T12M_EBITDA",$B86+1,$B86+1))),F87))</f>
        <v>0</v>
      </c>
      <c r="G86" s="561">
        <f ca="1">(IFERROR(IFERROR(VALUE(_xll.BDH(G$4,"CURRENT_EV_TO_T12M_EBITDA",$B86,$B86)),VALUE(_xll.BDH(G$4,"CURRENT_EV_TO_T12M_EBITDA",$B86+1,$B86+1))),G87))</f>
        <v>0</v>
      </c>
      <c r="H86" s="561">
        <f ca="1">(IFERROR(IFERROR(VALUE(_xll.BDH(H$4,"CURRENT_EV_TO_T12M_EBITDA",$B86,$B86)),VALUE(_xll.BDH(H$4,"CURRENT_EV_TO_T12M_EBITDA",$B86+1,$B86+1))),H87))</f>
        <v>0</v>
      </c>
      <c r="I86" s="565">
        <f t="shared" ca="1" si="24"/>
        <v>45373</v>
      </c>
      <c r="J86" s="561">
        <f ca="1">(IFERROR(IFERROR(VALUE(_xll.BDH(J$4,"PE_RATIO",$B86,$B86)),VALUE(_xll.BDH(J$4,"PE_RATIO",$B86+1,$B86+1))),J87))</f>
        <v>0</v>
      </c>
      <c r="K86" s="561">
        <f ca="1">(IFERROR(IFERROR(VALUE(_xll.BDH(K$4,"PE_RATIO",$B86,$B86)),VALUE(_xll.BDH(K$4,"PE_RATIO",$B86+1,$B86+1))),K87))</f>
        <v>0</v>
      </c>
      <c r="L86" s="561">
        <f ca="1">(IFERROR(IFERROR(VALUE(_xll.BDH(L$4,"PE_RATIO",$B86,$B86)),VALUE(_xll.BDH(L$4,"PE_RATIO",$B86+1,$B86+1))),L87))</f>
        <v>0</v>
      </c>
      <c r="M86" s="561">
        <f ca="1">(IFERROR(IFERROR(VALUE(_xll.BDH(M$4,"PE_RATIO",$B86,$B86)),VALUE(_xll.BDH(M$4,"PE_RATIO",$B86+1,$B86+1))),M87))</f>
        <v>0</v>
      </c>
      <c r="N86" s="561">
        <f ca="1">(IFERROR(IFERROR(VALUE(_xll.BDH(N$4,"PE_RATIO",$B86,$B86)),VALUE(_xll.BDH(N$4,"PE_RATIO",$B86+1,$B86+1))),N87))</f>
        <v>0</v>
      </c>
      <c r="O86" s="561">
        <f ca="1">(IFERROR(IFERROR(VALUE(_xll.BDH(O$4,"PE_RATIO",$B86,$B86)),VALUE(_xll.BDH(O$4,"PE_RATIO",$B86+1,$B86+1))),O87))</f>
        <v>0</v>
      </c>
      <c r="P86" s="561"/>
      <c r="Q86" s="565">
        <f t="shared" ca="1" si="25"/>
        <v>45373</v>
      </c>
      <c r="R86" s="4">
        <v>58.32</v>
      </c>
      <c r="S86" s="4">
        <v>4975.51</v>
      </c>
      <c r="T86" s="4">
        <v>265.39600000000002</v>
      </c>
      <c r="U86" s="4">
        <v>0.963489178919544</v>
      </c>
      <c r="V86" s="4">
        <v>1.364166271396023</v>
      </c>
      <c r="W86" s="4" t="e">
        <v>#DIV/0!</v>
      </c>
      <c r="Y86" s="561">
        <f t="shared" si="26"/>
        <v>58.32</v>
      </c>
      <c r="Z86" s="4">
        <f ca="1">IFERROR(VALUE(_xll.BDH(Z$4,"PX_LAST",$Q86,$Q86)),Z87)</f>
        <v>0</v>
      </c>
      <c r="AA86" s="4">
        <f ca="1">IFERROR(VALUE(_xll.BDH(AA$4,"PX_LAST",$Q86,$Q86)),AA87)</f>
        <v>0</v>
      </c>
      <c r="AB86" s="4">
        <f ca="1">IFERROR(VALUE(_xll.BDH(AB$4,"PX_LAST",$Q86,$Q86)),AB87)</f>
        <v>0</v>
      </c>
      <c r="AC86" s="4">
        <f ca="1">IFERROR(VALUE(_xll.BDH(AC$4,"PX_LAST",$Q86,$Q86)),AC87)</f>
        <v>0</v>
      </c>
      <c r="AD86" s="4">
        <f ca="1">IFERROR(VALUE(_xll.BDH(AD$4,"PX_LAST",$Q86,$Q86)),AD87)</f>
        <v>0</v>
      </c>
      <c r="AF86" s="4">
        <f t="shared" si="27"/>
        <v>0.963489178919544</v>
      </c>
      <c r="AG86" s="4" t="e">
        <f t="shared" ca="1" si="28"/>
        <v>#DIV/0!</v>
      </c>
      <c r="AH86" s="4" t="e">
        <f t="shared" ca="1" si="29"/>
        <v>#DIV/0!</v>
      </c>
      <c r="AI86" s="4" t="e">
        <f t="shared" ca="1" si="30"/>
        <v>#DIV/0!</v>
      </c>
      <c r="AJ86" s="4" t="e">
        <f t="shared" ca="1" si="31"/>
        <v>#DIV/0!</v>
      </c>
      <c r="AK86" s="4" t="e">
        <f t="shared" ca="1" si="32"/>
        <v>#DIV/0!</v>
      </c>
      <c r="AM86" s="563">
        <f t="shared" ca="1" si="33"/>
        <v>45858</v>
      </c>
      <c r="AN86" s="564">
        <v>103.07</v>
      </c>
      <c r="AO86" s="564">
        <v>783656</v>
      </c>
      <c r="AP86" s="564">
        <v>48539.625999999997</v>
      </c>
      <c r="AQ86" s="564">
        <v>5002979.251819999</v>
      </c>
      <c r="AR86" s="564">
        <v>1.1782999999999999</v>
      </c>
    </row>
    <row r="87" spans="2:44">
      <c r="B87" s="565">
        <f t="shared" ca="1" si="34"/>
        <v>45366</v>
      </c>
      <c r="C87" s="561">
        <f ca="1">(IFERROR(IFERROR(VALUE(_xll.BDH(C$4,"CURRENT_EV_TO_T12M_EBITDA",$B87,$B87)),VALUE(_xll.BDH(C$4,"CURRENT_EV_TO_T12M_EBITDA",$B87+1,$B87+1))),C88))</f>
        <v>0</v>
      </c>
      <c r="D87" s="561">
        <f ca="1">(IFERROR(IFERROR(VALUE(_xll.BDH(D$4,"CURRENT_EV_TO_T12M_EBITDA",$B87,$B87)),VALUE(_xll.BDH(D$4,"CURRENT_EV_TO_T12M_EBITDA",$B87+1,$B87+1))),D88))</f>
        <v>0</v>
      </c>
      <c r="E87" s="561">
        <f ca="1">(IFERROR(IFERROR(VALUE(_xll.BDH(E$4,"CURRENT_EV_TO_T12M_EBITDA",$B87,$B87)),VALUE(_xll.BDH(E$4,"CURRENT_EV_TO_T12M_EBITDA",$B87+1,$B87+1))),E88))</f>
        <v>0</v>
      </c>
      <c r="F87" s="561">
        <f ca="1">(IFERROR(IFERROR(VALUE(_xll.BDH(F$4,"CURRENT_EV_TO_T12M_EBITDA",$B87,$B87)),VALUE(_xll.BDH(F$4,"CURRENT_EV_TO_T12M_EBITDA",$B87+1,$B87+1))),F88))</f>
        <v>0</v>
      </c>
      <c r="G87" s="561">
        <f ca="1">(IFERROR(IFERROR(VALUE(_xll.BDH(G$4,"CURRENT_EV_TO_T12M_EBITDA",$B87,$B87)),VALUE(_xll.BDH(G$4,"CURRENT_EV_TO_T12M_EBITDA",$B87+1,$B87+1))),G88))</f>
        <v>0</v>
      </c>
      <c r="H87" s="561">
        <f ca="1">(IFERROR(IFERROR(VALUE(_xll.BDH(H$4,"CURRENT_EV_TO_T12M_EBITDA",$B87,$B87)),VALUE(_xll.BDH(H$4,"CURRENT_EV_TO_T12M_EBITDA",$B87+1,$B87+1))),H88))</f>
        <v>0</v>
      </c>
      <c r="I87" s="565">
        <f t="shared" ca="1" si="24"/>
        <v>45366</v>
      </c>
      <c r="J87" s="561">
        <f ca="1">(IFERROR(IFERROR(VALUE(_xll.BDH(J$4,"PE_RATIO",$B87,$B87)),VALUE(_xll.BDH(J$4,"PE_RATIO",$B87+1,$B87+1))),J88))</f>
        <v>0</v>
      </c>
      <c r="K87" s="561">
        <f ca="1">(IFERROR(IFERROR(VALUE(_xll.BDH(K$4,"PE_RATIO",$B87,$B87)),VALUE(_xll.BDH(K$4,"PE_RATIO",$B87+1,$B87+1))),K88))</f>
        <v>0</v>
      </c>
      <c r="L87" s="561">
        <f ca="1">(IFERROR(IFERROR(VALUE(_xll.BDH(L$4,"PE_RATIO",$B87,$B87)),VALUE(_xll.BDH(L$4,"PE_RATIO",$B87+1,$B87+1))),L88))</f>
        <v>0</v>
      </c>
      <c r="M87" s="561">
        <f ca="1">(IFERROR(IFERROR(VALUE(_xll.BDH(M$4,"PE_RATIO",$B87,$B87)),VALUE(_xll.BDH(M$4,"PE_RATIO",$B87+1,$B87+1))),M88))</f>
        <v>0</v>
      </c>
      <c r="N87" s="561">
        <f ca="1">(IFERROR(IFERROR(VALUE(_xll.BDH(N$4,"PE_RATIO",$B87,$B87)),VALUE(_xll.BDH(N$4,"PE_RATIO",$B87+1,$B87+1))),N88))</f>
        <v>0</v>
      </c>
      <c r="O87" s="561">
        <f ca="1">(IFERROR(IFERROR(VALUE(_xll.BDH(O$4,"PE_RATIO",$B87,$B87)),VALUE(_xll.BDH(O$4,"PE_RATIO",$B87+1,$B87+1))),O88))</f>
        <v>0</v>
      </c>
      <c r="P87" s="561"/>
      <c r="Q87" s="565">
        <f t="shared" ca="1" si="25"/>
        <v>45366</v>
      </c>
      <c r="R87" s="4">
        <v>54.96</v>
      </c>
      <c r="S87" s="4">
        <v>4953.17</v>
      </c>
      <c r="T87" s="4">
        <v>265.39600000000002</v>
      </c>
      <c r="U87" s="4">
        <v>0.90797951429043444</v>
      </c>
      <c r="V87" s="4">
        <v>1.3580411757770838</v>
      </c>
      <c r="W87" s="4" t="e">
        <v>#DIV/0!</v>
      </c>
      <c r="Y87" s="561">
        <f t="shared" si="26"/>
        <v>54.96</v>
      </c>
      <c r="Z87" s="4">
        <f ca="1">IFERROR(VALUE(_xll.BDH(Z$4,"PX_LAST",$Q87,$Q87)),Z88)</f>
        <v>0</v>
      </c>
      <c r="AA87" s="4">
        <f ca="1">IFERROR(VALUE(_xll.BDH(AA$4,"PX_LAST",$Q87,$Q87)),AA88)</f>
        <v>0</v>
      </c>
      <c r="AB87" s="4">
        <f ca="1">IFERROR(VALUE(_xll.BDH(AB$4,"PX_LAST",$Q87,$Q87)),AB88)</f>
        <v>0</v>
      </c>
      <c r="AC87" s="4">
        <f ca="1">IFERROR(VALUE(_xll.BDH(AC$4,"PX_LAST",$Q87,$Q87)),AC88)</f>
        <v>0</v>
      </c>
      <c r="AD87" s="4">
        <f ca="1">IFERROR(VALUE(_xll.BDH(AD$4,"PX_LAST",$Q87,$Q87)),AD88)</f>
        <v>0</v>
      </c>
      <c r="AF87" s="4">
        <f t="shared" si="27"/>
        <v>0.90797951429043444</v>
      </c>
      <c r="AG87" s="4" t="e">
        <f t="shared" ca="1" si="28"/>
        <v>#DIV/0!</v>
      </c>
      <c r="AH87" s="4" t="e">
        <f t="shared" ca="1" si="29"/>
        <v>#DIV/0!</v>
      </c>
      <c r="AI87" s="4" t="e">
        <f t="shared" ca="1" si="30"/>
        <v>#DIV/0!</v>
      </c>
      <c r="AJ87" s="4" t="e">
        <f t="shared" ca="1" si="31"/>
        <v>#DIV/0!</v>
      </c>
      <c r="AK87" s="4" t="e">
        <f t="shared" ca="1" si="32"/>
        <v>#DIV/0!</v>
      </c>
      <c r="AM87" s="563">
        <f t="shared" ca="1" si="33"/>
        <v>45857</v>
      </c>
      <c r="AN87" s="564">
        <v>103.07</v>
      </c>
      <c r="AO87" s="564">
        <v>783656</v>
      </c>
      <c r="AP87" s="564">
        <v>48539.625999999997</v>
      </c>
      <c r="AQ87" s="564">
        <v>5002979.251819999</v>
      </c>
      <c r="AR87" s="564">
        <v>1.1782999999999999</v>
      </c>
    </row>
    <row r="88" spans="2:44">
      <c r="B88" s="565">
        <f t="shared" ca="1" si="34"/>
        <v>45359</v>
      </c>
      <c r="C88" s="561">
        <f ca="1">(IFERROR(IFERROR(VALUE(_xll.BDH(C$4,"CURRENT_EV_TO_T12M_EBITDA",$B88,$B88)),VALUE(_xll.BDH(C$4,"CURRENT_EV_TO_T12M_EBITDA",$B88+1,$B88+1))),C89))</f>
        <v>0</v>
      </c>
      <c r="D88" s="561">
        <f ca="1">(IFERROR(IFERROR(VALUE(_xll.BDH(D$4,"CURRENT_EV_TO_T12M_EBITDA",$B88,$B88)),VALUE(_xll.BDH(D$4,"CURRENT_EV_TO_T12M_EBITDA",$B88+1,$B88+1))),D89))</f>
        <v>0</v>
      </c>
      <c r="E88" s="561">
        <f ca="1">(IFERROR(IFERROR(VALUE(_xll.BDH(E$4,"CURRENT_EV_TO_T12M_EBITDA",$B88,$B88)),VALUE(_xll.BDH(E$4,"CURRENT_EV_TO_T12M_EBITDA",$B88+1,$B88+1))),E89))</f>
        <v>0</v>
      </c>
      <c r="F88" s="561">
        <f ca="1">(IFERROR(IFERROR(VALUE(_xll.BDH(F$4,"CURRENT_EV_TO_T12M_EBITDA",$B88,$B88)),VALUE(_xll.BDH(F$4,"CURRENT_EV_TO_T12M_EBITDA",$B88+1,$B88+1))),F89))</f>
        <v>0</v>
      </c>
      <c r="G88" s="561">
        <f ca="1">(IFERROR(IFERROR(VALUE(_xll.BDH(G$4,"CURRENT_EV_TO_T12M_EBITDA",$B88,$B88)),VALUE(_xll.BDH(G$4,"CURRENT_EV_TO_T12M_EBITDA",$B88+1,$B88+1))),G89))</f>
        <v>0</v>
      </c>
      <c r="H88" s="561">
        <f ca="1">(IFERROR(IFERROR(VALUE(_xll.BDH(H$4,"CURRENT_EV_TO_T12M_EBITDA",$B88,$B88)),VALUE(_xll.BDH(H$4,"CURRENT_EV_TO_T12M_EBITDA",$B88+1,$B88+1))),H89))</f>
        <v>0</v>
      </c>
      <c r="I88" s="565">
        <f t="shared" ca="1" si="24"/>
        <v>45359</v>
      </c>
      <c r="J88" s="561">
        <f ca="1">(IFERROR(IFERROR(VALUE(_xll.BDH(J$4,"PE_RATIO",$B88,$B88)),VALUE(_xll.BDH(J$4,"PE_RATIO",$B88+1,$B88+1))),J89))</f>
        <v>0</v>
      </c>
      <c r="K88" s="561">
        <f ca="1">(IFERROR(IFERROR(VALUE(_xll.BDH(K$4,"PE_RATIO",$B88,$B88)),VALUE(_xll.BDH(K$4,"PE_RATIO",$B88+1,$B88+1))),K89))</f>
        <v>0</v>
      </c>
      <c r="L88" s="561">
        <f ca="1">(IFERROR(IFERROR(VALUE(_xll.BDH(L$4,"PE_RATIO",$B88,$B88)),VALUE(_xll.BDH(L$4,"PE_RATIO",$B88+1,$B88+1))),L89))</f>
        <v>0</v>
      </c>
      <c r="M88" s="561">
        <f ca="1">(IFERROR(IFERROR(VALUE(_xll.BDH(M$4,"PE_RATIO",$B88,$B88)),VALUE(_xll.BDH(M$4,"PE_RATIO",$B88+1,$B88+1))),M89))</f>
        <v>0</v>
      </c>
      <c r="N88" s="561">
        <f ca="1">(IFERROR(IFERROR(VALUE(_xll.BDH(N$4,"PE_RATIO",$B88,$B88)),VALUE(_xll.BDH(N$4,"PE_RATIO",$B88+1,$B88+1))),N89))</f>
        <v>0</v>
      </c>
      <c r="O88" s="561">
        <f ca="1">(IFERROR(IFERROR(VALUE(_xll.BDH(O$4,"PE_RATIO",$B88,$B88)),VALUE(_xll.BDH(O$4,"PE_RATIO",$B88+1,$B88+1))),O89))</f>
        <v>0</v>
      </c>
      <c r="P88" s="561"/>
      <c r="Q88" s="565">
        <f t="shared" ca="1" si="25"/>
        <v>45359</v>
      </c>
      <c r="R88" s="4">
        <v>56.17</v>
      </c>
      <c r="S88" s="4">
        <v>4954.2299999999996</v>
      </c>
      <c r="T88" s="4">
        <v>265.39600000000002</v>
      </c>
      <c r="U88" s="4">
        <v>0.92796960185032218</v>
      </c>
      <c r="V88" s="4">
        <v>1.3583318025163889</v>
      </c>
      <c r="W88" s="4" t="e">
        <v>#DIV/0!</v>
      </c>
      <c r="Y88" s="561">
        <f t="shared" si="26"/>
        <v>56.17</v>
      </c>
      <c r="Z88" s="4">
        <f ca="1">IFERROR(VALUE(_xll.BDH(Z$4,"PX_LAST",$Q88,$Q88)),Z89)</f>
        <v>0</v>
      </c>
      <c r="AA88" s="4">
        <f ca="1">IFERROR(VALUE(_xll.BDH(AA$4,"PX_LAST",$Q88,$Q88)),AA89)</f>
        <v>0</v>
      </c>
      <c r="AB88" s="4">
        <f ca="1">IFERROR(VALUE(_xll.BDH(AB$4,"PX_LAST",$Q88,$Q88)),AB89)</f>
        <v>0</v>
      </c>
      <c r="AC88" s="4">
        <f ca="1">IFERROR(VALUE(_xll.BDH(AC$4,"PX_LAST",$Q88,$Q88)),AC89)</f>
        <v>0</v>
      </c>
      <c r="AD88" s="4">
        <f ca="1">IFERROR(VALUE(_xll.BDH(AD$4,"PX_LAST",$Q88,$Q88)),AD89)</f>
        <v>0</v>
      </c>
      <c r="AF88" s="4">
        <f t="shared" si="27"/>
        <v>0.92796960185032218</v>
      </c>
      <c r="AG88" s="4" t="e">
        <f t="shared" ca="1" si="28"/>
        <v>#DIV/0!</v>
      </c>
      <c r="AH88" s="4" t="e">
        <f t="shared" ca="1" si="29"/>
        <v>#DIV/0!</v>
      </c>
      <c r="AI88" s="4" t="e">
        <f t="shared" ca="1" si="30"/>
        <v>#DIV/0!</v>
      </c>
      <c r="AJ88" s="4" t="e">
        <f t="shared" ca="1" si="31"/>
        <v>#DIV/0!</v>
      </c>
      <c r="AK88" s="4" t="e">
        <f t="shared" ca="1" si="32"/>
        <v>#DIV/0!</v>
      </c>
      <c r="AM88" s="563">
        <f t="shared" ca="1" si="33"/>
        <v>45856</v>
      </c>
      <c r="AN88" s="564">
        <v>100.61</v>
      </c>
      <c r="AO88" s="564">
        <v>613667</v>
      </c>
      <c r="AP88" s="564">
        <v>48539.625999999997</v>
      </c>
      <c r="AQ88" s="564">
        <v>4883571.7718599997</v>
      </c>
      <c r="AR88" s="564">
        <v>1.1500999999999999</v>
      </c>
    </row>
    <row r="89" spans="2:44">
      <c r="B89" s="565">
        <f t="shared" ca="1" si="34"/>
        <v>45352</v>
      </c>
      <c r="C89" s="561">
        <f ca="1">(IFERROR(IFERROR(VALUE(_xll.BDH(C$4,"CURRENT_EV_TO_T12M_EBITDA",$B89,$B89)),VALUE(_xll.BDH(C$4,"CURRENT_EV_TO_T12M_EBITDA",$B89+1,$B89+1))),C90))</f>
        <v>0</v>
      </c>
      <c r="D89" s="561">
        <f ca="1">(IFERROR(IFERROR(VALUE(_xll.BDH(D$4,"CURRENT_EV_TO_T12M_EBITDA",$B89,$B89)),VALUE(_xll.BDH(D$4,"CURRENT_EV_TO_T12M_EBITDA",$B89+1,$B89+1))),D90))</f>
        <v>0</v>
      </c>
      <c r="E89" s="561">
        <f ca="1">(IFERROR(IFERROR(VALUE(_xll.BDH(E$4,"CURRENT_EV_TO_T12M_EBITDA",$B89,$B89)),VALUE(_xll.BDH(E$4,"CURRENT_EV_TO_T12M_EBITDA",$B89+1,$B89+1))),E90))</f>
        <v>0</v>
      </c>
      <c r="F89" s="561">
        <f ca="1">(IFERROR(IFERROR(VALUE(_xll.BDH(F$4,"CURRENT_EV_TO_T12M_EBITDA",$B89,$B89)),VALUE(_xll.BDH(F$4,"CURRENT_EV_TO_T12M_EBITDA",$B89+1,$B89+1))),F90))</f>
        <v>0</v>
      </c>
      <c r="G89" s="561">
        <f ca="1">(IFERROR(IFERROR(VALUE(_xll.BDH(G$4,"CURRENT_EV_TO_T12M_EBITDA",$B89,$B89)),VALUE(_xll.BDH(G$4,"CURRENT_EV_TO_T12M_EBITDA",$B89+1,$B89+1))),G90))</f>
        <v>0</v>
      </c>
      <c r="H89" s="561">
        <f ca="1">(IFERROR(IFERROR(VALUE(_xll.BDH(H$4,"CURRENT_EV_TO_T12M_EBITDA",$B89,$B89)),VALUE(_xll.BDH(H$4,"CURRENT_EV_TO_T12M_EBITDA",$B89+1,$B89+1))),H90))</f>
        <v>0</v>
      </c>
      <c r="I89" s="565">
        <f t="shared" ca="1" si="24"/>
        <v>45352</v>
      </c>
      <c r="J89" s="561">
        <f ca="1">(IFERROR(IFERROR(VALUE(_xll.BDH(J$4,"PE_RATIO",$B89,$B89)),VALUE(_xll.BDH(J$4,"PE_RATIO",$B89+1,$B89+1))),J90))</f>
        <v>0</v>
      </c>
      <c r="K89" s="561">
        <f ca="1">(IFERROR(IFERROR(VALUE(_xll.BDH(K$4,"PE_RATIO",$B89,$B89)),VALUE(_xll.BDH(K$4,"PE_RATIO",$B89+1,$B89+1))),K90))</f>
        <v>0</v>
      </c>
      <c r="L89" s="561">
        <f ca="1">(IFERROR(IFERROR(VALUE(_xll.BDH(L$4,"PE_RATIO",$B89,$B89)),VALUE(_xll.BDH(L$4,"PE_RATIO",$B89+1,$B89+1))),L90))</f>
        <v>0</v>
      </c>
      <c r="M89" s="561">
        <f ca="1">(IFERROR(IFERROR(VALUE(_xll.BDH(M$4,"PE_RATIO",$B89,$B89)),VALUE(_xll.BDH(M$4,"PE_RATIO",$B89+1,$B89+1))),M90))</f>
        <v>0</v>
      </c>
      <c r="N89" s="561">
        <f ca="1">(IFERROR(IFERROR(VALUE(_xll.BDH(N$4,"PE_RATIO",$B89,$B89)),VALUE(_xll.BDH(N$4,"PE_RATIO",$B89+1,$B89+1))),N90))</f>
        <v>0</v>
      </c>
      <c r="O89" s="561">
        <f ca="1">(IFERROR(IFERROR(VALUE(_xll.BDH(O$4,"PE_RATIO",$B89,$B89)),VALUE(_xll.BDH(O$4,"PE_RATIO",$B89+1,$B89+1))),O90))</f>
        <v>0</v>
      </c>
      <c r="P89" s="561"/>
      <c r="Q89" s="565">
        <f t="shared" ca="1" si="25"/>
        <v>45352</v>
      </c>
      <c r="R89" s="4">
        <v>55.59</v>
      </c>
      <c r="S89" s="4">
        <v>4924.97</v>
      </c>
      <c r="T89" s="4">
        <v>265.39600000000002</v>
      </c>
      <c r="U89" s="4">
        <v>0.91838757640839253</v>
      </c>
      <c r="V89" s="4">
        <v>1.3503094078068922</v>
      </c>
      <c r="W89" s="4" t="e">
        <v>#DIV/0!</v>
      </c>
      <c r="Y89" s="561">
        <f t="shared" si="26"/>
        <v>55.59</v>
      </c>
      <c r="Z89" s="4">
        <f ca="1">IFERROR(VALUE(_xll.BDH(Z$4,"PX_LAST",$Q89,$Q89)),Z90)</f>
        <v>0</v>
      </c>
      <c r="AA89" s="4">
        <f ca="1">IFERROR(VALUE(_xll.BDH(AA$4,"PX_LAST",$Q89,$Q89)),AA90)</f>
        <v>0</v>
      </c>
      <c r="AB89" s="4">
        <f ca="1">IFERROR(VALUE(_xll.BDH(AB$4,"PX_LAST",$Q89,$Q89)),AB90)</f>
        <v>0</v>
      </c>
      <c r="AC89" s="4">
        <f ca="1">IFERROR(VALUE(_xll.BDH(AC$4,"PX_LAST",$Q89,$Q89)),AC90)</f>
        <v>0</v>
      </c>
      <c r="AD89" s="4">
        <f ca="1">IFERROR(VALUE(_xll.BDH(AD$4,"PX_LAST",$Q89,$Q89)),AD90)</f>
        <v>0</v>
      </c>
      <c r="AF89" s="4">
        <f t="shared" si="27"/>
        <v>0.91838757640839253</v>
      </c>
      <c r="AG89" s="4" t="e">
        <f t="shared" ca="1" si="28"/>
        <v>#DIV/0!</v>
      </c>
      <c r="AH89" s="4" t="e">
        <f t="shared" ca="1" si="29"/>
        <v>#DIV/0!</v>
      </c>
      <c r="AI89" s="4" t="e">
        <f t="shared" ca="1" si="30"/>
        <v>#DIV/0!</v>
      </c>
      <c r="AJ89" s="4" t="e">
        <f t="shared" ca="1" si="31"/>
        <v>#DIV/0!</v>
      </c>
      <c r="AK89" s="4" t="e">
        <f t="shared" ca="1" si="32"/>
        <v>#DIV/0!</v>
      </c>
      <c r="AM89" s="563">
        <f t="shared" ca="1" si="33"/>
        <v>45855</v>
      </c>
      <c r="AN89" s="564">
        <v>100.21</v>
      </c>
      <c r="AO89" s="564">
        <v>884476</v>
      </c>
      <c r="AP89" s="564">
        <v>48539.625999999997</v>
      </c>
      <c r="AQ89" s="564">
        <v>4864155.9214599989</v>
      </c>
      <c r="AR89" s="564">
        <v>1.1456</v>
      </c>
    </row>
    <row r="90" spans="2:44">
      <c r="B90" s="565">
        <f t="shared" ca="1" si="34"/>
        <v>45345</v>
      </c>
      <c r="C90" s="561">
        <f ca="1">(IFERROR(IFERROR(VALUE(_xll.BDH(C$4,"CURRENT_EV_TO_T12M_EBITDA",$B90,$B90)),VALUE(_xll.BDH(C$4,"CURRENT_EV_TO_T12M_EBITDA",$B90+1,$B90+1))),C91))</f>
        <v>0</v>
      </c>
      <c r="D90" s="561">
        <f ca="1">(IFERROR(IFERROR(VALUE(_xll.BDH(D$4,"CURRENT_EV_TO_T12M_EBITDA",$B90,$B90)),VALUE(_xll.BDH(D$4,"CURRENT_EV_TO_T12M_EBITDA",$B90+1,$B90+1))),D91))</f>
        <v>0</v>
      </c>
      <c r="E90" s="561">
        <f ca="1">(IFERROR(IFERROR(VALUE(_xll.BDH(E$4,"CURRENT_EV_TO_T12M_EBITDA",$B90,$B90)),VALUE(_xll.BDH(E$4,"CURRENT_EV_TO_T12M_EBITDA",$B90+1,$B90+1))),E91))</f>
        <v>0</v>
      </c>
      <c r="F90" s="561">
        <f ca="1">(IFERROR(IFERROR(VALUE(_xll.BDH(F$4,"CURRENT_EV_TO_T12M_EBITDA",$B90,$B90)),VALUE(_xll.BDH(F$4,"CURRENT_EV_TO_T12M_EBITDA",$B90+1,$B90+1))),F91))</f>
        <v>0</v>
      </c>
      <c r="G90" s="561">
        <f ca="1">(IFERROR(IFERROR(VALUE(_xll.BDH(G$4,"CURRENT_EV_TO_T12M_EBITDA",$B90,$B90)),VALUE(_xll.BDH(G$4,"CURRENT_EV_TO_T12M_EBITDA",$B90+1,$B90+1))),G91))</f>
        <v>0</v>
      </c>
      <c r="H90" s="561">
        <f ca="1">(IFERROR(IFERROR(VALUE(_xll.BDH(H$4,"CURRENT_EV_TO_T12M_EBITDA",$B90,$B90)),VALUE(_xll.BDH(H$4,"CURRENT_EV_TO_T12M_EBITDA",$B90+1,$B90+1))),H91))</f>
        <v>0</v>
      </c>
      <c r="I90" s="565">
        <f t="shared" ca="1" si="24"/>
        <v>45345</v>
      </c>
      <c r="J90" s="561">
        <f ca="1">(IFERROR(IFERROR(VALUE(_xll.BDH(J$4,"PE_RATIO",$B90,$B90)),VALUE(_xll.BDH(J$4,"PE_RATIO",$B90+1,$B90+1))),J91))</f>
        <v>0</v>
      </c>
      <c r="K90" s="561">
        <f ca="1">(IFERROR(IFERROR(VALUE(_xll.BDH(K$4,"PE_RATIO",$B90,$B90)),VALUE(_xll.BDH(K$4,"PE_RATIO",$B90+1,$B90+1))),K91))</f>
        <v>0</v>
      </c>
      <c r="L90" s="561">
        <f ca="1">(IFERROR(IFERROR(VALUE(_xll.BDH(L$4,"PE_RATIO",$B90,$B90)),VALUE(_xll.BDH(L$4,"PE_RATIO",$B90+1,$B90+1))),L91))</f>
        <v>0</v>
      </c>
      <c r="M90" s="561">
        <f ca="1">(IFERROR(IFERROR(VALUE(_xll.BDH(M$4,"PE_RATIO",$B90,$B90)),VALUE(_xll.BDH(M$4,"PE_RATIO",$B90+1,$B90+1))),M91))</f>
        <v>0</v>
      </c>
      <c r="N90" s="561">
        <f ca="1">(IFERROR(IFERROR(VALUE(_xll.BDH(N$4,"PE_RATIO",$B90,$B90)),VALUE(_xll.BDH(N$4,"PE_RATIO",$B90+1,$B90+1))),N91))</f>
        <v>0</v>
      </c>
      <c r="O90" s="561">
        <f ca="1">(IFERROR(IFERROR(VALUE(_xll.BDH(O$4,"PE_RATIO",$B90,$B90)),VALUE(_xll.BDH(O$4,"PE_RATIO",$B90+1,$B90+1))),O91))</f>
        <v>0</v>
      </c>
      <c r="P90" s="561"/>
      <c r="Q90" s="565">
        <f t="shared" ca="1" si="25"/>
        <v>45345</v>
      </c>
      <c r="R90" s="4">
        <v>54.84</v>
      </c>
      <c r="S90" s="4">
        <v>4864.6000000000004</v>
      </c>
      <c r="T90" s="4">
        <v>265.39600000000002</v>
      </c>
      <c r="U90" s="4">
        <v>0.9059970262679663</v>
      </c>
      <c r="V90" s="4">
        <v>1.3337573924749611</v>
      </c>
      <c r="W90" s="4" t="e">
        <v>#DIV/0!</v>
      </c>
      <c r="Y90" s="561">
        <f t="shared" si="26"/>
        <v>54.84</v>
      </c>
      <c r="Z90" s="4">
        <f ca="1">IFERROR(VALUE(_xll.BDH(Z$4,"PX_LAST",$Q90,$Q90)),Z91)</f>
        <v>0</v>
      </c>
      <c r="AA90" s="4">
        <f ca="1">IFERROR(VALUE(_xll.BDH(AA$4,"PX_LAST",$Q90,$Q90)),AA91)</f>
        <v>0</v>
      </c>
      <c r="AB90" s="4">
        <f ca="1">IFERROR(VALUE(_xll.BDH(AB$4,"PX_LAST",$Q90,$Q90)),AB91)</f>
        <v>0</v>
      </c>
      <c r="AC90" s="4">
        <f ca="1">IFERROR(VALUE(_xll.BDH(AC$4,"PX_LAST",$Q90,$Q90)),AC91)</f>
        <v>0</v>
      </c>
      <c r="AD90" s="4">
        <f ca="1">IFERROR(VALUE(_xll.BDH(AD$4,"PX_LAST",$Q90,$Q90)),AD91)</f>
        <v>0</v>
      </c>
      <c r="AF90" s="4">
        <f t="shared" si="27"/>
        <v>0.9059970262679663</v>
      </c>
      <c r="AG90" s="4" t="e">
        <f t="shared" ca="1" si="28"/>
        <v>#DIV/0!</v>
      </c>
      <c r="AH90" s="4" t="e">
        <f t="shared" ca="1" si="29"/>
        <v>#DIV/0!</v>
      </c>
      <c r="AI90" s="4" t="e">
        <f t="shared" ca="1" si="30"/>
        <v>#DIV/0!</v>
      </c>
      <c r="AJ90" s="4" t="e">
        <f t="shared" ca="1" si="31"/>
        <v>#DIV/0!</v>
      </c>
      <c r="AK90" s="4" t="e">
        <f t="shared" ca="1" si="32"/>
        <v>#DIV/0!</v>
      </c>
      <c r="AM90" s="563">
        <f t="shared" ca="1" si="33"/>
        <v>45854</v>
      </c>
      <c r="AN90" s="564">
        <v>96.38</v>
      </c>
      <c r="AO90" s="564">
        <v>642562</v>
      </c>
      <c r="AP90" s="564">
        <v>48539.625999999997</v>
      </c>
      <c r="AQ90" s="564">
        <v>4678249.1538799992</v>
      </c>
      <c r="AR90" s="564">
        <v>1.1017999999999999</v>
      </c>
    </row>
    <row r="91" spans="2:44">
      <c r="B91" s="565">
        <f t="shared" ca="1" si="34"/>
        <v>45338</v>
      </c>
      <c r="C91" s="561">
        <f ca="1">(IFERROR(IFERROR(VALUE(_xll.BDH(C$4,"CURRENT_EV_TO_T12M_EBITDA",$B91,$B91)),VALUE(_xll.BDH(C$4,"CURRENT_EV_TO_T12M_EBITDA",$B91+1,$B91+1))),C92))</f>
        <v>0</v>
      </c>
      <c r="D91" s="561">
        <f ca="1">(IFERROR(IFERROR(VALUE(_xll.BDH(D$4,"CURRENT_EV_TO_T12M_EBITDA",$B91,$B91)),VALUE(_xll.BDH(D$4,"CURRENT_EV_TO_T12M_EBITDA",$B91+1,$B91+1))),D92))</f>
        <v>0</v>
      </c>
      <c r="E91" s="561">
        <f ca="1">(IFERROR(IFERROR(VALUE(_xll.BDH(E$4,"CURRENT_EV_TO_T12M_EBITDA",$B91,$B91)),VALUE(_xll.BDH(E$4,"CURRENT_EV_TO_T12M_EBITDA",$B91+1,$B91+1))),E92))</f>
        <v>0</v>
      </c>
      <c r="F91" s="561">
        <f ca="1">(IFERROR(IFERROR(VALUE(_xll.BDH(F$4,"CURRENT_EV_TO_T12M_EBITDA",$B91,$B91)),VALUE(_xll.BDH(F$4,"CURRENT_EV_TO_T12M_EBITDA",$B91+1,$B91+1))),F92))</f>
        <v>0</v>
      </c>
      <c r="G91" s="561">
        <f ca="1">(IFERROR(IFERROR(VALUE(_xll.BDH(G$4,"CURRENT_EV_TO_T12M_EBITDA",$B91,$B91)),VALUE(_xll.BDH(G$4,"CURRENT_EV_TO_T12M_EBITDA",$B91+1,$B91+1))),G92))</f>
        <v>0</v>
      </c>
      <c r="H91" s="561">
        <f ca="1">(IFERROR(IFERROR(VALUE(_xll.BDH(H$4,"CURRENT_EV_TO_T12M_EBITDA",$B91,$B91)),VALUE(_xll.BDH(H$4,"CURRENT_EV_TO_T12M_EBITDA",$B91+1,$B91+1))),H92))</f>
        <v>0</v>
      </c>
      <c r="I91" s="565">
        <f t="shared" ca="1" si="24"/>
        <v>45338</v>
      </c>
      <c r="J91" s="561">
        <f ca="1">(IFERROR(IFERROR(VALUE(_xll.BDH(J$4,"PE_RATIO",$B91,$B91)),VALUE(_xll.BDH(J$4,"PE_RATIO",$B91+1,$B91+1))),J92))</f>
        <v>0</v>
      </c>
      <c r="K91" s="561">
        <f ca="1">(IFERROR(IFERROR(VALUE(_xll.BDH(K$4,"PE_RATIO",$B91,$B91)),VALUE(_xll.BDH(K$4,"PE_RATIO",$B91+1,$B91+1))),K92))</f>
        <v>0</v>
      </c>
      <c r="L91" s="561">
        <f ca="1">(IFERROR(IFERROR(VALUE(_xll.BDH(L$4,"PE_RATIO",$B91,$B91)),VALUE(_xll.BDH(L$4,"PE_RATIO",$B91+1,$B91+1))),L92))</f>
        <v>0</v>
      </c>
      <c r="M91" s="561">
        <f ca="1">(IFERROR(IFERROR(VALUE(_xll.BDH(M$4,"PE_RATIO",$B91,$B91)),VALUE(_xll.BDH(M$4,"PE_RATIO",$B91+1,$B91+1))),M92))</f>
        <v>0</v>
      </c>
      <c r="N91" s="561">
        <f ca="1">(IFERROR(IFERROR(VALUE(_xll.BDH(N$4,"PE_RATIO",$B91,$B91)),VALUE(_xll.BDH(N$4,"PE_RATIO",$B91+1,$B91+1))),N92))</f>
        <v>0</v>
      </c>
      <c r="O91" s="561">
        <f ca="1">(IFERROR(IFERROR(VALUE(_xll.BDH(O$4,"PE_RATIO",$B91,$B91)),VALUE(_xll.BDH(O$4,"PE_RATIO",$B91+1,$B91+1))),O92))</f>
        <v>0</v>
      </c>
      <c r="P91" s="561"/>
      <c r="Q91" s="565">
        <f t="shared" ca="1" si="25"/>
        <v>45338</v>
      </c>
      <c r="R91" s="4">
        <v>54.39</v>
      </c>
      <c r="S91" s="4">
        <v>4765.9799999999996</v>
      </c>
      <c r="T91" s="4">
        <v>265.39600000000002</v>
      </c>
      <c r="U91" s="4">
        <v>0.89856269618371054</v>
      </c>
      <c r="V91" s="4">
        <v>1.3067181386728228</v>
      </c>
      <c r="W91" s="4" t="e">
        <v>#DIV/0!</v>
      </c>
      <c r="Y91" s="561">
        <f t="shared" si="26"/>
        <v>54.39</v>
      </c>
      <c r="Z91" s="4">
        <f ca="1">IFERROR(VALUE(_xll.BDH(Z$4,"PX_LAST",$Q91,$Q91)),Z92)</f>
        <v>0</v>
      </c>
      <c r="AA91" s="4">
        <f ca="1">IFERROR(VALUE(_xll.BDH(AA$4,"PX_LAST",$Q91,$Q91)),AA92)</f>
        <v>0</v>
      </c>
      <c r="AB91" s="4">
        <f ca="1">IFERROR(VALUE(_xll.BDH(AB$4,"PX_LAST",$Q91,$Q91)),AB92)</f>
        <v>0</v>
      </c>
      <c r="AC91" s="4">
        <f ca="1">IFERROR(VALUE(_xll.BDH(AC$4,"PX_LAST",$Q91,$Q91)),AC92)</f>
        <v>0</v>
      </c>
      <c r="AD91" s="4">
        <f ca="1">IFERROR(VALUE(_xll.BDH(AD$4,"PX_LAST",$Q91,$Q91)),AD92)</f>
        <v>0</v>
      </c>
      <c r="AF91" s="4">
        <f t="shared" si="27"/>
        <v>0.89856269618371054</v>
      </c>
      <c r="AG91" s="4" t="e">
        <f t="shared" ca="1" si="28"/>
        <v>#DIV/0!</v>
      </c>
      <c r="AH91" s="4" t="e">
        <f t="shared" ca="1" si="29"/>
        <v>#DIV/0!</v>
      </c>
      <c r="AI91" s="4" t="e">
        <f t="shared" ca="1" si="30"/>
        <v>#DIV/0!</v>
      </c>
      <c r="AJ91" s="4" t="e">
        <f t="shared" ca="1" si="31"/>
        <v>#DIV/0!</v>
      </c>
      <c r="AK91" s="4" t="e">
        <f t="shared" ca="1" si="32"/>
        <v>#DIV/0!</v>
      </c>
      <c r="AM91" s="563">
        <f t="shared" ca="1" si="33"/>
        <v>45853</v>
      </c>
      <c r="AN91" s="564">
        <v>96.38</v>
      </c>
      <c r="AO91" s="564">
        <v>642562</v>
      </c>
      <c r="AP91" s="564">
        <v>48539.625999999997</v>
      </c>
      <c r="AQ91" s="564">
        <v>4678249.1538799992</v>
      </c>
      <c r="AR91" s="564">
        <v>1.1017999999999999</v>
      </c>
    </row>
    <row r="92" spans="2:44">
      <c r="B92" s="565">
        <f t="shared" ca="1" si="34"/>
        <v>45331</v>
      </c>
      <c r="C92" s="561">
        <f ca="1">(IFERROR(IFERROR(VALUE(_xll.BDH(C$4,"CURRENT_EV_TO_T12M_EBITDA",$B92,$B92)),VALUE(_xll.BDH(C$4,"CURRENT_EV_TO_T12M_EBITDA",$B92+1,$B92+1))),C93))</f>
        <v>0</v>
      </c>
      <c r="D92" s="561">
        <f ca="1">(IFERROR(IFERROR(VALUE(_xll.BDH(D$4,"CURRENT_EV_TO_T12M_EBITDA",$B92,$B92)),VALUE(_xll.BDH(D$4,"CURRENT_EV_TO_T12M_EBITDA",$B92+1,$B92+1))),D93))</f>
        <v>0</v>
      </c>
      <c r="E92" s="561">
        <f ca="1">(IFERROR(IFERROR(VALUE(_xll.BDH(E$4,"CURRENT_EV_TO_T12M_EBITDA",$B92,$B92)),VALUE(_xll.BDH(E$4,"CURRENT_EV_TO_T12M_EBITDA",$B92+1,$B92+1))),E93))</f>
        <v>0</v>
      </c>
      <c r="F92" s="561">
        <f ca="1">(IFERROR(IFERROR(VALUE(_xll.BDH(F$4,"CURRENT_EV_TO_T12M_EBITDA",$B92,$B92)),VALUE(_xll.BDH(F$4,"CURRENT_EV_TO_T12M_EBITDA",$B92+1,$B92+1))),F93))</f>
        <v>0</v>
      </c>
      <c r="G92" s="561">
        <f ca="1">(IFERROR(IFERROR(VALUE(_xll.BDH(G$4,"CURRENT_EV_TO_T12M_EBITDA",$B92,$B92)),VALUE(_xll.BDH(G$4,"CURRENT_EV_TO_T12M_EBITDA",$B92+1,$B92+1))),G93))</f>
        <v>0</v>
      </c>
      <c r="H92" s="561">
        <f ca="1">(IFERROR(IFERROR(VALUE(_xll.BDH(H$4,"CURRENT_EV_TO_T12M_EBITDA",$B92,$B92)),VALUE(_xll.BDH(H$4,"CURRENT_EV_TO_T12M_EBITDA",$B92+1,$B92+1))),H93))</f>
        <v>0</v>
      </c>
      <c r="I92" s="565">
        <f t="shared" ca="1" si="24"/>
        <v>45331</v>
      </c>
      <c r="J92" s="561">
        <f ca="1">(IFERROR(IFERROR(VALUE(_xll.BDH(J$4,"PE_RATIO",$B92,$B92)),VALUE(_xll.BDH(J$4,"PE_RATIO",$B92+1,$B92+1))),J93))</f>
        <v>0</v>
      </c>
      <c r="K92" s="561">
        <f ca="1">(IFERROR(IFERROR(VALUE(_xll.BDH(K$4,"PE_RATIO",$B92,$B92)),VALUE(_xll.BDH(K$4,"PE_RATIO",$B92+1,$B92+1))),K93))</f>
        <v>0</v>
      </c>
      <c r="L92" s="561">
        <f ca="1">(IFERROR(IFERROR(VALUE(_xll.BDH(L$4,"PE_RATIO",$B92,$B92)),VALUE(_xll.BDH(L$4,"PE_RATIO",$B92+1,$B92+1))),L93))</f>
        <v>0</v>
      </c>
      <c r="M92" s="561">
        <f ca="1">(IFERROR(IFERROR(VALUE(_xll.BDH(M$4,"PE_RATIO",$B92,$B92)),VALUE(_xll.BDH(M$4,"PE_RATIO",$B92+1,$B92+1))),M93))</f>
        <v>0</v>
      </c>
      <c r="N92" s="561">
        <f ca="1">(IFERROR(IFERROR(VALUE(_xll.BDH(N$4,"PE_RATIO",$B92,$B92)),VALUE(_xll.BDH(N$4,"PE_RATIO",$B92+1,$B92+1))),N93))</f>
        <v>0</v>
      </c>
      <c r="O92" s="561">
        <f ca="1">(IFERROR(IFERROR(VALUE(_xll.BDH(O$4,"PE_RATIO",$B92,$B92)),VALUE(_xll.BDH(O$4,"PE_RATIO",$B92+1,$B92+1))),O93))</f>
        <v>0</v>
      </c>
      <c r="P92" s="561"/>
      <c r="Q92" s="565">
        <f t="shared" ca="1" si="25"/>
        <v>45331</v>
      </c>
      <c r="R92" s="4">
        <v>54.45</v>
      </c>
      <c r="S92" s="4">
        <v>4756.5</v>
      </c>
      <c r="T92" s="4">
        <v>265.39600000000002</v>
      </c>
      <c r="U92" s="4">
        <v>0.89955394019494472</v>
      </c>
      <c r="V92" s="4">
        <v>1.3041189485892266</v>
      </c>
      <c r="W92" s="4" t="e">
        <v>#DIV/0!</v>
      </c>
      <c r="Y92" s="561">
        <f t="shared" si="26"/>
        <v>54.45</v>
      </c>
      <c r="Z92" s="4">
        <f ca="1">IFERROR(VALUE(_xll.BDH(Z$4,"PX_LAST",$Q92,$Q92)),Z93)</f>
        <v>0</v>
      </c>
      <c r="AA92" s="4">
        <f ca="1">IFERROR(VALUE(_xll.BDH(AA$4,"PX_LAST",$Q92,$Q92)),AA93)</f>
        <v>0</v>
      </c>
      <c r="AB92" s="4">
        <f ca="1">IFERROR(VALUE(_xll.BDH(AB$4,"PX_LAST",$Q92,$Q92)),AB93)</f>
        <v>0</v>
      </c>
      <c r="AC92" s="4">
        <f ca="1">IFERROR(VALUE(_xll.BDH(AC$4,"PX_LAST",$Q92,$Q92)),AC93)</f>
        <v>0</v>
      </c>
      <c r="AD92" s="4">
        <f ca="1">IFERROR(VALUE(_xll.BDH(AD$4,"PX_LAST",$Q92,$Q92)),AD93)</f>
        <v>0</v>
      </c>
      <c r="AF92" s="4">
        <f t="shared" si="27"/>
        <v>0.89955394019494472</v>
      </c>
      <c r="AG92" s="4" t="e">
        <f t="shared" ca="1" si="28"/>
        <v>#DIV/0!</v>
      </c>
      <c r="AH92" s="4" t="e">
        <f t="shared" ca="1" si="29"/>
        <v>#DIV/0!</v>
      </c>
      <c r="AI92" s="4" t="e">
        <f t="shared" ca="1" si="30"/>
        <v>#DIV/0!</v>
      </c>
      <c r="AJ92" s="4" t="e">
        <f t="shared" ca="1" si="31"/>
        <v>#DIV/0!</v>
      </c>
      <c r="AK92" s="4" t="e">
        <f t="shared" ca="1" si="32"/>
        <v>#DIV/0!</v>
      </c>
      <c r="AM92" s="563">
        <f t="shared" ca="1" si="33"/>
        <v>45852</v>
      </c>
      <c r="AN92" s="564">
        <v>96.38</v>
      </c>
      <c r="AO92" s="564">
        <v>642562</v>
      </c>
      <c r="AP92" s="564">
        <v>48539.625999999997</v>
      </c>
      <c r="AQ92" s="564">
        <v>4678249.1538799992</v>
      </c>
      <c r="AR92" s="564">
        <v>1.1017999999999999</v>
      </c>
    </row>
    <row r="93" spans="2:44">
      <c r="B93" s="565">
        <f t="shared" ca="1" si="34"/>
        <v>45324</v>
      </c>
      <c r="C93" s="561">
        <f ca="1">(IFERROR(IFERROR(VALUE(_xll.BDH(C$4,"CURRENT_EV_TO_T12M_EBITDA",$B93,$B93)),VALUE(_xll.BDH(C$4,"CURRENT_EV_TO_T12M_EBITDA",$B93+1,$B93+1))),C94))</f>
        <v>0</v>
      </c>
      <c r="D93" s="561">
        <f ca="1">(IFERROR(IFERROR(VALUE(_xll.BDH(D$4,"CURRENT_EV_TO_T12M_EBITDA",$B93,$B93)),VALUE(_xll.BDH(D$4,"CURRENT_EV_TO_T12M_EBITDA",$B93+1,$B93+1))),D94))</f>
        <v>0</v>
      </c>
      <c r="E93" s="561">
        <f ca="1">(IFERROR(IFERROR(VALUE(_xll.BDH(E$4,"CURRENT_EV_TO_T12M_EBITDA",$B93,$B93)),VALUE(_xll.BDH(E$4,"CURRENT_EV_TO_T12M_EBITDA",$B93+1,$B93+1))),E94))</f>
        <v>0</v>
      </c>
      <c r="F93" s="561">
        <f ca="1">(IFERROR(IFERROR(VALUE(_xll.BDH(F$4,"CURRENT_EV_TO_T12M_EBITDA",$B93,$B93)),VALUE(_xll.BDH(F$4,"CURRENT_EV_TO_T12M_EBITDA",$B93+1,$B93+1))),F94))</f>
        <v>0</v>
      </c>
      <c r="G93" s="561">
        <f ca="1">(IFERROR(IFERROR(VALUE(_xll.BDH(G$4,"CURRENT_EV_TO_T12M_EBITDA",$B93,$B93)),VALUE(_xll.BDH(G$4,"CURRENT_EV_TO_T12M_EBITDA",$B93+1,$B93+1))),G94))</f>
        <v>0</v>
      </c>
      <c r="H93" s="561">
        <f ca="1">(IFERROR(IFERROR(VALUE(_xll.BDH(H$4,"CURRENT_EV_TO_T12M_EBITDA",$B93,$B93)),VALUE(_xll.BDH(H$4,"CURRENT_EV_TO_T12M_EBITDA",$B93+1,$B93+1))),H94))</f>
        <v>0</v>
      </c>
      <c r="I93" s="565">
        <f t="shared" ca="1" si="24"/>
        <v>45324</v>
      </c>
      <c r="J93" s="561">
        <f ca="1">(IFERROR(IFERROR(VALUE(_xll.BDH(J$4,"PE_RATIO",$B93,$B93)),VALUE(_xll.BDH(J$4,"PE_RATIO",$B93+1,$B93+1))),J94))</f>
        <v>0</v>
      </c>
      <c r="K93" s="561">
        <f ca="1">(IFERROR(IFERROR(VALUE(_xll.BDH(K$4,"PE_RATIO",$B93,$B93)),VALUE(_xll.BDH(K$4,"PE_RATIO",$B93+1,$B93+1))),K94))</f>
        <v>0</v>
      </c>
      <c r="L93" s="561">
        <f ca="1">(IFERROR(IFERROR(VALUE(_xll.BDH(L$4,"PE_RATIO",$B93,$B93)),VALUE(_xll.BDH(L$4,"PE_RATIO",$B93+1,$B93+1))),L94))</f>
        <v>0</v>
      </c>
      <c r="M93" s="561">
        <f ca="1">(IFERROR(IFERROR(VALUE(_xll.BDH(M$4,"PE_RATIO",$B93,$B93)),VALUE(_xll.BDH(M$4,"PE_RATIO",$B93+1,$B93+1))),M94))</f>
        <v>0</v>
      </c>
      <c r="N93" s="561">
        <f ca="1">(IFERROR(IFERROR(VALUE(_xll.BDH(N$4,"PE_RATIO",$B93,$B93)),VALUE(_xll.BDH(N$4,"PE_RATIO",$B93+1,$B93+1))),N94))</f>
        <v>0</v>
      </c>
      <c r="O93" s="561">
        <f ca="1">(IFERROR(IFERROR(VALUE(_xll.BDH(O$4,"PE_RATIO",$B93,$B93)),VALUE(_xll.BDH(O$4,"PE_RATIO",$B93+1,$B93+1))),O94))</f>
        <v>0</v>
      </c>
      <c r="P93" s="561"/>
      <c r="Q93" s="565">
        <f t="shared" ca="1" si="25"/>
        <v>45324</v>
      </c>
      <c r="R93" s="4">
        <v>56.68</v>
      </c>
      <c r="S93" s="4">
        <v>4742.83</v>
      </c>
      <c r="T93" s="4">
        <v>265.39600000000002</v>
      </c>
      <c r="U93" s="4">
        <v>0.93639517594581201</v>
      </c>
      <c r="V93" s="4">
        <v>1.3003709603568676</v>
      </c>
      <c r="W93" s="4" t="e">
        <v>#DIV/0!</v>
      </c>
      <c r="Y93" s="561">
        <f t="shared" si="26"/>
        <v>56.68</v>
      </c>
      <c r="Z93" s="4">
        <f ca="1">IFERROR(VALUE(_xll.BDH(Z$4,"PX_LAST",$Q93,$Q93)),Z94)</f>
        <v>0</v>
      </c>
      <c r="AA93" s="4">
        <f ca="1">IFERROR(VALUE(_xll.BDH(AA$4,"PX_LAST",$Q93,$Q93)),AA94)</f>
        <v>0</v>
      </c>
      <c r="AB93" s="4">
        <f ca="1">IFERROR(VALUE(_xll.BDH(AB$4,"PX_LAST",$Q93,$Q93)),AB94)</f>
        <v>0</v>
      </c>
      <c r="AC93" s="4">
        <f ca="1">IFERROR(VALUE(_xll.BDH(AC$4,"PX_LAST",$Q93,$Q93)),AC94)</f>
        <v>0</v>
      </c>
      <c r="AD93" s="4">
        <f ca="1">IFERROR(VALUE(_xll.BDH(AD$4,"PX_LAST",$Q93,$Q93)),AD94)</f>
        <v>0</v>
      </c>
      <c r="AF93" s="4">
        <f t="shared" si="27"/>
        <v>0.93639517594581201</v>
      </c>
      <c r="AG93" s="4" t="e">
        <f t="shared" ca="1" si="28"/>
        <v>#DIV/0!</v>
      </c>
      <c r="AH93" s="4" t="e">
        <f t="shared" ca="1" si="29"/>
        <v>#DIV/0!</v>
      </c>
      <c r="AI93" s="4" t="e">
        <f t="shared" ca="1" si="30"/>
        <v>#DIV/0!</v>
      </c>
      <c r="AJ93" s="4" t="e">
        <f t="shared" ca="1" si="31"/>
        <v>#DIV/0!</v>
      </c>
      <c r="AK93" s="4" t="e">
        <f t="shared" ca="1" si="32"/>
        <v>#DIV/0!</v>
      </c>
      <c r="AM93" s="563">
        <f t="shared" ca="1" si="33"/>
        <v>45851</v>
      </c>
      <c r="AN93" s="564">
        <v>94.83</v>
      </c>
      <c r="AO93" s="564">
        <v>543950</v>
      </c>
      <c r="AP93" s="564">
        <v>48539.625999999997</v>
      </c>
      <c r="AQ93" s="564">
        <v>4603012.7335799998</v>
      </c>
      <c r="AR93" s="564">
        <v>1.0841000000000001</v>
      </c>
    </row>
    <row r="94" spans="2:44">
      <c r="B94" s="565">
        <f t="shared" ca="1" si="34"/>
        <v>45317</v>
      </c>
      <c r="C94" s="561">
        <f ca="1">(IFERROR(IFERROR(VALUE(_xll.BDH(C$4,"CURRENT_EV_TO_T12M_EBITDA",$B94,$B94)),VALUE(_xll.BDH(C$4,"CURRENT_EV_TO_T12M_EBITDA",$B94+1,$B94+1))),C95))</f>
        <v>0</v>
      </c>
      <c r="D94" s="561">
        <f ca="1">(IFERROR(IFERROR(VALUE(_xll.BDH(D$4,"CURRENT_EV_TO_T12M_EBITDA",$B94,$B94)),VALUE(_xll.BDH(D$4,"CURRENT_EV_TO_T12M_EBITDA",$B94+1,$B94+1))),D95))</f>
        <v>0</v>
      </c>
      <c r="E94" s="561">
        <f ca="1">(IFERROR(IFERROR(VALUE(_xll.BDH(E$4,"CURRENT_EV_TO_T12M_EBITDA",$B94,$B94)),VALUE(_xll.BDH(E$4,"CURRENT_EV_TO_T12M_EBITDA",$B94+1,$B94+1))),E95))</f>
        <v>0</v>
      </c>
      <c r="F94" s="561">
        <f ca="1">(IFERROR(IFERROR(VALUE(_xll.BDH(F$4,"CURRENT_EV_TO_T12M_EBITDA",$B94,$B94)),VALUE(_xll.BDH(F$4,"CURRENT_EV_TO_T12M_EBITDA",$B94+1,$B94+1))),F95))</f>
        <v>0</v>
      </c>
      <c r="G94" s="561">
        <f ca="1">(IFERROR(IFERROR(VALUE(_xll.BDH(G$4,"CURRENT_EV_TO_T12M_EBITDA",$B94,$B94)),VALUE(_xll.BDH(G$4,"CURRENT_EV_TO_T12M_EBITDA",$B94+1,$B94+1))),G95))</f>
        <v>0</v>
      </c>
      <c r="H94" s="561">
        <f ca="1">(IFERROR(IFERROR(VALUE(_xll.BDH(H$4,"CURRENT_EV_TO_T12M_EBITDA",$B94,$B94)),VALUE(_xll.BDH(H$4,"CURRENT_EV_TO_T12M_EBITDA",$B94+1,$B94+1))),H95))</f>
        <v>0</v>
      </c>
      <c r="I94" s="565">
        <f t="shared" ca="1" si="24"/>
        <v>45317</v>
      </c>
      <c r="J94" s="561">
        <f ca="1">(IFERROR(IFERROR(VALUE(_xll.BDH(J$4,"PE_RATIO",$B94,$B94)),VALUE(_xll.BDH(J$4,"PE_RATIO",$B94+1,$B94+1))),J95))</f>
        <v>0</v>
      </c>
      <c r="K94" s="561">
        <f ca="1">(IFERROR(IFERROR(VALUE(_xll.BDH(K$4,"PE_RATIO",$B94,$B94)),VALUE(_xll.BDH(K$4,"PE_RATIO",$B94+1,$B94+1))),K95))</f>
        <v>0</v>
      </c>
      <c r="L94" s="561">
        <f ca="1">(IFERROR(IFERROR(VALUE(_xll.BDH(L$4,"PE_RATIO",$B94,$B94)),VALUE(_xll.BDH(L$4,"PE_RATIO",$B94+1,$B94+1))),L95))</f>
        <v>0</v>
      </c>
      <c r="M94" s="561">
        <f ca="1">(IFERROR(IFERROR(VALUE(_xll.BDH(M$4,"PE_RATIO",$B94,$B94)),VALUE(_xll.BDH(M$4,"PE_RATIO",$B94+1,$B94+1))),M95))</f>
        <v>0</v>
      </c>
      <c r="N94" s="561">
        <f ca="1">(IFERROR(IFERROR(VALUE(_xll.BDH(N$4,"PE_RATIO",$B94,$B94)),VALUE(_xll.BDH(N$4,"PE_RATIO",$B94+1,$B94+1))),N95))</f>
        <v>0</v>
      </c>
      <c r="O94" s="561">
        <f ca="1">(IFERROR(IFERROR(VALUE(_xll.BDH(O$4,"PE_RATIO",$B94,$B94)),VALUE(_xll.BDH(O$4,"PE_RATIO",$B94+1,$B94+1))),O95))</f>
        <v>0</v>
      </c>
      <c r="P94" s="561"/>
      <c r="Q94" s="565">
        <f t="shared" ca="1" si="25"/>
        <v>45317</v>
      </c>
      <c r="R94" s="4">
        <v>56.64</v>
      </c>
      <c r="S94" s="4">
        <v>4774.75</v>
      </c>
      <c r="T94" s="4">
        <v>265.39600000000002</v>
      </c>
      <c r="U94" s="4">
        <v>0.93573434660498922</v>
      </c>
      <c r="V94" s="4">
        <v>1.3091226636763187</v>
      </c>
      <c r="W94" s="4" t="e">
        <v>#DIV/0!</v>
      </c>
      <c r="Y94" s="561">
        <f t="shared" si="26"/>
        <v>56.64</v>
      </c>
      <c r="Z94" s="4">
        <f ca="1">IFERROR(VALUE(_xll.BDH(Z$4,"PX_LAST",$Q94,$Q94)),Z95)</f>
        <v>0</v>
      </c>
      <c r="AA94" s="4">
        <f ca="1">IFERROR(VALUE(_xll.BDH(AA$4,"PX_LAST",$Q94,$Q94)),AA95)</f>
        <v>0</v>
      </c>
      <c r="AB94" s="4">
        <f ca="1">IFERROR(VALUE(_xll.BDH(AB$4,"PX_LAST",$Q94,$Q94)),AB95)</f>
        <v>0</v>
      </c>
      <c r="AC94" s="4">
        <f ca="1">IFERROR(VALUE(_xll.BDH(AC$4,"PX_LAST",$Q94,$Q94)),AC95)</f>
        <v>0</v>
      </c>
      <c r="AD94" s="4">
        <f ca="1">IFERROR(VALUE(_xll.BDH(AD$4,"PX_LAST",$Q94,$Q94)),AD95)</f>
        <v>0</v>
      </c>
      <c r="AF94" s="4">
        <f t="shared" si="27"/>
        <v>0.93573434660498922</v>
      </c>
      <c r="AG94" s="4" t="e">
        <f t="shared" ca="1" si="28"/>
        <v>#DIV/0!</v>
      </c>
      <c r="AH94" s="4" t="e">
        <f t="shared" ca="1" si="29"/>
        <v>#DIV/0!</v>
      </c>
      <c r="AI94" s="4" t="e">
        <f t="shared" ca="1" si="30"/>
        <v>#DIV/0!</v>
      </c>
      <c r="AJ94" s="4" t="e">
        <f t="shared" ca="1" si="31"/>
        <v>#DIV/0!</v>
      </c>
      <c r="AK94" s="4" t="e">
        <f t="shared" ca="1" si="32"/>
        <v>#DIV/0!</v>
      </c>
      <c r="AM94" s="563">
        <f t="shared" ca="1" si="33"/>
        <v>45850</v>
      </c>
      <c r="AN94" s="564">
        <v>92.66</v>
      </c>
      <c r="AO94" s="564">
        <v>864858</v>
      </c>
      <c r="AP94" s="564">
        <v>48539.625999999997</v>
      </c>
      <c r="AQ94" s="564">
        <v>4497681.7451599995</v>
      </c>
      <c r="AR94" s="564">
        <v>1.0592999999999999</v>
      </c>
    </row>
    <row r="95" spans="2:44">
      <c r="B95" s="565">
        <f t="shared" ca="1" si="34"/>
        <v>45310</v>
      </c>
      <c r="C95" s="561">
        <f ca="1">(IFERROR(IFERROR(VALUE(_xll.BDH(C$4,"CURRENT_EV_TO_T12M_EBITDA",$B95,$B95)),VALUE(_xll.BDH(C$4,"CURRENT_EV_TO_T12M_EBITDA",$B95+1,$B95+1))),C96))</f>
        <v>0</v>
      </c>
      <c r="D95" s="561">
        <f ca="1">(IFERROR(IFERROR(VALUE(_xll.BDH(D$4,"CURRENT_EV_TO_T12M_EBITDA",$B95,$B95)),VALUE(_xll.BDH(D$4,"CURRENT_EV_TO_T12M_EBITDA",$B95+1,$B95+1))),D96))</f>
        <v>0</v>
      </c>
      <c r="E95" s="561">
        <f ca="1">(IFERROR(IFERROR(VALUE(_xll.BDH(E$4,"CURRENT_EV_TO_T12M_EBITDA",$B95,$B95)),VALUE(_xll.BDH(E$4,"CURRENT_EV_TO_T12M_EBITDA",$B95+1,$B95+1))),E96))</f>
        <v>0</v>
      </c>
      <c r="F95" s="561">
        <f ca="1">(IFERROR(IFERROR(VALUE(_xll.BDH(F$4,"CURRENT_EV_TO_T12M_EBITDA",$B95,$B95)),VALUE(_xll.BDH(F$4,"CURRENT_EV_TO_T12M_EBITDA",$B95+1,$B95+1))),F96))</f>
        <v>0</v>
      </c>
      <c r="G95" s="561">
        <f ca="1">(IFERROR(IFERROR(VALUE(_xll.BDH(G$4,"CURRENT_EV_TO_T12M_EBITDA",$B95,$B95)),VALUE(_xll.BDH(G$4,"CURRENT_EV_TO_T12M_EBITDA",$B95+1,$B95+1))),G96))</f>
        <v>0</v>
      </c>
      <c r="H95" s="561">
        <f ca="1">(IFERROR(IFERROR(VALUE(_xll.BDH(H$4,"CURRENT_EV_TO_T12M_EBITDA",$B95,$B95)),VALUE(_xll.BDH(H$4,"CURRENT_EV_TO_T12M_EBITDA",$B95+1,$B95+1))),H96))</f>
        <v>0</v>
      </c>
      <c r="I95" s="565">
        <f t="shared" ca="1" si="24"/>
        <v>45310</v>
      </c>
      <c r="J95" s="561">
        <f ca="1">(IFERROR(IFERROR(VALUE(_xll.BDH(J$4,"PE_RATIO",$B95,$B95)),VALUE(_xll.BDH(J$4,"PE_RATIO",$B95+1,$B95+1))),J96))</f>
        <v>0</v>
      </c>
      <c r="K95" s="561">
        <f ca="1">(IFERROR(IFERROR(VALUE(_xll.BDH(K$4,"PE_RATIO",$B95,$B95)),VALUE(_xll.BDH(K$4,"PE_RATIO",$B95+1,$B95+1))),K96))</f>
        <v>0</v>
      </c>
      <c r="L95" s="561">
        <f ca="1">(IFERROR(IFERROR(VALUE(_xll.BDH(L$4,"PE_RATIO",$B95,$B95)),VALUE(_xll.BDH(L$4,"PE_RATIO",$B95+1,$B95+1))),L96))</f>
        <v>0</v>
      </c>
      <c r="M95" s="561">
        <f ca="1">(IFERROR(IFERROR(VALUE(_xll.BDH(M$4,"PE_RATIO",$B95,$B95)),VALUE(_xll.BDH(M$4,"PE_RATIO",$B95+1,$B95+1))),M96))</f>
        <v>0</v>
      </c>
      <c r="N95" s="561">
        <f ca="1">(IFERROR(IFERROR(VALUE(_xll.BDH(N$4,"PE_RATIO",$B95,$B95)),VALUE(_xll.BDH(N$4,"PE_RATIO",$B95+1,$B95+1))),N96))</f>
        <v>0</v>
      </c>
      <c r="O95" s="561">
        <f ca="1">(IFERROR(IFERROR(VALUE(_xll.BDH(O$4,"PE_RATIO",$B95,$B95)),VALUE(_xll.BDH(O$4,"PE_RATIO",$B95+1,$B95+1))),O96))</f>
        <v>0</v>
      </c>
      <c r="P95" s="561"/>
      <c r="Q95" s="565">
        <f t="shared" ca="1" si="25"/>
        <v>45310</v>
      </c>
      <c r="R95" s="4">
        <v>56.93</v>
      </c>
      <c r="S95" s="4">
        <v>4768.37</v>
      </c>
      <c r="T95" s="4">
        <v>265.39600000000002</v>
      </c>
      <c r="U95" s="4">
        <v>0.94052535932595405</v>
      </c>
      <c r="V95" s="4">
        <v>1.307373419717105</v>
      </c>
      <c r="W95" s="4" t="e">
        <v>#DIV/0!</v>
      </c>
      <c r="Y95" s="561">
        <f t="shared" si="26"/>
        <v>56.93</v>
      </c>
      <c r="Z95" s="4">
        <f ca="1">IFERROR(VALUE(_xll.BDH(Z$4,"PX_LAST",$Q95,$Q95)),Z96)</f>
        <v>0</v>
      </c>
      <c r="AA95" s="4">
        <f ca="1">IFERROR(VALUE(_xll.BDH(AA$4,"PX_LAST",$Q95,$Q95)),AA96)</f>
        <v>0</v>
      </c>
      <c r="AB95" s="4">
        <f ca="1">IFERROR(VALUE(_xll.BDH(AB$4,"PX_LAST",$Q95,$Q95)),AB96)</f>
        <v>0</v>
      </c>
      <c r="AC95" s="4">
        <f ca="1">IFERROR(VALUE(_xll.BDH(AC$4,"PX_LAST",$Q95,$Q95)),AC96)</f>
        <v>0</v>
      </c>
      <c r="AD95" s="4">
        <f ca="1">IFERROR(VALUE(_xll.BDH(AD$4,"PX_LAST",$Q95,$Q95)),AD96)</f>
        <v>0</v>
      </c>
      <c r="AF95" s="4">
        <f t="shared" si="27"/>
        <v>0.94052535932595405</v>
      </c>
      <c r="AG95" s="4" t="e">
        <f t="shared" ca="1" si="28"/>
        <v>#DIV/0!</v>
      </c>
      <c r="AH95" s="4" t="e">
        <f t="shared" ca="1" si="29"/>
        <v>#DIV/0!</v>
      </c>
      <c r="AI95" s="4" t="e">
        <f t="shared" ca="1" si="30"/>
        <v>#DIV/0!</v>
      </c>
      <c r="AJ95" s="4" t="e">
        <f t="shared" ca="1" si="31"/>
        <v>#DIV/0!</v>
      </c>
      <c r="AK95" s="4" t="e">
        <f t="shared" ca="1" si="32"/>
        <v>#DIV/0!</v>
      </c>
      <c r="AM95" s="563">
        <f t="shared" ca="1" si="33"/>
        <v>45849</v>
      </c>
      <c r="AN95" s="564">
        <v>96.1</v>
      </c>
      <c r="AO95" s="564">
        <v>704456</v>
      </c>
      <c r="AP95" s="564">
        <v>48539.625999999997</v>
      </c>
      <c r="AQ95" s="564">
        <v>4664658.0585999992</v>
      </c>
      <c r="AR95" s="564">
        <v>1.0986</v>
      </c>
    </row>
    <row r="96" spans="2:44">
      <c r="B96" s="565">
        <f t="shared" ca="1" si="34"/>
        <v>45303</v>
      </c>
      <c r="C96" s="561">
        <f ca="1">(IFERROR(IFERROR(VALUE(_xll.BDH(C$4,"CURRENT_EV_TO_T12M_EBITDA",$B96,$B96)),VALUE(_xll.BDH(C$4,"CURRENT_EV_TO_T12M_EBITDA",$B96+1,$B96+1))),C97))</f>
        <v>0</v>
      </c>
      <c r="D96" s="561">
        <f ca="1">(IFERROR(IFERROR(VALUE(_xll.BDH(D$4,"CURRENT_EV_TO_T12M_EBITDA",$B96,$B96)),VALUE(_xll.BDH(D$4,"CURRENT_EV_TO_T12M_EBITDA",$B96+1,$B96+1))),D97))</f>
        <v>0</v>
      </c>
      <c r="E96" s="561">
        <f ca="1">(IFERROR(IFERROR(VALUE(_xll.BDH(E$4,"CURRENT_EV_TO_T12M_EBITDA",$B96,$B96)),VALUE(_xll.BDH(E$4,"CURRENT_EV_TO_T12M_EBITDA",$B96+1,$B96+1))),E97))</f>
        <v>0</v>
      </c>
      <c r="F96" s="561">
        <f ca="1">(IFERROR(IFERROR(VALUE(_xll.BDH(F$4,"CURRENT_EV_TO_T12M_EBITDA",$B96,$B96)),VALUE(_xll.BDH(F$4,"CURRENT_EV_TO_T12M_EBITDA",$B96+1,$B96+1))),F97))</f>
        <v>0</v>
      </c>
      <c r="G96" s="561">
        <f ca="1">(IFERROR(IFERROR(VALUE(_xll.BDH(G$4,"CURRENT_EV_TO_T12M_EBITDA",$B96,$B96)),VALUE(_xll.BDH(G$4,"CURRENT_EV_TO_T12M_EBITDA",$B96+1,$B96+1))),G97))</f>
        <v>0</v>
      </c>
      <c r="H96" s="561">
        <f ca="1">(IFERROR(IFERROR(VALUE(_xll.BDH(H$4,"CURRENT_EV_TO_T12M_EBITDA",$B96,$B96)),VALUE(_xll.BDH(H$4,"CURRENT_EV_TO_T12M_EBITDA",$B96+1,$B96+1))),H97))</f>
        <v>0</v>
      </c>
      <c r="I96" s="565">
        <f t="shared" ca="1" si="24"/>
        <v>45303</v>
      </c>
      <c r="J96" s="561">
        <f ca="1">(IFERROR(IFERROR(VALUE(_xll.BDH(J$4,"PE_RATIO",$B96,$B96)),VALUE(_xll.BDH(J$4,"PE_RATIO",$B96+1,$B96+1))),J97))</f>
        <v>0</v>
      </c>
      <c r="K96" s="561">
        <f ca="1">(IFERROR(IFERROR(VALUE(_xll.BDH(K$4,"PE_RATIO",$B96,$B96)),VALUE(_xll.BDH(K$4,"PE_RATIO",$B96+1,$B96+1))),K97))</f>
        <v>0</v>
      </c>
      <c r="L96" s="561">
        <f ca="1">(IFERROR(IFERROR(VALUE(_xll.BDH(L$4,"PE_RATIO",$B96,$B96)),VALUE(_xll.BDH(L$4,"PE_RATIO",$B96+1,$B96+1))),L97))</f>
        <v>0</v>
      </c>
      <c r="M96" s="561">
        <f ca="1">(IFERROR(IFERROR(VALUE(_xll.BDH(M$4,"PE_RATIO",$B96,$B96)),VALUE(_xll.BDH(M$4,"PE_RATIO",$B96+1,$B96+1))),M97))</f>
        <v>0</v>
      </c>
      <c r="N96" s="561">
        <f ca="1">(IFERROR(IFERROR(VALUE(_xll.BDH(N$4,"PE_RATIO",$B96,$B96)),VALUE(_xll.BDH(N$4,"PE_RATIO",$B96+1,$B96+1))),N97))</f>
        <v>0</v>
      </c>
      <c r="O96" s="561">
        <f ca="1">(IFERROR(IFERROR(VALUE(_xll.BDH(O$4,"PE_RATIO",$B96,$B96)),VALUE(_xll.BDH(O$4,"PE_RATIO",$B96+1,$B96+1))),O97))</f>
        <v>0</v>
      </c>
      <c r="P96" s="561"/>
      <c r="Q96" s="565">
        <f t="shared" ca="1" si="25"/>
        <v>45303</v>
      </c>
      <c r="R96" s="4">
        <v>48.89</v>
      </c>
      <c r="S96" s="4">
        <v>4643.7</v>
      </c>
      <c r="T96" s="4">
        <v>265.39600000000002</v>
      </c>
      <c r="U96" s="4">
        <v>0.80769866182058481</v>
      </c>
      <c r="V96" s="4">
        <v>1.2731918767084602</v>
      </c>
      <c r="W96" s="4" t="e">
        <v>#DIV/0!</v>
      </c>
      <c r="Y96" s="561">
        <f t="shared" si="26"/>
        <v>48.89</v>
      </c>
      <c r="Z96" s="4">
        <f ca="1">IFERROR(VALUE(_xll.BDH(Z$4,"PX_LAST",$Q96,$Q96)),Z97)</f>
        <v>0</v>
      </c>
      <c r="AA96" s="4">
        <f ca="1">IFERROR(VALUE(_xll.BDH(AA$4,"PX_LAST",$Q96,$Q96)),AA97)</f>
        <v>0</v>
      </c>
      <c r="AB96" s="4">
        <f ca="1">IFERROR(VALUE(_xll.BDH(AB$4,"PX_LAST",$Q96,$Q96)),AB97)</f>
        <v>0</v>
      </c>
      <c r="AC96" s="4">
        <f ca="1">IFERROR(VALUE(_xll.BDH(AC$4,"PX_LAST",$Q96,$Q96)),AC97)</f>
        <v>0</v>
      </c>
      <c r="AD96" s="4">
        <f ca="1">IFERROR(VALUE(_xll.BDH(AD$4,"PX_LAST",$Q96,$Q96)),AD97)</f>
        <v>0</v>
      </c>
      <c r="AF96" s="4">
        <f t="shared" si="27"/>
        <v>0.80769866182058481</v>
      </c>
      <c r="AG96" s="4" t="e">
        <f t="shared" ca="1" si="28"/>
        <v>#DIV/0!</v>
      </c>
      <c r="AH96" s="4" t="e">
        <f t="shared" ca="1" si="29"/>
        <v>#DIV/0!</v>
      </c>
      <c r="AI96" s="4" t="e">
        <f t="shared" ca="1" si="30"/>
        <v>#DIV/0!</v>
      </c>
      <c r="AJ96" s="4" t="e">
        <f t="shared" ca="1" si="31"/>
        <v>#DIV/0!</v>
      </c>
      <c r="AK96" s="4" t="e">
        <f t="shared" ca="1" si="32"/>
        <v>#DIV/0!</v>
      </c>
      <c r="AM96" s="563">
        <f t="shared" ca="1" si="33"/>
        <v>45848</v>
      </c>
      <c r="AN96" s="564">
        <v>97.55</v>
      </c>
      <c r="AO96" s="564">
        <v>501308</v>
      </c>
      <c r="AP96" s="564">
        <v>48539.625999999997</v>
      </c>
      <c r="AQ96" s="564">
        <v>4735040.5162999993</v>
      </c>
      <c r="AR96" s="564">
        <v>1.1152</v>
      </c>
    </row>
    <row r="97" spans="2:44">
      <c r="B97" s="565">
        <f t="shared" ca="1" si="34"/>
        <v>45296</v>
      </c>
      <c r="C97" s="561">
        <f ca="1">(IFERROR(IFERROR(VALUE(_xll.BDH(C$4,"CURRENT_EV_TO_T12M_EBITDA",$B97,$B97)),VALUE(_xll.BDH(C$4,"CURRENT_EV_TO_T12M_EBITDA",$B97+1,$B97+1))),C98))</f>
        <v>0</v>
      </c>
      <c r="D97" s="561">
        <f ca="1">(IFERROR(IFERROR(VALUE(_xll.BDH(D$4,"CURRENT_EV_TO_T12M_EBITDA",$B97,$B97)),VALUE(_xll.BDH(D$4,"CURRENT_EV_TO_T12M_EBITDA",$B97+1,$B97+1))),D98))</f>
        <v>0</v>
      </c>
      <c r="E97" s="561">
        <f ca="1">(IFERROR(IFERROR(VALUE(_xll.BDH(E$4,"CURRENT_EV_TO_T12M_EBITDA",$B97,$B97)),VALUE(_xll.BDH(E$4,"CURRENT_EV_TO_T12M_EBITDA",$B97+1,$B97+1))),E98))</f>
        <v>0</v>
      </c>
      <c r="F97" s="561">
        <f ca="1">(IFERROR(IFERROR(VALUE(_xll.BDH(F$4,"CURRENT_EV_TO_T12M_EBITDA",$B97,$B97)),VALUE(_xll.BDH(F$4,"CURRENT_EV_TO_T12M_EBITDA",$B97+1,$B97+1))),F98))</f>
        <v>0</v>
      </c>
      <c r="G97" s="561">
        <f ca="1">(IFERROR(IFERROR(VALUE(_xll.BDH(G$4,"CURRENT_EV_TO_T12M_EBITDA",$B97,$B97)),VALUE(_xll.BDH(G$4,"CURRENT_EV_TO_T12M_EBITDA",$B97+1,$B97+1))),G98))</f>
        <v>0</v>
      </c>
      <c r="H97" s="561">
        <f ca="1">(IFERROR(IFERROR(VALUE(_xll.BDH(H$4,"CURRENT_EV_TO_T12M_EBITDA",$B97,$B97)),VALUE(_xll.BDH(H$4,"CURRENT_EV_TO_T12M_EBITDA",$B97+1,$B97+1))),H98))</f>
        <v>0</v>
      </c>
      <c r="I97" s="565">
        <f t="shared" ca="1" si="24"/>
        <v>45296</v>
      </c>
      <c r="J97" s="561">
        <f ca="1">(IFERROR(IFERROR(VALUE(_xll.BDH(J$4,"PE_RATIO",$B97,$B97)),VALUE(_xll.BDH(J$4,"PE_RATIO",$B97+1,$B97+1))),J98))</f>
        <v>0</v>
      </c>
      <c r="K97" s="561">
        <f ca="1">(IFERROR(IFERROR(VALUE(_xll.BDH(K$4,"PE_RATIO",$B97,$B97)),VALUE(_xll.BDH(K$4,"PE_RATIO",$B97+1,$B97+1))),K98))</f>
        <v>0</v>
      </c>
      <c r="L97" s="561">
        <f ca="1">(IFERROR(IFERROR(VALUE(_xll.BDH(L$4,"PE_RATIO",$B97,$B97)),VALUE(_xll.BDH(L$4,"PE_RATIO",$B97+1,$B97+1))),L98))</f>
        <v>0</v>
      </c>
      <c r="M97" s="561">
        <f ca="1">(IFERROR(IFERROR(VALUE(_xll.BDH(M$4,"PE_RATIO",$B97,$B97)),VALUE(_xll.BDH(M$4,"PE_RATIO",$B97+1,$B97+1))),M98))</f>
        <v>0</v>
      </c>
      <c r="N97" s="561">
        <f ca="1">(IFERROR(IFERROR(VALUE(_xll.BDH(N$4,"PE_RATIO",$B97,$B97)),VALUE(_xll.BDH(N$4,"PE_RATIO",$B97+1,$B97+1))),N98))</f>
        <v>0</v>
      </c>
      <c r="O97" s="561">
        <f ca="1">(IFERROR(IFERROR(VALUE(_xll.BDH(O$4,"PE_RATIO",$B97,$B97)),VALUE(_xll.BDH(O$4,"PE_RATIO",$B97+1,$B97+1))),O98))</f>
        <v>0</v>
      </c>
      <c r="P97" s="561"/>
      <c r="Q97" s="565">
        <f t="shared" ca="1" si="25"/>
        <v>45296</v>
      </c>
      <c r="R97" s="4">
        <v>49.72</v>
      </c>
      <c r="S97" s="4">
        <v>4567.18</v>
      </c>
      <c r="T97" s="4">
        <v>265.39600000000002</v>
      </c>
      <c r="U97" s="4">
        <v>0.8214108706426565</v>
      </c>
      <c r="V97" s="4">
        <v>1.2522119162446639</v>
      </c>
      <c r="W97" s="4" t="e">
        <v>#DIV/0!</v>
      </c>
      <c r="Y97" s="561">
        <f t="shared" si="26"/>
        <v>49.72</v>
      </c>
      <c r="Z97" s="4">
        <f ca="1">IFERROR(VALUE(_xll.BDH(Z$4,"PX_LAST",$Q97,$Q97)),Z98)</f>
        <v>0</v>
      </c>
      <c r="AA97" s="4">
        <f ca="1">IFERROR(VALUE(_xll.BDH(AA$4,"PX_LAST",$Q97,$Q97)),AA98)</f>
        <v>0</v>
      </c>
      <c r="AB97" s="4">
        <f ca="1">IFERROR(VALUE(_xll.BDH(AB$4,"PX_LAST",$Q97,$Q97)),AB98)</f>
        <v>0</v>
      </c>
      <c r="AC97" s="4">
        <f ca="1">IFERROR(VALUE(_xll.BDH(AC$4,"PX_LAST",$Q97,$Q97)),AC98)</f>
        <v>0</v>
      </c>
      <c r="AD97" s="4">
        <f ca="1">IFERROR(VALUE(_xll.BDH(AD$4,"PX_LAST",$Q97,$Q97)),AD98)</f>
        <v>0</v>
      </c>
      <c r="AF97" s="4">
        <f t="shared" si="27"/>
        <v>0.8214108706426565</v>
      </c>
      <c r="AG97" s="4" t="e">
        <f t="shared" ca="1" si="28"/>
        <v>#DIV/0!</v>
      </c>
      <c r="AH97" s="4" t="e">
        <f t="shared" ca="1" si="29"/>
        <v>#DIV/0!</v>
      </c>
      <c r="AI97" s="4" t="e">
        <f t="shared" ca="1" si="30"/>
        <v>#DIV/0!</v>
      </c>
      <c r="AJ97" s="4" t="e">
        <f t="shared" ca="1" si="31"/>
        <v>#DIV/0!</v>
      </c>
      <c r="AK97" s="4" t="e">
        <f t="shared" ca="1" si="32"/>
        <v>#DIV/0!</v>
      </c>
      <c r="AM97" s="563">
        <f t="shared" ca="1" si="33"/>
        <v>45847</v>
      </c>
      <c r="AN97" s="564">
        <v>98.13</v>
      </c>
      <c r="AO97" s="564">
        <v>494053</v>
      </c>
      <c r="AP97" s="564">
        <v>48539.625999999997</v>
      </c>
      <c r="AQ97" s="564">
        <v>4763193.499379999</v>
      </c>
      <c r="AR97" s="564">
        <v>1.1217999999999999</v>
      </c>
    </row>
    <row r="98" spans="2:44">
      <c r="B98" s="565">
        <f t="shared" ca="1" si="34"/>
        <v>45289</v>
      </c>
      <c r="C98" s="561">
        <f ca="1">(IFERROR(IFERROR(VALUE(_xll.BDH(C$4,"CURRENT_EV_TO_T12M_EBITDA",$B98,$B98)),VALUE(_xll.BDH(C$4,"CURRENT_EV_TO_T12M_EBITDA",$B98+1,$B98+1))),C99))</f>
        <v>0</v>
      </c>
      <c r="D98" s="561">
        <f ca="1">(IFERROR(IFERROR(VALUE(_xll.BDH(D$4,"CURRENT_EV_TO_T12M_EBITDA",$B98,$B98)),VALUE(_xll.BDH(D$4,"CURRENT_EV_TO_T12M_EBITDA",$B98+1,$B98+1))),D99))</f>
        <v>0</v>
      </c>
      <c r="E98" s="561">
        <f ca="1">(IFERROR(IFERROR(VALUE(_xll.BDH(E$4,"CURRENT_EV_TO_T12M_EBITDA",$B98,$B98)),VALUE(_xll.BDH(E$4,"CURRENT_EV_TO_T12M_EBITDA",$B98+1,$B98+1))),E99))</f>
        <v>0</v>
      </c>
      <c r="F98" s="561">
        <f ca="1">(IFERROR(IFERROR(VALUE(_xll.BDH(F$4,"CURRENT_EV_TO_T12M_EBITDA",$B98,$B98)),VALUE(_xll.BDH(F$4,"CURRENT_EV_TO_T12M_EBITDA",$B98+1,$B98+1))),F99))</f>
        <v>0</v>
      </c>
      <c r="G98" s="561">
        <f ca="1">(IFERROR(IFERROR(VALUE(_xll.BDH(G$4,"CURRENT_EV_TO_T12M_EBITDA",$B98,$B98)),VALUE(_xll.BDH(G$4,"CURRENT_EV_TO_T12M_EBITDA",$B98+1,$B98+1))),G99))</f>
        <v>0</v>
      </c>
      <c r="H98" s="561">
        <f ca="1">(IFERROR(IFERROR(VALUE(_xll.BDH(H$4,"CURRENT_EV_TO_T12M_EBITDA",$B98,$B98)),VALUE(_xll.BDH(H$4,"CURRENT_EV_TO_T12M_EBITDA",$B98+1,$B98+1))),H99))</f>
        <v>0</v>
      </c>
      <c r="I98" s="565">
        <f t="shared" ca="1" si="24"/>
        <v>45289</v>
      </c>
      <c r="J98" s="561">
        <f ca="1">(IFERROR(IFERROR(VALUE(_xll.BDH(J$4,"PE_RATIO",$B98,$B98)),VALUE(_xll.BDH(J$4,"PE_RATIO",$B98+1,$B98+1))),J99))</f>
        <v>0</v>
      </c>
      <c r="K98" s="561">
        <f ca="1">(IFERROR(IFERROR(VALUE(_xll.BDH(K$4,"PE_RATIO",$B98,$B98)),VALUE(_xll.BDH(K$4,"PE_RATIO",$B98+1,$B98+1))),K99))</f>
        <v>0</v>
      </c>
      <c r="L98" s="561">
        <f ca="1">(IFERROR(IFERROR(VALUE(_xll.BDH(L$4,"PE_RATIO",$B98,$B98)),VALUE(_xll.BDH(L$4,"PE_RATIO",$B98+1,$B98+1))),L99))</f>
        <v>0</v>
      </c>
      <c r="M98" s="561">
        <f ca="1">(IFERROR(IFERROR(VALUE(_xll.BDH(M$4,"PE_RATIO",$B98,$B98)),VALUE(_xll.BDH(M$4,"PE_RATIO",$B98+1,$B98+1))),M99))</f>
        <v>0</v>
      </c>
      <c r="N98" s="561">
        <f ca="1">(IFERROR(IFERROR(VALUE(_xll.BDH(N$4,"PE_RATIO",$B98,$B98)),VALUE(_xll.BDH(N$4,"PE_RATIO",$B98+1,$B98+1))),N99))</f>
        <v>0</v>
      </c>
      <c r="O98" s="561">
        <f ca="1">(IFERROR(IFERROR(VALUE(_xll.BDH(O$4,"PE_RATIO",$B98,$B98)),VALUE(_xll.BDH(O$4,"PE_RATIO",$B98+1,$B98+1))),O99))</f>
        <v>0</v>
      </c>
      <c r="P98" s="561"/>
      <c r="Q98" s="565">
        <f t="shared" ca="1" si="25"/>
        <v>45289</v>
      </c>
      <c r="R98" s="4">
        <v>46.52</v>
      </c>
      <c r="S98" s="4">
        <v>4554.8900000000003</v>
      </c>
      <c r="T98" s="4">
        <v>265.39600000000002</v>
      </c>
      <c r="U98" s="4">
        <v>0.76854452337683798</v>
      </c>
      <c r="V98" s="4">
        <v>1.24884229112574</v>
      </c>
      <c r="W98" s="4" t="e">
        <v>#DIV/0!</v>
      </c>
      <c r="Y98" s="561">
        <f t="shared" si="26"/>
        <v>46.52</v>
      </c>
      <c r="Z98" s="4">
        <f ca="1">IFERROR(VALUE(_xll.BDH(Z$4,"PX_LAST",$Q98,$Q98)),Z99)</f>
        <v>0</v>
      </c>
      <c r="AA98" s="4">
        <f ca="1">IFERROR(VALUE(_xll.BDH(AA$4,"PX_LAST",$Q98,$Q98)),AA99)</f>
        <v>0</v>
      </c>
      <c r="AB98" s="4">
        <f ca="1">IFERROR(VALUE(_xll.BDH(AB$4,"PX_LAST",$Q98,$Q98)),AB99)</f>
        <v>0</v>
      </c>
      <c r="AC98" s="4">
        <f ca="1">IFERROR(VALUE(_xll.BDH(AC$4,"PX_LAST",$Q98,$Q98)),AC99)</f>
        <v>0</v>
      </c>
      <c r="AD98" s="4">
        <f ca="1">IFERROR(VALUE(_xll.BDH(AD$4,"PX_LAST",$Q98,$Q98)),AD99)</f>
        <v>0</v>
      </c>
      <c r="AF98" s="4">
        <f t="shared" si="27"/>
        <v>0.76854452337683798</v>
      </c>
      <c r="AG98" s="4" t="e">
        <f t="shared" ca="1" si="28"/>
        <v>#DIV/0!</v>
      </c>
      <c r="AH98" s="4" t="e">
        <f t="shared" ca="1" si="29"/>
        <v>#DIV/0!</v>
      </c>
      <c r="AI98" s="4" t="e">
        <f t="shared" ca="1" si="30"/>
        <v>#DIV/0!</v>
      </c>
      <c r="AJ98" s="4" t="e">
        <f t="shared" ca="1" si="31"/>
        <v>#DIV/0!</v>
      </c>
      <c r="AK98" s="4" t="e">
        <f t="shared" ca="1" si="32"/>
        <v>#DIV/0!</v>
      </c>
      <c r="AM98" s="563">
        <f t="shared" ca="1" si="33"/>
        <v>45846</v>
      </c>
      <c r="AN98" s="564">
        <v>98.13</v>
      </c>
      <c r="AO98" s="564">
        <v>494053</v>
      </c>
      <c r="AP98" s="564">
        <v>48539.625999999997</v>
      </c>
      <c r="AQ98" s="564">
        <v>4763193.499379999</v>
      </c>
      <c r="AR98" s="564">
        <v>1.1217999999999999</v>
      </c>
    </row>
    <row r="99" spans="2:44">
      <c r="B99" s="565">
        <f t="shared" ca="1" si="34"/>
        <v>45282</v>
      </c>
      <c r="C99" s="561">
        <f ca="1">(IFERROR(IFERROR(VALUE(_xll.BDH(C$4,"CURRENT_EV_TO_T12M_EBITDA",$B99,$B99)),VALUE(_xll.BDH(C$4,"CURRENT_EV_TO_T12M_EBITDA",$B99+1,$B99+1))),C100))</f>
        <v>0</v>
      </c>
      <c r="D99" s="561">
        <f ca="1">(IFERROR(IFERROR(VALUE(_xll.BDH(D$4,"CURRENT_EV_TO_T12M_EBITDA",$B99,$B99)),VALUE(_xll.BDH(D$4,"CURRENT_EV_TO_T12M_EBITDA",$B99+1,$B99+1))),D100))</f>
        <v>0</v>
      </c>
      <c r="E99" s="561">
        <f ca="1">(IFERROR(IFERROR(VALUE(_xll.BDH(E$4,"CURRENT_EV_TO_T12M_EBITDA",$B99,$B99)),VALUE(_xll.BDH(E$4,"CURRENT_EV_TO_T12M_EBITDA",$B99+1,$B99+1))),E100))</f>
        <v>0</v>
      </c>
      <c r="F99" s="561">
        <f ca="1">(IFERROR(IFERROR(VALUE(_xll.BDH(F$4,"CURRENT_EV_TO_T12M_EBITDA",$B99,$B99)),VALUE(_xll.BDH(F$4,"CURRENT_EV_TO_T12M_EBITDA",$B99+1,$B99+1))),F100))</f>
        <v>0</v>
      </c>
      <c r="G99" s="561">
        <f ca="1">(IFERROR(IFERROR(VALUE(_xll.BDH(G$4,"CURRENT_EV_TO_T12M_EBITDA",$B99,$B99)),VALUE(_xll.BDH(G$4,"CURRENT_EV_TO_T12M_EBITDA",$B99+1,$B99+1))),G100))</f>
        <v>0</v>
      </c>
      <c r="H99" s="561">
        <f ca="1">(IFERROR(IFERROR(VALUE(_xll.BDH(H$4,"CURRENT_EV_TO_T12M_EBITDA",$B99,$B99)),VALUE(_xll.BDH(H$4,"CURRENT_EV_TO_T12M_EBITDA",$B99+1,$B99+1))),H100))</f>
        <v>0</v>
      </c>
      <c r="I99" s="565">
        <f t="shared" ca="1" si="24"/>
        <v>45282</v>
      </c>
      <c r="J99" s="561">
        <f ca="1">(IFERROR(IFERROR(VALUE(_xll.BDH(J$4,"PE_RATIO",$B99,$B99)),VALUE(_xll.BDH(J$4,"PE_RATIO",$B99+1,$B99+1))),J100))</f>
        <v>0</v>
      </c>
      <c r="K99" s="561">
        <f ca="1">(IFERROR(IFERROR(VALUE(_xll.BDH(K$4,"PE_RATIO",$B99,$B99)),VALUE(_xll.BDH(K$4,"PE_RATIO",$B99+1,$B99+1))),K100))</f>
        <v>0</v>
      </c>
      <c r="L99" s="561">
        <f ca="1">(IFERROR(IFERROR(VALUE(_xll.BDH(L$4,"PE_RATIO",$B99,$B99)),VALUE(_xll.BDH(L$4,"PE_RATIO",$B99+1,$B99+1))),L100))</f>
        <v>0</v>
      </c>
      <c r="M99" s="561">
        <f ca="1">(IFERROR(IFERROR(VALUE(_xll.BDH(M$4,"PE_RATIO",$B99,$B99)),VALUE(_xll.BDH(M$4,"PE_RATIO",$B99+1,$B99+1))),M100))</f>
        <v>0</v>
      </c>
      <c r="N99" s="561">
        <f ca="1">(IFERROR(IFERROR(VALUE(_xll.BDH(N$4,"PE_RATIO",$B99,$B99)),VALUE(_xll.BDH(N$4,"PE_RATIO",$B99+1,$B99+1))),N100))</f>
        <v>0</v>
      </c>
      <c r="O99" s="561">
        <f ca="1">(IFERROR(IFERROR(VALUE(_xll.BDH(O$4,"PE_RATIO",$B99,$B99)),VALUE(_xll.BDH(O$4,"PE_RATIO",$B99+1,$B99+1))),O100))</f>
        <v>0</v>
      </c>
      <c r="P99" s="561"/>
      <c r="Q99" s="565">
        <f t="shared" ca="1" si="25"/>
        <v>45282</v>
      </c>
      <c r="R99" s="4">
        <v>47.72</v>
      </c>
      <c r="S99" s="4">
        <v>4538.1899999999996</v>
      </c>
      <c r="T99" s="4">
        <v>265.39600000000002</v>
      </c>
      <c r="U99" s="4">
        <v>0.78836940360151986</v>
      </c>
      <c r="V99" s="4">
        <v>1.2442635491008391</v>
      </c>
      <c r="W99" s="4" t="e">
        <v>#DIV/0!</v>
      </c>
      <c r="Y99" s="561">
        <f t="shared" si="26"/>
        <v>47.72</v>
      </c>
      <c r="Z99" s="4">
        <f ca="1">IFERROR(VALUE(_xll.BDH(Z$4,"PX_LAST",$Q99,$Q99)),Z100)</f>
        <v>0</v>
      </c>
      <c r="AA99" s="4">
        <f ca="1">IFERROR(VALUE(_xll.BDH(AA$4,"PX_LAST",$Q99,$Q99)),AA100)</f>
        <v>0</v>
      </c>
      <c r="AB99" s="4">
        <f ca="1">IFERROR(VALUE(_xll.BDH(AB$4,"PX_LAST",$Q99,$Q99)),AB100)</f>
        <v>0</v>
      </c>
      <c r="AC99" s="4">
        <f ca="1">IFERROR(VALUE(_xll.BDH(AC$4,"PX_LAST",$Q99,$Q99)),AC100)</f>
        <v>0</v>
      </c>
      <c r="AD99" s="4">
        <f ca="1">IFERROR(VALUE(_xll.BDH(AD$4,"PX_LAST",$Q99,$Q99)),AD100)</f>
        <v>0</v>
      </c>
      <c r="AF99" s="4">
        <f t="shared" si="27"/>
        <v>0.78836940360151986</v>
      </c>
      <c r="AG99" s="4" t="e">
        <f t="shared" ca="1" si="28"/>
        <v>#DIV/0!</v>
      </c>
      <c r="AH99" s="4" t="e">
        <f t="shared" ca="1" si="29"/>
        <v>#DIV/0!</v>
      </c>
      <c r="AI99" s="4" t="e">
        <f t="shared" ca="1" si="30"/>
        <v>#DIV/0!</v>
      </c>
      <c r="AJ99" s="4" t="e">
        <f t="shared" ca="1" si="31"/>
        <v>#DIV/0!</v>
      </c>
      <c r="AK99" s="4" t="e">
        <f t="shared" ca="1" si="32"/>
        <v>#DIV/0!</v>
      </c>
      <c r="AM99" s="563">
        <f t="shared" ca="1" si="33"/>
        <v>45845</v>
      </c>
      <c r="AN99" s="564">
        <v>98.13</v>
      </c>
      <c r="AO99" s="564">
        <v>494053</v>
      </c>
      <c r="AP99" s="564">
        <v>48539.625999999997</v>
      </c>
      <c r="AQ99" s="564">
        <v>4763193.499379999</v>
      </c>
      <c r="AR99" s="564">
        <v>1.1217999999999999</v>
      </c>
    </row>
    <row r="100" spans="2:44">
      <c r="B100" s="565">
        <f t="shared" ca="1" si="34"/>
        <v>45275</v>
      </c>
      <c r="C100" s="561">
        <f ca="1">(IFERROR(IFERROR(VALUE(_xll.BDH(C$4,"CURRENT_EV_TO_T12M_EBITDA",$B100,$B100)),VALUE(_xll.BDH(C$4,"CURRENT_EV_TO_T12M_EBITDA",$B100+1,$B100+1))),C101))</f>
        <v>0</v>
      </c>
      <c r="D100" s="561">
        <f ca="1">(IFERROR(IFERROR(VALUE(_xll.BDH(D$4,"CURRENT_EV_TO_T12M_EBITDA",$B100,$B100)),VALUE(_xll.BDH(D$4,"CURRENT_EV_TO_T12M_EBITDA",$B100+1,$B100+1))),D101))</f>
        <v>0</v>
      </c>
      <c r="E100" s="561">
        <f ca="1">(IFERROR(IFERROR(VALUE(_xll.BDH(E$4,"CURRENT_EV_TO_T12M_EBITDA",$B100,$B100)),VALUE(_xll.BDH(E$4,"CURRENT_EV_TO_T12M_EBITDA",$B100+1,$B100+1))),E101))</f>
        <v>0</v>
      </c>
      <c r="F100" s="561">
        <f ca="1">(IFERROR(IFERROR(VALUE(_xll.BDH(F$4,"CURRENT_EV_TO_T12M_EBITDA",$B100,$B100)),VALUE(_xll.BDH(F$4,"CURRENT_EV_TO_T12M_EBITDA",$B100+1,$B100+1))),F101))</f>
        <v>0</v>
      </c>
      <c r="G100" s="561">
        <f ca="1">(IFERROR(IFERROR(VALUE(_xll.BDH(G$4,"CURRENT_EV_TO_T12M_EBITDA",$B100,$B100)),VALUE(_xll.BDH(G$4,"CURRENT_EV_TO_T12M_EBITDA",$B100+1,$B100+1))),G101))</f>
        <v>0</v>
      </c>
      <c r="H100" s="561">
        <f ca="1">(IFERROR(IFERROR(VALUE(_xll.BDH(H$4,"CURRENT_EV_TO_T12M_EBITDA",$B100,$B100)),VALUE(_xll.BDH(H$4,"CURRENT_EV_TO_T12M_EBITDA",$B100+1,$B100+1))),H101))</f>
        <v>0</v>
      </c>
      <c r="I100" s="565">
        <f t="shared" ca="1" si="24"/>
        <v>45275</v>
      </c>
      <c r="J100" s="561">
        <f ca="1">(IFERROR(IFERROR(VALUE(_xll.BDH(J$4,"PE_RATIO",$B100,$B100)),VALUE(_xll.BDH(J$4,"PE_RATIO",$B100+1,$B100+1))),J101))</f>
        <v>0</v>
      </c>
      <c r="K100" s="561">
        <f ca="1">(IFERROR(IFERROR(VALUE(_xll.BDH(K$4,"PE_RATIO",$B100,$B100)),VALUE(_xll.BDH(K$4,"PE_RATIO",$B100+1,$B100+1))),K101))</f>
        <v>0</v>
      </c>
      <c r="L100" s="561">
        <f ca="1">(IFERROR(IFERROR(VALUE(_xll.BDH(L$4,"PE_RATIO",$B100,$B100)),VALUE(_xll.BDH(L$4,"PE_RATIO",$B100+1,$B100+1))),L101))</f>
        <v>0</v>
      </c>
      <c r="M100" s="561">
        <f ca="1">(IFERROR(IFERROR(VALUE(_xll.BDH(M$4,"PE_RATIO",$B100,$B100)),VALUE(_xll.BDH(M$4,"PE_RATIO",$B100+1,$B100+1))),M101))</f>
        <v>0</v>
      </c>
      <c r="N100" s="561">
        <f ca="1">(IFERROR(IFERROR(VALUE(_xll.BDH(N$4,"PE_RATIO",$B100,$B100)),VALUE(_xll.BDH(N$4,"PE_RATIO",$B100+1,$B100+1))),N101))</f>
        <v>0</v>
      </c>
      <c r="O100" s="561">
        <f ca="1">(IFERROR(IFERROR(VALUE(_xll.BDH(O$4,"PE_RATIO",$B100,$B100)),VALUE(_xll.BDH(O$4,"PE_RATIO",$B100+1,$B100+1))),O101))</f>
        <v>0</v>
      </c>
      <c r="P100" s="561"/>
      <c r="Q100" s="565">
        <f t="shared" ca="1" si="25"/>
        <v>45275</v>
      </c>
      <c r="R100" s="4">
        <v>50.54</v>
      </c>
      <c r="S100" s="4">
        <v>4495.7</v>
      </c>
      <c r="T100" s="4">
        <v>265.39600000000002</v>
      </c>
      <c r="U100" s="4">
        <v>0.83495787212952255</v>
      </c>
      <c r="V100" s="4">
        <v>1.2326138036734122</v>
      </c>
      <c r="W100" s="4" t="e">
        <v>#DIV/0!</v>
      </c>
      <c r="Y100" s="561">
        <f t="shared" si="26"/>
        <v>50.54</v>
      </c>
      <c r="Z100" s="4">
        <f ca="1">IFERROR(VALUE(_xll.BDH(Z$4,"PX_LAST",$Q100,$Q100)),Z101)</f>
        <v>0</v>
      </c>
      <c r="AA100" s="4">
        <f ca="1">IFERROR(VALUE(_xll.BDH(AA$4,"PX_LAST",$Q100,$Q100)),AA101)</f>
        <v>0</v>
      </c>
      <c r="AB100" s="4">
        <f ca="1">IFERROR(VALUE(_xll.BDH(AB$4,"PX_LAST",$Q100,$Q100)),AB101)</f>
        <v>0</v>
      </c>
      <c r="AC100" s="4">
        <f ca="1">IFERROR(VALUE(_xll.BDH(AC$4,"PX_LAST",$Q100,$Q100)),AC101)</f>
        <v>0</v>
      </c>
      <c r="AD100" s="4">
        <f ca="1">IFERROR(VALUE(_xll.BDH(AD$4,"PX_LAST",$Q100,$Q100)),AD101)</f>
        <v>0</v>
      </c>
      <c r="AF100" s="4">
        <f t="shared" si="27"/>
        <v>0.83495787212952255</v>
      </c>
      <c r="AG100" s="4" t="e">
        <f t="shared" ca="1" si="28"/>
        <v>#DIV/0!</v>
      </c>
      <c r="AH100" s="4" t="e">
        <f t="shared" ca="1" si="29"/>
        <v>#DIV/0!</v>
      </c>
      <c r="AI100" s="4" t="e">
        <f t="shared" ca="1" si="30"/>
        <v>#DIV/0!</v>
      </c>
      <c r="AJ100" s="4" t="e">
        <f t="shared" ca="1" si="31"/>
        <v>#DIV/0!</v>
      </c>
      <c r="AK100" s="4" t="e">
        <f t="shared" ca="1" si="32"/>
        <v>#DIV/0!</v>
      </c>
      <c r="AM100" s="563">
        <f t="shared" ca="1" si="33"/>
        <v>45844</v>
      </c>
      <c r="AN100" s="564">
        <v>95.67</v>
      </c>
      <c r="AO100" s="564">
        <v>523608</v>
      </c>
      <c r="AP100" s="564">
        <v>48539.625999999997</v>
      </c>
      <c r="AQ100" s="564">
        <v>4643786.0194199998</v>
      </c>
      <c r="AR100" s="564">
        <v>1.0936999999999999</v>
      </c>
    </row>
    <row r="101" spans="2:44">
      <c r="B101" s="565">
        <f t="shared" ca="1" si="34"/>
        <v>45268</v>
      </c>
      <c r="C101" s="561">
        <f ca="1">(IFERROR(IFERROR(VALUE(_xll.BDH(C$4,"CURRENT_EV_TO_T12M_EBITDA",$B101,$B101)),VALUE(_xll.BDH(C$4,"CURRENT_EV_TO_T12M_EBITDA",$B101+1,$B101+1))),C102))</f>
        <v>0</v>
      </c>
      <c r="D101" s="561">
        <f ca="1">(IFERROR(IFERROR(VALUE(_xll.BDH(D$4,"CURRENT_EV_TO_T12M_EBITDA",$B101,$B101)),VALUE(_xll.BDH(D$4,"CURRENT_EV_TO_T12M_EBITDA",$B101+1,$B101+1))),D102))</f>
        <v>0</v>
      </c>
      <c r="E101" s="561">
        <f ca="1">(IFERROR(IFERROR(VALUE(_xll.BDH(E$4,"CURRENT_EV_TO_T12M_EBITDA",$B101,$B101)),VALUE(_xll.BDH(E$4,"CURRENT_EV_TO_T12M_EBITDA",$B101+1,$B101+1))),E102))</f>
        <v>0</v>
      </c>
      <c r="F101" s="561">
        <f ca="1">(IFERROR(IFERROR(VALUE(_xll.BDH(F$4,"CURRENT_EV_TO_T12M_EBITDA",$B101,$B101)),VALUE(_xll.BDH(F$4,"CURRENT_EV_TO_T12M_EBITDA",$B101+1,$B101+1))),F102))</f>
        <v>0</v>
      </c>
      <c r="G101" s="561">
        <f ca="1">(IFERROR(IFERROR(VALUE(_xll.BDH(G$4,"CURRENT_EV_TO_T12M_EBITDA",$B101,$B101)),VALUE(_xll.BDH(G$4,"CURRENT_EV_TO_T12M_EBITDA",$B101+1,$B101+1))),G102))</f>
        <v>0</v>
      </c>
      <c r="H101" s="561">
        <f ca="1">(IFERROR(IFERROR(VALUE(_xll.BDH(H$4,"CURRENT_EV_TO_T12M_EBITDA",$B101,$B101)),VALUE(_xll.BDH(H$4,"CURRENT_EV_TO_T12M_EBITDA",$B101+1,$B101+1))),H102))</f>
        <v>0</v>
      </c>
      <c r="I101" s="565">
        <f t="shared" ref="I101:I132" ca="1" si="35">+B101</f>
        <v>45268</v>
      </c>
      <c r="J101" s="561">
        <f ca="1">(IFERROR(IFERROR(VALUE(_xll.BDH(J$4,"PE_RATIO",$B101,$B101)),VALUE(_xll.BDH(J$4,"PE_RATIO",$B101+1,$B101+1))),J102))</f>
        <v>0</v>
      </c>
      <c r="K101" s="561">
        <f ca="1">(IFERROR(IFERROR(VALUE(_xll.BDH(K$4,"PE_RATIO",$B101,$B101)),VALUE(_xll.BDH(K$4,"PE_RATIO",$B101+1,$B101+1))),K102))</f>
        <v>0</v>
      </c>
      <c r="L101" s="561">
        <f ca="1">(IFERROR(IFERROR(VALUE(_xll.BDH(L$4,"PE_RATIO",$B101,$B101)),VALUE(_xll.BDH(L$4,"PE_RATIO",$B101+1,$B101+1))),L102))</f>
        <v>0</v>
      </c>
      <c r="M101" s="561">
        <f ca="1">(IFERROR(IFERROR(VALUE(_xll.BDH(M$4,"PE_RATIO",$B101,$B101)),VALUE(_xll.BDH(M$4,"PE_RATIO",$B101+1,$B101+1))),M102))</f>
        <v>0</v>
      </c>
      <c r="N101" s="561">
        <f ca="1">(IFERROR(IFERROR(VALUE(_xll.BDH(N$4,"PE_RATIO",$B101,$B101)),VALUE(_xll.BDH(N$4,"PE_RATIO",$B101+1,$B101+1))),N102))</f>
        <v>0</v>
      </c>
      <c r="O101" s="561">
        <f ca="1">(IFERROR(IFERROR(VALUE(_xll.BDH(O$4,"PE_RATIO",$B101,$B101)),VALUE(_xll.BDH(O$4,"PE_RATIO",$B101+1,$B101+1))),O102))</f>
        <v>0</v>
      </c>
      <c r="P101" s="561"/>
      <c r="Q101" s="565">
        <f t="shared" ref="Q101:Q132" ca="1" si="36">+I101</f>
        <v>45268</v>
      </c>
      <c r="R101" s="4">
        <v>49.33</v>
      </c>
      <c r="S101" s="4">
        <v>4378.38</v>
      </c>
      <c r="T101" s="4">
        <v>265.39600000000002</v>
      </c>
      <c r="U101" s="4">
        <v>0.81496778456963481</v>
      </c>
      <c r="V101" s="4">
        <v>1.2004474555080622</v>
      </c>
      <c r="W101" s="4" t="e">
        <v>#DIV/0!</v>
      </c>
      <c r="Y101" s="561">
        <f t="shared" ref="Y101:Y132" si="37">+R101</f>
        <v>49.33</v>
      </c>
      <c r="Z101" s="4">
        <f ca="1">IFERROR(VALUE(_xll.BDH(Z$4,"PX_LAST",$Q101,$Q101)),Z102)</f>
        <v>0</v>
      </c>
      <c r="AA101" s="4">
        <f ca="1">IFERROR(VALUE(_xll.BDH(AA$4,"PX_LAST",$Q101,$Q101)),AA102)</f>
        <v>0</v>
      </c>
      <c r="AB101" s="4">
        <f ca="1">IFERROR(VALUE(_xll.BDH(AB$4,"PX_LAST",$Q101,$Q101)),AB102)</f>
        <v>0</v>
      </c>
      <c r="AC101" s="4">
        <f ca="1">IFERROR(VALUE(_xll.BDH(AC$4,"PX_LAST",$Q101,$Q101)),AC102)</f>
        <v>0</v>
      </c>
      <c r="AD101" s="4">
        <f ca="1">IFERROR(VALUE(_xll.BDH(AD$4,"PX_LAST",$Q101,$Q101)),AD102)</f>
        <v>0</v>
      </c>
      <c r="AF101" s="4">
        <f t="shared" ref="AF101:AF132" si="38">+Y101/Y$159</f>
        <v>0.81496778456963481</v>
      </c>
      <c r="AG101" s="4" t="e">
        <f t="shared" ref="AG101:AG132" ca="1" si="39">+Z101/Z$159</f>
        <v>#DIV/0!</v>
      </c>
      <c r="AH101" s="4" t="e">
        <f t="shared" ref="AH101:AH132" ca="1" si="40">+AA101/AA$159</f>
        <v>#DIV/0!</v>
      </c>
      <c r="AI101" s="4" t="e">
        <f t="shared" ref="AI101:AI132" ca="1" si="41">+AB101/AB$159</f>
        <v>#DIV/0!</v>
      </c>
      <c r="AJ101" s="4" t="e">
        <f t="shared" ref="AJ101:AJ132" ca="1" si="42">+AC101/AC$159</f>
        <v>#DIV/0!</v>
      </c>
      <c r="AK101" s="4" t="e">
        <f t="shared" ref="AK101:AK132" ca="1" si="43">+AD101/AD$159</f>
        <v>#DIV/0!</v>
      </c>
      <c r="AM101" s="563">
        <f t="shared" ca="1" si="33"/>
        <v>45843</v>
      </c>
      <c r="AN101" s="564">
        <v>95.4</v>
      </c>
      <c r="AO101" s="564">
        <v>520958</v>
      </c>
      <c r="AP101" s="564">
        <v>48539.625999999997</v>
      </c>
      <c r="AQ101" s="564">
        <v>4630680.3203999996</v>
      </c>
      <c r="AR101" s="564">
        <v>1.0906</v>
      </c>
    </row>
    <row r="102" spans="2:44">
      <c r="B102" s="565">
        <f t="shared" ref="B102:B133" ca="1" si="44">+B101-7</f>
        <v>45261</v>
      </c>
      <c r="C102" s="561">
        <f ca="1">(IFERROR(IFERROR(VALUE(_xll.BDH(C$4,"CURRENT_EV_TO_T12M_EBITDA",$B102,$B102)),VALUE(_xll.BDH(C$4,"CURRENT_EV_TO_T12M_EBITDA",$B102+1,$B102+1))),C103))</f>
        <v>0</v>
      </c>
      <c r="D102" s="561">
        <f ca="1">(IFERROR(IFERROR(VALUE(_xll.BDH(D$4,"CURRENT_EV_TO_T12M_EBITDA",$B102,$B102)),VALUE(_xll.BDH(D$4,"CURRENT_EV_TO_T12M_EBITDA",$B102+1,$B102+1))),D103))</f>
        <v>0</v>
      </c>
      <c r="E102" s="561">
        <f ca="1">(IFERROR(IFERROR(VALUE(_xll.BDH(E$4,"CURRENT_EV_TO_T12M_EBITDA",$B102,$B102)),VALUE(_xll.BDH(E$4,"CURRENT_EV_TO_T12M_EBITDA",$B102+1,$B102+1))),E103))</f>
        <v>0</v>
      </c>
      <c r="F102" s="561">
        <f ca="1">(IFERROR(IFERROR(VALUE(_xll.BDH(F$4,"CURRENT_EV_TO_T12M_EBITDA",$B102,$B102)),VALUE(_xll.BDH(F$4,"CURRENT_EV_TO_T12M_EBITDA",$B102+1,$B102+1))),F103))</f>
        <v>0</v>
      </c>
      <c r="G102" s="561">
        <f ca="1">(IFERROR(IFERROR(VALUE(_xll.BDH(G$4,"CURRENT_EV_TO_T12M_EBITDA",$B102,$B102)),VALUE(_xll.BDH(G$4,"CURRENT_EV_TO_T12M_EBITDA",$B102+1,$B102+1))),G103))</f>
        <v>0</v>
      </c>
      <c r="H102" s="561">
        <f ca="1">(IFERROR(IFERROR(VALUE(_xll.BDH(H$4,"CURRENT_EV_TO_T12M_EBITDA",$B102,$B102)),VALUE(_xll.BDH(H$4,"CURRENT_EV_TO_T12M_EBITDA",$B102+1,$B102+1))),H103))</f>
        <v>0</v>
      </c>
      <c r="I102" s="565">
        <f t="shared" ca="1" si="35"/>
        <v>45261</v>
      </c>
      <c r="J102" s="561">
        <f ca="1">(IFERROR(IFERROR(VALUE(_xll.BDH(J$4,"PE_RATIO",$B102,$B102)),VALUE(_xll.BDH(J$4,"PE_RATIO",$B102+1,$B102+1))),J103))</f>
        <v>0</v>
      </c>
      <c r="K102" s="561">
        <f ca="1">(IFERROR(IFERROR(VALUE(_xll.BDH(K$4,"PE_RATIO",$B102,$B102)),VALUE(_xll.BDH(K$4,"PE_RATIO",$B102+1,$B102+1))),K103))</f>
        <v>0</v>
      </c>
      <c r="L102" s="561">
        <f ca="1">(IFERROR(IFERROR(VALUE(_xll.BDH(L$4,"PE_RATIO",$B102,$B102)),VALUE(_xll.BDH(L$4,"PE_RATIO",$B102+1,$B102+1))),L103))</f>
        <v>0</v>
      </c>
      <c r="M102" s="561">
        <f ca="1">(IFERROR(IFERROR(VALUE(_xll.BDH(M$4,"PE_RATIO",$B102,$B102)),VALUE(_xll.BDH(M$4,"PE_RATIO",$B102+1,$B102+1))),M103))</f>
        <v>0</v>
      </c>
      <c r="N102" s="561">
        <f ca="1">(IFERROR(IFERROR(VALUE(_xll.BDH(N$4,"PE_RATIO",$B102,$B102)),VALUE(_xll.BDH(N$4,"PE_RATIO",$B102+1,$B102+1))),N103))</f>
        <v>0</v>
      </c>
      <c r="O102" s="561">
        <f ca="1">(IFERROR(IFERROR(VALUE(_xll.BDH(O$4,"PE_RATIO",$B102,$B102)),VALUE(_xll.BDH(O$4,"PE_RATIO",$B102+1,$B102+1))),O103))</f>
        <v>0</v>
      </c>
      <c r="P102" s="561"/>
      <c r="Q102" s="565">
        <f t="shared" ca="1" si="36"/>
        <v>45261</v>
      </c>
      <c r="R102" s="4">
        <v>45.31</v>
      </c>
      <c r="S102" s="4">
        <v>4193.8</v>
      </c>
      <c r="T102" s="4">
        <v>265.39600000000002</v>
      </c>
      <c r="U102" s="4">
        <v>0.74855443581695025</v>
      </c>
      <c r="V102" s="4">
        <v>1.1498400182052977</v>
      </c>
      <c r="W102" s="4" t="e">
        <v>#DIV/0!</v>
      </c>
      <c r="Y102" s="561">
        <f t="shared" si="37"/>
        <v>45.31</v>
      </c>
      <c r="Z102" s="4">
        <f ca="1">IFERROR(VALUE(_xll.BDH(Z$4,"PX_LAST",$Q102,$Q102)),Z103)</f>
        <v>0</v>
      </c>
      <c r="AA102" s="4">
        <f ca="1">IFERROR(VALUE(_xll.BDH(AA$4,"PX_LAST",$Q102,$Q102)),AA103)</f>
        <v>0</v>
      </c>
      <c r="AB102" s="4">
        <f ca="1">IFERROR(VALUE(_xll.BDH(AB$4,"PX_LAST",$Q102,$Q102)),AB103)</f>
        <v>0</v>
      </c>
      <c r="AC102" s="4">
        <f ca="1">IFERROR(VALUE(_xll.BDH(AC$4,"PX_LAST",$Q102,$Q102)),AC103)</f>
        <v>0</v>
      </c>
      <c r="AD102" s="4">
        <f ca="1">IFERROR(VALUE(_xll.BDH(AD$4,"PX_LAST",$Q102,$Q102)),AD103)</f>
        <v>0</v>
      </c>
      <c r="AF102" s="4">
        <f t="shared" si="38"/>
        <v>0.74855443581695025</v>
      </c>
      <c r="AG102" s="4" t="e">
        <f t="shared" ca="1" si="39"/>
        <v>#DIV/0!</v>
      </c>
      <c r="AH102" s="4" t="e">
        <f t="shared" ca="1" si="40"/>
        <v>#DIV/0!</v>
      </c>
      <c r="AI102" s="4" t="e">
        <f t="shared" ca="1" si="41"/>
        <v>#DIV/0!</v>
      </c>
      <c r="AJ102" s="4" t="e">
        <f t="shared" ca="1" si="42"/>
        <v>#DIV/0!</v>
      </c>
      <c r="AK102" s="4" t="e">
        <f t="shared" ca="1" si="43"/>
        <v>#DIV/0!</v>
      </c>
      <c r="AM102" s="563">
        <f t="shared" ca="1" si="33"/>
        <v>45842</v>
      </c>
      <c r="AN102" s="564">
        <v>97.19</v>
      </c>
      <c r="AO102" s="564">
        <v>822463</v>
      </c>
      <c r="AP102" s="564">
        <v>44245.955000000002</v>
      </c>
      <c r="AQ102" s="564">
        <v>4300264.3664499996</v>
      </c>
      <c r="AR102" s="564">
        <v>1.111</v>
      </c>
    </row>
    <row r="103" spans="2:44">
      <c r="B103" s="565">
        <f t="shared" ca="1" si="44"/>
        <v>45254</v>
      </c>
      <c r="C103" s="561">
        <f ca="1">(IFERROR(IFERROR(VALUE(_xll.BDH(C$4,"CURRENT_EV_TO_T12M_EBITDA",$B103,$B103)),VALUE(_xll.BDH(C$4,"CURRENT_EV_TO_T12M_EBITDA",$B103+1,$B103+1))),C104))</f>
        <v>0</v>
      </c>
      <c r="D103" s="561">
        <f ca="1">(IFERROR(IFERROR(VALUE(_xll.BDH(D$4,"CURRENT_EV_TO_T12M_EBITDA",$B103,$B103)),VALUE(_xll.BDH(D$4,"CURRENT_EV_TO_T12M_EBITDA",$B103+1,$B103+1))),D104))</f>
        <v>0</v>
      </c>
      <c r="E103" s="561">
        <f ca="1">(IFERROR(IFERROR(VALUE(_xll.BDH(E$4,"CURRENT_EV_TO_T12M_EBITDA",$B103,$B103)),VALUE(_xll.BDH(E$4,"CURRENT_EV_TO_T12M_EBITDA",$B103+1,$B103+1))),E104))</f>
        <v>0</v>
      </c>
      <c r="F103" s="561">
        <f ca="1">(IFERROR(IFERROR(VALUE(_xll.BDH(F$4,"CURRENT_EV_TO_T12M_EBITDA",$B103,$B103)),VALUE(_xll.BDH(F$4,"CURRENT_EV_TO_T12M_EBITDA",$B103+1,$B103+1))),F104))</f>
        <v>0</v>
      </c>
      <c r="G103" s="561">
        <f ca="1">(IFERROR(IFERROR(VALUE(_xll.BDH(G$4,"CURRENT_EV_TO_T12M_EBITDA",$B103,$B103)),VALUE(_xll.BDH(G$4,"CURRENT_EV_TO_T12M_EBITDA",$B103+1,$B103+1))),G104))</f>
        <v>0</v>
      </c>
      <c r="H103" s="561">
        <f ca="1">(IFERROR(IFERROR(VALUE(_xll.BDH(H$4,"CURRENT_EV_TO_T12M_EBITDA",$B103,$B103)),VALUE(_xll.BDH(H$4,"CURRENT_EV_TO_T12M_EBITDA",$B103+1,$B103+1))),H104))</f>
        <v>0</v>
      </c>
      <c r="I103" s="565">
        <f t="shared" ca="1" si="35"/>
        <v>45254</v>
      </c>
      <c r="J103" s="561">
        <f ca="1">(IFERROR(IFERROR(VALUE(_xll.BDH(J$4,"PE_RATIO",$B103,$B103)),VALUE(_xll.BDH(J$4,"PE_RATIO",$B103+1,$B103+1))),J104))</f>
        <v>0</v>
      </c>
      <c r="K103" s="561">
        <f ca="1">(IFERROR(IFERROR(VALUE(_xll.BDH(K$4,"PE_RATIO",$B103,$B103)),VALUE(_xll.BDH(K$4,"PE_RATIO",$B103+1,$B103+1))),K104))</f>
        <v>0</v>
      </c>
      <c r="L103" s="561">
        <f ca="1">(IFERROR(IFERROR(VALUE(_xll.BDH(L$4,"PE_RATIO",$B103,$B103)),VALUE(_xll.BDH(L$4,"PE_RATIO",$B103+1,$B103+1))),L104))</f>
        <v>0</v>
      </c>
      <c r="M103" s="561">
        <f ca="1">(IFERROR(IFERROR(VALUE(_xll.BDH(M$4,"PE_RATIO",$B103,$B103)),VALUE(_xll.BDH(M$4,"PE_RATIO",$B103+1,$B103+1))),M104))</f>
        <v>0</v>
      </c>
      <c r="N103" s="561">
        <f ca="1">(IFERROR(IFERROR(VALUE(_xll.BDH(N$4,"PE_RATIO",$B103,$B103)),VALUE(_xll.BDH(N$4,"PE_RATIO",$B103+1,$B103+1))),N104))</f>
        <v>0</v>
      </c>
      <c r="O103" s="561">
        <f ca="1">(IFERROR(IFERROR(VALUE(_xll.BDH(O$4,"PE_RATIO",$B103,$B103)),VALUE(_xll.BDH(O$4,"PE_RATIO",$B103+1,$B103+1))),O104))</f>
        <v>0</v>
      </c>
      <c r="P103" s="561"/>
      <c r="Q103" s="565">
        <f t="shared" ca="1" si="36"/>
        <v>45254</v>
      </c>
      <c r="R103" s="4">
        <v>45.09</v>
      </c>
      <c r="S103" s="4">
        <v>4247.68</v>
      </c>
      <c r="T103" s="4">
        <v>277.49200000000002</v>
      </c>
      <c r="U103" s="4">
        <v>0.74491987444242524</v>
      </c>
      <c r="V103" s="4">
        <v>1.1646126301994084</v>
      </c>
      <c r="W103" s="4" t="e">
        <v>#DIV/0!</v>
      </c>
      <c r="Y103" s="561">
        <f t="shared" si="37"/>
        <v>45.09</v>
      </c>
      <c r="Z103" s="4">
        <f ca="1">IFERROR(VALUE(_xll.BDH(Z$4,"PX_LAST",$Q103,$Q103)),Z104)</f>
        <v>0</v>
      </c>
      <c r="AA103" s="4">
        <f ca="1">IFERROR(VALUE(_xll.BDH(AA$4,"PX_LAST",$Q103,$Q103)),AA104)</f>
        <v>0</v>
      </c>
      <c r="AB103" s="4">
        <f ca="1">IFERROR(VALUE(_xll.BDH(AB$4,"PX_LAST",$Q103,$Q103)),AB104)</f>
        <v>0</v>
      </c>
      <c r="AC103" s="4">
        <f ca="1">IFERROR(VALUE(_xll.BDH(AC$4,"PX_LAST",$Q103,$Q103)),AC104)</f>
        <v>0</v>
      </c>
      <c r="AD103" s="4">
        <f ca="1">IFERROR(VALUE(_xll.BDH(AD$4,"PX_LAST",$Q103,$Q103)),AD104)</f>
        <v>0</v>
      </c>
      <c r="AF103" s="4">
        <f t="shared" si="38"/>
        <v>0.74491987444242524</v>
      </c>
      <c r="AG103" s="4" t="e">
        <f t="shared" ca="1" si="39"/>
        <v>#DIV/0!</v>
      </c>
      <c r="AH103" s="4" t="e">
        <f t="shared" ca="1" si="40"/>
        <v>#DIV/0!</v>
      </c>
      <c r="AI103" s="4" t="e">
        <f t="shared" ca="1" si="41"/>
        <v>#DIV/0!</v>
      </c>
      <c r="AJ103" s="4" t="e">
        <f t="shared" ca="1" si="42"/>
        <v>#DIV/0!</v>
      </c>
      <c r="AK103" s="4" t="e">
        <f t="shared" ca="1" si="43"/>
        <v>#DIV/0!</v>
      </c>
      <c r="AM103" s="563">
        <f t="shared" ca="1" si="33"/>
        <v>45841</v>
      </c>
      <c r="AN103" s="564">
        <v>96.91</v>
      </c>
      <c r="AO103" s="564">
        <v>681909</v>
      </c>
      <c r="AP103" s="564">
        <v>44245.955000000002</v>
      </c>
      <c r="AQ103" s="564">
        <v>4287875.4990499998</v>
      </c>
      <c r="AR103" s="564">
        <v>1.1077999999999999</v>
      </c>
    </row>
    <row r="104" spans="2:44">
      <c r="B104" s="565">
        <f t="shared" ca="1" si="44"/>
        <v>45247</v>
      </c>
      <c r="C104" s="561">
        <f ca="1">(IFERROR(IFERROR(VALUE(_xll.BDH(C$4,"CURRENT_EV_TO_T12M_EBITDA",$B104,$B104)),VALUE(_xll.BDH(C$4,"CURRENT_EV_TO_T12M_EBITDA",$B104+1,$B104+1))),C105))</f>
        <v>0</v>
      </c>
      <c r="D104" s="561">
        <f ca="1">(IFERROR(IFERROR(VALUE(_xll.BDH(D$4,"CURRENT_EV_TO_T12M_EBITDA",$B104,$B104)),VALUE(_xll.BDH(D$4,"CURRENT_EV_TO_T12M_EBITDA",$B104+1,$B104+1))),D105))</f>
        <v>0</v>
      </c>
      <c r="E104" s="561">
        <f ca="1">(IFERROR(IFERROR(VALUE(_xll.BDH(E$4,"CURRENT_EV_TO_T12M_EBITDA",$B104,$B104)),VALUE(_xll.BDH(E$4,"CURRENT_EV_TO_T12M_EBITDA",$B104+1,$B104+1))),E105))</f>
        <v>0</v>
      </c>
      <c r="F104" s="561">
        <f ca="1">(IFERROR(IFERROR(VALUE(_xll.BDH(F$4,"CURRENT_EV_TO_T12M_EBITDA",$B104,$B104)),VALUE(_xll.BDH(F$4,"CURRENT_EV_TO_T12M_EBITDA",$B104+1,$B104+1))),F105))</f>
        <v>0</v>
      </c>
      <c r="G104" s="561">
        <f ca="1">(IFERROR(IFERROR(VALUE(_xll.BDH(G$4,"CURRENT_EV_TO_T12M_EBITDA",$B104,$B104)),VALUE(_xll.BDH(G$4,"CURRENT_EV_TO_T12M_EBITDA",$B104+1,$B104+1))),G105))</f>
        <v>0</v>
      </c>
      <c r="H104" s="561">
        <f ca="1">(IFERROR(IFERROR(VALUE(_xll.BDH(H$4,"CURRENT_EV_TO_T12M_EBITDA",$B104,$B104)),VALUE(_xll.BDH(H$4,"CURRENT_EV_TO_T12M_EBITDA",$B104+1,$B104+1))),H105))</f>
        <v>0</v>
      </c>
      <c r="I104" s="565">
        <f t="shared" ca="1" si="35"/>
        <v>45247</v>
      </c>
      <c r="J104" s="561">
        <f ca="1">(IFERROR(IFERROR(VALUE(_xll.BDH(J$4,"PE_RATIO",$B104,$B104)),VALUE(_xll.BDH(J$4,"PE_RATIO",$B104+1,$B104+1))),J105))</f>
        <v>0</v>
      </c>
      <c r="K104" s="561">
        <f ca="1">(IFERROR(IFERROR(VALUE(_xll.BDH(K$4,"PE_RATIO",$B104,$B104)),VALUE(_xll.BDH(K$4,"PE_RATIO",$B104+1,$B104+1))),K105))</f>
        <v>0</v>
      </c>
      <c r="L104" s="561">
        <f ca="1">(IFERROR(IFERROR(VALUE(_xll.BDH(L$4,"PE_RATIO",$B104,$B104)),VALUE(_xll.BDH(L$4,"PE_RATIO",$B104+1,$B104+1))),L105))</f>
        <v>0</v>
      </c>
      <c r="M104" s="561">
        <f ca="1">(IFERROR(IFERROR(VALUE(_xll.BDH(M$4,"PE_RATIO",$B104,$B104)),VALUE(_xll.BDH(M$4,"PE_RATIO",$B104+1,$B104+1))),M105))</f>
        <v>0</v>
      </c>
      <c r="N104" s="561">
        <f ca="1">(IFERROR(IFERROR(VALUE(_xll.BDH(N$4,"PE_RATIO",$B104,$B104)),VALUE(_xll.BDH(N$4,"PE_RATIO",$B104+1,$B104+1))),N105))</f>
        <v>0</v>
      </c>
      <c r="O104" s="561">
        <f ca="1">(IFERROR(IFERROR(VALUE(_xll.BDH(O$4,"PE_RATIO",$B104,$B104)),VALUE(_xll.BDH(O$4,"PE_RATIO",$B104+1,$B104+1))),O105))</f>
        <v>0</v>
      </c>
      <c r="P104" s="561"/>
      <c r="Q104" s="565">
        <f t="shared" ca="1" si="36"/>
        <v>45247</v>
      </c>
      <c r="R104" s="4">
        <v>45.63</v>
      </c>
      <c r="S104" s="4">
        <v>4373.2</v>
      </c>
      <c r="T104" s="4">
        <v>277.49200000000002</v>
      </c>
      <c r="U104" s="4">
        <v>0.75384107054353211</v>
      </c>
      <c r="V104" s="4">
        <v>1.1990272229518355</v>
      </c>
      <c r="W104" s="4" t="e">
        <v>#DIV/0!</v>
      </c>
      <c r="Y104" s="561">
        <f t="shared" si="37"/>
        <v>45.63</v>
      </c>
      <c r="Z104" s="4">
        <f ca="1">IFERROR(VALUE(_xll.BDH(Z$4,"PX_LAST",$Q104,$Q104)),Z105)</f>
        <v>0</v>
      </c>
      <c r="AA104" s="4">
        <f ca="1">IFERROR(VALUE(_xll.BDH(AA$4,"PX_LAST",$Q104,$Q104)),AA105)</f>
        <v>0</v>
      </c>
      <c r="AB104" s="4">
        <f ca="1">IFERROR(VALUE(_xll.BDH(AB$4,"PX_LAST",$Q104,$Q104)),AB105)</f>
        <v>0</v>
      </c>
      <c r="AC104" s="4">
        <f ca="1">IFERROR(VALUE(_xll.BDH(AC$4,"PX_LAST",$Q104,$Q104)),AC105)</f>
        <v>0</v>
      </c>
      <c r="AD104" s="4">
        <f ca="1">IFERROR(VALUE(_xll.BDH(AD$4,"PX_LAST",$Q104,$Q104)),AD105)</f>
        <v>0</v>
      </c>
      <c r="AF104" s="4">
        <f t="shared" si="38"/>
        <v>0.75384107054353211</v>
      </c>
      <c r="AG104" s="4" t="e">
        <f t="shared" ca="1" si="39"/>
        <v>#DIV/0!</v>
      </c>
      <c r="AH104" s="4" t="e">
        <f t="shared" ca="1" si="40"/>
        <v>#DIV/0!</v>
      </c>
      <c r="AI104" s="4" t="e">
        <f t="shared" ca="1" si="41"/>
        <v>#DIV/0!</v>
      </c>
      <c r="AJ104" s="4" t="e">
        <f t="shared" ca="1" si="42"/>
        <v>#DIV/0!</v>
      </c>
      <c r="AK104" s="4" t="e">
        <f t="shared" ca="1" si="43"/>
        <v>#DIV/0!</v>
      </c>
      <c r="AM104" s="563">
        <f t="shared" ca="1" si="33"/>
        <v>45840</v>
      </c>
      <c r="AN104" s="564">
        <v>95.93</v>
      </c>
      <c r="AO104" s="564">
        <v>861067</v>
      </c>
      <c r="AP104" s="564">
        <v>44245.955000000002</v>
      </c>
      <c r="AQ104" s="564">
        <v>4244514.4631500002</v>
      </c>
      <c r="AR104" s="564">
        <v>1.2317</v>
      </c>
    </row>
    <row r="105" spans="2:44">
      <c r="B105" s="565">
        <f t="shared" ca="1" si="44"/>
        <v>45240</v>
      </c>
      <c r="C105" s="561">
        <f ca="1">(IFERROR(IFERROR(VALUE(_xll.BDH(C$4,"CURRENT_EV_TO_T12M_EBITDA",$B105,$B105)),VALUE(_xll.BDH(C$4,"CURRENT_EV_TO_T12M_EBITDA",$B105+1,$B105+1))),C106))</f>
        <v>0</v>
      </c>
      <c r="D105" s="561">
        <f ca="1">(IFERROR(IFERROR(VALUE(_xll.BDH(D$4,"CURRENT_EV_TO_T12M_EBITDA",$B105,$B105)),VALUE(_xll.BDH(D$4,"CURRENT_EV_TO_T12M_EBITDA",$B105+1,$B105+1))),D106))</f>
        <v>0</v>
      </c>
      <c r="E105" s="561">
        <f ca="1">(IFERROR(IFERROR(VALUE(_xll.BDH(E$4,"CURRENT_EV_TO_T12M_EBITDA",$B105,$B105)),VALUE(_xll.BDH(E$4,"CURRENT_EV_TO_T12M_EBITDA",$B105+1,$B105+1))),E106))</f>
        <v>0</v>
      </c>
      <c r="F105" s="561">
        <f ca="1">(IFERROR(IFERROR(VALUE(_xll.BDH(F$4,"CURRENT_EV_TO_T12M_EBITDA",$B105,$B105)),VALUE(_xll.BDH(F$4,"CURRENT_EV_TO_T12M_EBITDA",$B105+1,$B105+1))),F106))</f>
        <v>0</v>
      </c>
      <c r="G105" s="561">
        <f ca="1">(IFERROR(IFERROR(VALUE(_xll.BDH(G$4,"CURRENT_EV_TO_T12M_EBITDA",$B105,$B105)),VALUE(_xll.BDH(G$4,"CURRENT_EV_TO_T12M_EBITDA",$B105+1,$B105+1))),G106))</f>
        <v>0</v>
      </c>
      <c r="H105" s="561">
        <f ca="1">(IFERROR(IFERROR(VALUE(_xll.BDH(H$4,"CURRENT_EV_TO_T12M_EBITDA",$B105,$B105)),VALUE(_xll.BDH(H$4,"CURRENT_EV_TO_T12M_EBITDA",$B105+1,$B105+1))),H106))</f>
        <v>0</v>
      </c>
      <c r="I105" s="565">
        <f t="shared" ca="1" si="35"/>
        <v>45240</v>
      </c>
      <c r="J105" s="561">
        <f ca="1">(IFERROR(IFERROR(VALUE(_xll.BDH(J$4,"PE_RATIO",$B105,$B105)),VALUE(_xll.BDH(J$4,"PE_RATIO",$B105+1,$B105+1))),J106))</f>
        <v>0</v>
      </c>
      <c r="K105" s="561">
        <f ca="1">(IFERROR(IFERROR(VALUE(_xll.BDH(K$4,"PE_RATIO",$B105,$B105)),VALUE(_xll.BDH(K$4,"PE_RATIO",$B105+1,$B105+1))),K106))</f>
        <v>0</v>
      </c>
      <c r="L105" s="561">
        <f ca="1">(IFERROR(IFERROR(VALUE(_xll.BDH(L$4,"PE_RATIO",$B105,$B105)),VALUE(_xll.BDH(L$4,"PE_RATIO",$B105+1,$B105+1))),L106))</f>
        <v>0</v>
      </c>
      <c r="M105" s="561">
        <f ca="1">(IFERROR(IFERROR(VALUE(_xll.BDH(M$4,"PE_RATIO",$B105,$B105)),VALUE(_xll.BDH(M$4,"PE_RATIO",$B105+1,$B105+1))),M106))</f>
        <v>0</v>
      </c>
      <c r="N105" s="561">
        <f ca="1">(IFERROR(IFERROR(VALUE(_xll.BDH(N$4,"PE_RATIO",$B105,$B105)),VALUE(_xll.BDH(N$4,"PE_RATIO",$B105+1,$B105+1))),N106))</f>
        <v>0</v>
      </c>
      <c r="O105" s="561">
        <f ca="1">(IFERROR(IFERROR(VALUE(_xll.BDH(O$4,"PE_RATIO",$B105,$B105)),VALUE(_xll.BDH(O$4,"PE_RATIO",$B105+1,$B105+1))),O106))</f>
        <v>0</v>
      </c>
      <c r="P105" s="561"/>
      <c r="Q105" s="565">
        <f t="shared" ca="1" si="36"/>
        <v>45240</v>
      </c>
      <c r="R105" s="4">
        <v>47.49</v>
      </c>
      <c r="S105" s="4">
        <v>4358.24</v>
      </c>
      <c r="T105" s="4">
        <v>277.49200000000002</v>
      </c>
      <c r="U105" s="4">
        <v>0.78456963489178921</v>
      </c>
      <c r="V105" s="4">
        <v>1.1949255474612657</v>
      </c>
      <c r="W105" s="4" t="e">
        <v>#DIV/0!</v>
      </c>
      <c r="Y105" s="561">
        <f t="shared" si="37"/>
        <v>47.49</v>
      </c>
      <c r="Z105" s="4">
        <f ca="1">IFERROR(VALUE(_xll.BDH(Z$4,"PX_LAST",$Q105,$Q105)),Z106)</f>
        <v>0</v>
      </c>
      <c r="AA105" s="4">
        <f ca="1">IFERROR(VALUE(_xll.BDH(AA$4,"PX_LAST",$Q105,$Q105)),AA106)</f>
        <v>0</v>
      </c>
      <c r="AB105" s="4">
        <f ca="1">IFERROR(VALUE(_xll.BDH(AB$4,"PX_LAST",$Q105,$Q105)),AB106)</f>
        <v>0</v>
      </c>
      <c r="AC105" s="4">
        <f ca="1">IFERROR(VALUE(_xll.BDH(AC$4,"PX_LAST",$Q105,$Q105)),AC106)</f>
        <v>0</v>
      </c>
      <c r="AD105" s="4">
        <f ca="1">IFERROR(VALUE(_xll.BDH(AD$4,"PX_LAST",$Q105,$Q105)),AD106)</f>
        <v>0</v>
      </c>
      <c r="AF105" s="4">
        <f t="shared" si="38"/>
        <v>0.78456963489178921</v>
      </c>
      <c r="AG105" s="4" t="e">
        <f t="shared" ca="1" si="39"/>
        <v>#DIV/0!</v>
      </c>
      <c r="AH105" s="4" t="e">
        <f t="shared" ca="1" si="40"/>
        <v>#DIV/0!</v>
      </c>
      <c r="AI105" s="4" t="e">
        <f t="shared" ca="1" si="41"/>
        <v>#DIV/0!</v>
      </c>
      <c r="AJ105" s="4" t="e">
        <f t="shared" ca="1" si="42"/>
        <v>#DIV/0!</v>
      </c>
      <c r="AK105" s="4" t="e">
        <f t="shared" ca="1" si="43"/>
        <v>#DIV/0!</v>
      </c>
      <c r="AM105" s="563">
        <f t="shared" ca="1" si="33"/>
        <v>45839</v>
      </c>
      <c r="AN105" s="564">
        <v>95.93</v>
      </c>
      <c r="AO105" s="564">
        <v>861067</v>
      </c>
      <c r="AP105" s="564">
        <v>44245.955000000002</v>
      </c>
      <c r="AQ105" s="564">
        <v>4244514.4631500002</v>
      </c>
      <c r="AR105" s="564">
        <v>1.2317</v>
      </c>
    </row>
    <row r="106" spans="2:44">
      <c r="B106" s="565">
        <f t="shared" ca="1" si="44"/>
        <v>45233</v>
      </c>
      <c r="C106" s="561">
        <f ca="1">(IFERROR(IFERROR(VALUE(_xll.BDH(C$4,"CURRENT_EV_TO_T12M_EBITDA",$B106,$B106)),VALUE(_xll.BDH(C$4,"CURRENT_EV_TO_T12M_EBITDA",$B106+1,$B106+1))),C107))</f>
        <v>0</v>
      </c>
      <c r="D106" s="561">
        <f ca="1">(IFERROR(IFERROR(VALUE(_xll.BDH(D$4,"CURRENT_EV_TO_T12M_EBITDA",$B106,$B106)),VALUE(_xll.BDH(D$4,"CURRENT_EV_TO_T12M_EBITDA",$B106+1,$B106+1))),D107))</f>
        <v>0</v>
      </c>
      <c r="E106" s="561">
        <f ca="1">(IFERROR(IFERROR(VALUE(_xll.BDH(E$4,"CURRENT_EV_TO_T12M_EBITDA",$B106,$B106)),VALUE(_xll.BDH(E$4,"CURRENT_EV_TO_T12M_EBITDA",$B106+1,$B106+1))),E107))</f>
        <v>0</v>
      </c>
      <c r="F106" s="561">
        <f ca="1">(IFERROR(IFERROR(VALUE(_xll.BDH(F$4,"CURRENT_EV_TO_T12M_EBITDA",$B106,$B106)),VALUE(_xll.BDH(F$4,"CURRENT_EV_TO_T12M_EBITDA",$B106+1,$B106+1))),F107))</f>
        <v>0</v>
      </c>
      <c r="G106" s="561">
        <f ca="1">(IFERROR(IFERROR(VALUE(_xll.BDH(G$4,"CURRENT_EV_TO_T12M_EBITDA",$B106,$B106)),VALUE(_xll.BDH(G$4,"CURRENT_EV_TO_T12M_EBITDA",$B106+1,$B106+1))),G107))</f>
        <v>0</v>
      </c>
      <c r="H106" s="561">
        <f ca="1">(IFERROR(IFERROR(VALUE(_xll.BDH(H$4,"CURRENT_EV_TO_T12M_EBITDA",$B106,$B106)),VALUE(_xll.BDH(H$4,"CURRENT_EV_TO_T12M_EBITDA",$B106+1,$B106+1))),H107))</f>
        <v>0</v>
      </c>
      <c r="I106" s="565">
        <f t="shared" ca="1" si="35"/>
        <v>45233</v>
      </c>
      <c r="J106" s="561">
        <f ca="1">(IFERROR(IFERROR(VALUE(_xll.BDH(J$4,"PE_RATIO",$B106,$B106)),VALUE(_xll.BDH(J$4,"PE_RATIO",$B106+1,$B106+1))),J107))</f>
        <v>0</v>
      </c>
      <c r="K106" s="561">
        <f ca="1">(IFERROR(IFERROR(VALUE(_xll.BDH(K$4,"PE_RATIO",$B106,$B106)),VALUE(_xll.BDH(K$4,"PE_RATIO",$B106+1,$B106+1))),K107))</f>
        <v>0</v>
      </c>
      <c r="L106" s="561">
        <f ca="1">(IFERROR(IFERROR(VALUE(_xll.BDH(L$4,"PE_RATIO",$B106,$B106)),VALUE(_xll.BDH(L$4,"PE_RATIO",$B106+1,$B106+1))),L107))</f>
        <v>0</v>
      </c>
      <c r="M106" s="561">
        <f ca="1">(IFERROR(IFERROR(VALUE(_xll.BDH(M$4,"PE_RATIO",$B106,$B106)),VALUE(_xll.BDH(M$4,"PE_RATIO",$B106+1,$B106+1))),M107))</f>
        <v>0</v>
      </c>
      <c r="N106" s="561">
        <f ca="1">(IFERROR(IFERROR(VALUE(_xll.BDH(N$4,"PE_RATIO",$B106,$B106)),VALUE(_xll.BDH(N$4,"PE_RATIO",$B106+1,$B106+1))),N107))</f>
        <v>0</v>
      </c>
      <c r="O106" s="561">
        <f ca="1">(IFERROR(IFERROR(VALUE(_xll.BDH(O$4,"PE_RATIO",$B106,$B106)),VALUE(_xll.BDH(O$4,"PE_RATIO",$B106+1,$B106+1))),O107))</f>
        <v>0</v>
      </c>
      <c r="P106" s="561"/>
      <c r="Q106" s="565">
        <f t="shared" ca="1" si="36"/>
        <v>45233</v>
      </c>
      <c r="R106" s="4">
        <v>47.5</v>
      </c>
      <c r="S106" s="4">
        <v>4229.45</v>
      </c>
      <c r="T106" s="4">
        <v>277.49200000000002</v>
      </c>
      <c r="U106" s="4">
        <v>0.78473484222699486</v>
      </c>
      <c r="V106" s="4">
        <v>1.1596143986356993</v>
      </c>
      <c r="W106" s="4" t="e">
        <v>#DIV/0!</v>
      </c>
      <c r="Y106" s="561">
        <f t="shared" si="37"/>
        <v>47.5</v>
      </c>
      <c r="Z106" s="4">
        <f ca="1">IFERROR(VALUE(_xll.BDH(Z$4,"PX_LAST",$Q106,$Q106)),Z107)</f>
        <v>0</v>
      </c>
      <c r="AA106" s="4">
        <f ca="1">IFERROR(VALUE(_xll.BDH(AA$4,"PX_LAST",$Q106,$Q106)),AA107)</f>
        <v>0</v>
      </c>
      <c r="AB106" s="4">
        <f ca="1">IFERROR(VALUE(_xll.BDH(AB$4,"PX_LAST",$Q106,$Q106)),AB107)</f>
        <v>0</v>
      </c>
      <c r="AC106" s="4">
        <f ca="1">IFERROR(VALUE(_xll.BDH(AC$4,"PX_LAST",$Q106,$Q106)),AC107)</f>
        <v>0</v>
      </c>
      <c r="AD106" s="4">
        <f ca="1">IFERROR(VALUE(_xll.BDH(AD$4,"PX_LAST",$Q106,$Q106)),AD107)</f>
        <v>0</v>
      </c>
      <c r="AF106" s="4">
        <f t="shared" si="38"/>
        <v>0.78473484222699486</v>
      </c>
      <c r="AG106" s="4" t="e">
        <f t="shared" ca="1" si="39"/>
        <v>#DIV/0!</v>
      </c>
      <c r="AH106" s="4" t="e">
        <f t="shared" ca="1" si="40"/>
        <v>#DIV/0!</v>
      </c>
      <c r="AI106" s="4" t="e">
        <f t="shared" ca="1" si="41"/>
        <v>#DIV/0!</v>
      </c>
      <c r="AJ106" s="4" t="e">
        <f t="shared" ca="1" si="42"/>
        <v>#DIV/0!</v>
      </c>
      <c r="AK106" s="4" t="e">
        <f t="shared" ca="1" si="43"/>
        <v>#DIV/0!</v>
      </c>
      <c r="AM106" s="563">
        <f t="shared" ca="1" si="33"/>
        <v>45838</v>
      </c>
      <c r="AN106" s="564">
        <v>95.93</v>
      </c>
      <c r="AO106" s="564">
        <v>861067</v>
      </c>
      <c r="AP106" s="564">
        <v>44245.955000000002</v>
      </c>
      <c r="AQ106" s="564">
        <v>4244514.4631500002</v>
      </c>
      <c r="AR106" s="564">
        <v>1.2317</v>
      </c>
    </row>
    <row r="107" spans="2:44">
      <c r="B107" s="565">
        <f t="shared" ca="1" si="44"/>
        <v>45226</v>
      </c>
      <c r="C107" s="561">
        <f ca="1">(IFERROR(IFERROR(VALUE(_xll.BDH(C$4,"CURRENT_EV_TO_T12M_EBITDA",$B107,$B107)),VALUE(_xll.BDH(C$4,"CURRENT_EV_TO_T12M_EBITDA",$B107+1,$B107+1))),C108))</f>
        <v>0</v>
      </c>
      <c r="D107" s="561">
        <f ca="1">(IFERROR(IFERROR(VALUE(_xll.BDH(D$4,"CURRENT_EV_TO_T12M_EBITDA",$B107,$B107)),VALUE(_xll.BDH(D$4,"CURRENT_EV_TO_T12M_EBITDA",$B107+1,$B107+1))),D108))</f>
        <v>0</v>
      </c>
      <c r="E107" s="561">
        <f ca="1">(IFERROR(IFERROR(VALUE(_xll.BDH(E$4,"CURRENT_EV_TO_T12M_EBITDA",$B107,$B107)),VALUE(_xll.BDH(E$4,"CURRENT_EV_TO_T12M_EBITDA",$B107+1,$B107+1))),E108))</f>
        <v>0</v>
      </c>
      <c r="F107" s="561">
        <f ca="1">(IFERROR(IFERROR(VALUE(_xll.BDH(F$4,"CURRENT_EV_TO_T12M_EBITDA",$B107,$B107)),VALUE(_xll.BDH(F$4,"CURRENT_EV_TO_T12M_EBITDA",$B107+1,$B107+1))),F108))</f>
        <v>0</v>
      </c>
      <c r="G107" s="561">
        <f ca="1">(IFERROR(IFERROR(VALUE(_xll.BDH(G$4,"CURRENT_EV_TO_T12M_EBITDA",$B107,$B107)),VALUE(_xll.BDH(G$4,"CURRENT_EV_TO_T12M_EBITDA",$B107+1,$B107+1))),G108))</f>
        <v>0</v>
      </c>
      <c r="H107" s="561">
        <f ca="1">(IFERROR(IFERROR(VALUE(_xll.BDH(H$4,"CURRENT_EV_TO_T12M_EBITDA",$B107,$B107)),VALUE(_xll.BDH(H$4,"CURRENT_EV_TO_T12M_EBITDA",$B107+1,$B107+1))),H108))</f>
        <v>0</v>
      </c>
      <c r="I107" s="565">
        <f t="shared" ca="1" si="35"/>
        <v>45226</v>
      </c>
      <c r="J107" s="561">
        <f ca="1">(IFERROR(IFERROR(VALUE(_xll.BDH(J$4,"PE_RATIO",$B107,$B107)),VALUE(_xll.BDH(J$4,"PE_RATIO",$B107+1,$B107+1))),J108))</f>
        <v>0</v>
      </c>
      <c r="K107" s="561">
        <f ca="1">(IFERROR(IFERROR(VALUE(_xll.BDH(K$4,"PE_RATIO",$B107,$B107)),VALUE(_xll.BDH(K$4,"PE_RATIO",$B107+1,$B107+1))),K108))</f>
        <v>0</v>
      </c>
      <c r="L107" s="561">
        <f ca="1">(IFERROR(IFERROR(VALUE(_xll.BDH(L$4,"PE_RATIO",$B107,$B107)),VALUE(_xll.BDH(L$4,"PE_RATIO",$B107+1,$B107+1))),L108))</f>
        <v>0</v>
      </c>
      <c r="M107" s="561">
        <f ca="1">(IFERROR(IFERROR(VALUE(_xll.BDH(M$4,"PE_RATIO",$B107,$B107)),VALUE(_xll.BDH(M$4,"PE_RATIO",$B107+1,$B107+1))),M108))</f>
        <v>0</v>
      </c>
      <c r="N107" s="561">
        <f ca="1">(IFERROR(IFERROR(VALUE(_xll.BDH(N$4,"PE_RATIO",$B107,$B107)),VALUE(_xll.BDH(N$4,"PE_RATIO",$B107+1,$B107+1))),N108))</f>
        <v>0</v>
      </c>
      <c r="O107" s="561">
        <f ca="1">(IFERROR(IFERROR(VALUE(_xll.BDH(O$4,"PE_RATIO",$B107,$B107)),VALUE(_xll.BDH(O$4,"PE_RATIO",$B107+1,$B107+1))),O108))</f>
        <v>0</v>
      </c>
      <c r="P107" s="561"/>
      <c r="Q107" s="565">
        <f t="shared" ca="1" si="36"/>
        <v>45226</v>
      </c>
      <c r="R107" s="4">
        <v>49.27</v>
      </c>
      <c r="S107" s="4">
        <v>4273.53</v>
      </c>
      <c r="T107" s="4">
        <v>277.49200000000002</v>
      </c>
      <c r="U107" s="4">
        <v>0.81397654055840085</v>
      </c>
      <c r="V107" s="4">
        <v>1.1717000841720839</v>
      </c>
      <c r="W107" s="4" t="e">
        <v>#DIV/0!</v>
      </c>
      <c r="Y107" s="561">
        <f t="shared" si="37"/>
        <v>49.27</v>
      </c>
      <c r="Z107" s="4">
        <f ca="1">IFERROR(VALUE(_xll.BDH(Z$4,"PX_LAST",$Q107,$Q107)),Z108)</f>
        <v>0</v>
      </c>
      <c r="AA107" s="4">
        <f ca="1">IFERROR(VALUE(_xll.BDH(AA$4,"PX_LAST",$Q107,$Q107)),AA108)</f>
        <v>0</v>
      </c>
      <c r="AB107" s="4">
        <f ca="1">IFERROR(VALUE(_xll.BDH(AB$4,"PX_LAST",$Q107,$Q107)),AB108)</f>
        <v>0</v>
      </c>
      <c r="AC107" s="4">
        <f ca="1">IFERROR(VALUE(_xll.BDH(AC$4,"PX_LAST",$Q107,$Q107)),AC108)</f>
        <v>0</v>
      </c>
      <c r="AD107" s="4">
        <f ca="1">IFERROR(VALUE(_xll.BDH(AD$4,"PX_LAST",$Q107,$Q107)),AD108)</f>
        <v>0</v>
      </c>
      <c r="AF107" s="4">
        <f t="shared" si="38"/>
        <v>0.81397654055840085</v>
      </c>
      <c r="AG107" s="4" t="e">
        <f t="shared" ca="1" si="39"/>
        <v>#DIV/0!</v>
      </c>
      <c r="AH107" s="4" t="e">
        <f t="shared" ca="1" si="40"/>
        <v>#DIV/0!</v>
      </c>
      <c r="AI107" s="4" t="e">
        <f t="shared" ca="1" si="41"/>
        <v>#DIV/0!</v>
      </c>
      <c r="AJ107" s="4" t="e">
        <f t="shared" ca="1" si="42"/>
        <v>#DIV/0!</v>
      </c>
      <c r="AK107" s="4" t="e">
        <f t="shared" ca="1" si="43"/>
        <v>#DIV/0!</v>
      </c>
      <c r="AM107" s="563">
        <f t="shared" ca="1" si="33"/>
        <v>45837</v>
      </c>
      <c r="AN107" s="564">
        <v>94.07</v>
      </c>
      <c r="AO107" s="564">
        <v>555040</v>
      </c>
      <c r="AP107" s="564">
        <v>44245.955000000002</v>
      </c>
      <c r="AQ107" s="564">
        <v>4162216.98685</v>
      </c>
      <c r="AR107" s="564">
        <v>1.2078</v>
      </c>
    </row>
    <row r="108" spans="2:44">
      <c r="B108" s="565">
        <f t="shared" ca="1" si="44"/>
        <v>45219</v>
      </c>
      <c r="C108" s="561">
        <f ca="1">(IFERROR(IFERROR(VALUE(_xll.BDH(C$4,"CURRENT_EV_TO_T12M_EBITDA",$B108,$B108)),VALUE(_xll.BDH(C$4,"CURRENT_EV_TO_T12M_EBITDA",$B108+1,$B108+1))),C109))</f>
        <v>0</v>
      </c>
      <c r="D108" s="561">
        <f ca="1">(IFERROR(IFERROR(VALUE(_xll.BDH(D$4,"CURRENT_EV_TO_T12M_EBITDA",$B108,$B108)),VALUE(_xll.BDH(D$4,"CURRENT_EV_TO_T12M_EBITDA",$B108+1,$B108+1))),D109))</f>
        <v>0</v>
      </c>
      <c r="E108" s="561">
        <f ca="1">(IFERROR(IFERROR(VALUE(_xll.BDH(E$4,"CURRENT_EV_TO_T12M_EBITDA",$B108,$B108)),VALUE(_xll.BDH(E$4,"CURRENT_EV_TO_T12M_EBITDA",$B108+1,$B108+1))),E109))</f>
        <v>0</v>
      </c>
      <c r="F108" s="561">
        <f ca="1">(IFERROR(IFERROR(VALUE(_xll.BDH(F$4,"CURRENT_EV_TO_T12M_EBITDA",$B108,$B108)),VALUE(_xll.BDH(F$4,"CURRENT_EV_TO_T12M_EBITDA",$B108+1,$B108+1))),F109))</f>
        <v>0</v>
      </c>
      <c r="G108" s="561">
        <f ca="1">(IFERROR(IFERROR(VALUE(_xll.BDH(G$4,"CURRENT_EV_TO_T12M_EBITDA",$B108,$B108)),VALUE(_xll.BDH(G$4,"CURRENT_EV_TO_T12M_EBITDA",$B108+1,$B108+1))),G109))</f>
        <v>0</v>
      </c>
      <c r="H108" s="561">
        <f ca="1">(IFERROR(IFERROR(VALUE(_xll.BDH(H$4,"CURRENT_EV_TO_T12M_EBITDA",$B108,$B108)),VALUE(_xll.BDH(H$4,"CURRENT_EV_TO_T12M_EBITDA",$B108+1,$B108+1))),H109))</f>
        <v>0</v>
      </c>
      <c r="I108" s="565">
        <f t="shared" ca="1" si="35"/>
        <v>45219</v>
      </c>
      <c r="J108" s="561">
        <f ca="1">(IFERROR(IFERROR(VALUE(_xll.BDH(J$4,"PE_RATIO",$B108,$B108)),VALUE(_xll.BDH(J$4,"PE_RATIO",$B108+1,$B108+1))),J109))</f>
        <v>0</v>
      </c>
      <c r="K108" s="561">
        <f ca="1">(IFERROR(IFERROR(VALUE(_xll.BDH(K$4,"PE_RATIO",$B108,$B108)),VALUE(_xll.BDH(K$4,"PE_RATIO",$B108+1,$B108+1))),K109))</f>
        <v>0</v>
      </c>
      <c r="L108" s="561">
        <f ca="1">(IFERROR(IFERROR(VALUE(_xll.BDH(L$4,"PE_RATIO",$B108,$B108)),VALUE(_xll.BDH(L$4,"PE_RATIO",$B108+1,$B108+1))),L109))</f>
        <v>0</v>
      </c>
      <c r="M108" s="561">
        <f ca="1">(IFERROR(IFERROR(VALUE(_xll.BDH(M$4,"PE_RATIO",$B108,$B108)),VALUE(_xll.BDH(M$4,"PE_RATIO",$B108+1,$B108+1))),M109))</f>
        <v>0</v>
      </c>
      <c r="N108" s="561">
        <f ca="1">(IFERROR(IFERROR(VALUE(_xll.BDH(N$4,"PE_RATIO",$B108,$B108)),VALUE(_xll.BDH(N$4,"PE_RATIO",$B108+1,$B108+1))),N109))</f>
        <v>0</v>
      </c>
      <c r="O108" s="561">
        <f ca="1">(IFERROR(IFERROR(VALUE(_xll.BDH(O$4,"PE_RATIO",$B108,$B108)),VALUE(_xll.BDH(O$4,"PE_RATIO",$B108+1,$B108+1))),O109))</f>
        <v>0</v>
      </c>
      <c r="P108" s="561"/>
      <c r="Q108" s="565">
        <f t="shared" ca="1" si="36"/>
        <v>45219</v>
      </c>
      <c r="R108" s="4">
        <v>47.28</v>
      </c>
      <c r="S108" s="4">
        <v>4443.95</v>
      </c>
      <c r="T108" s="4">
        <v>277.49200000000002</v>
      </c>
      <c r="U108" s="4">
        <v>0.78110028085246985</v>
      </c>
      <c r="V108" s="4">
        <v>1.2184251869196032</v>
      </c>
      <c r="W108" s="4" t="e">
        <v>#DIV/0!</v>
      </c>
      <c r="Y108" s="561">
        <f t="shared" si="37"/>
        <v>47.28</v>
      </c>
      <c r="Z108" s="4">
        <f ca="1">IFERROR(VALUE(_xll.BDH(Z$4,"PX_LAST",$Q108,$Q108)),Z109)</f>
        <v>0</v>
      </c>
      <c r="AA108" s="4">
        <f ca="1">IFERROR(VALUE(_xll.BDH(AA$4,"PX_LAST",$Q108,$Q108)),AA109)</f>
        <v>0</v>
      </c>
      <c r="AB108" s="4">
        <f ca="1">IFERROR(VALUE(_xll.BDH(AB$4,"PX_LAST",$Q108,$Q108)),AB109)</f>
        <v>0</v>
      </c>
      <c r="AC108" s="4">
        <f ca="1">IFERROR(VALUE(_xll.BDH(AC$4,"PX_LAST",$Q108,$Q108)),AC109)</f>
        <v>0</v>
      </c>
      <c r="AD108" s="4">
        <f ca="1">IFERROR(VALUE(_xll.BDH(AD$4,"PX_LAST",$Q108,$Q108)),AD109)</f>
        <v>0</v>
      </c>
      <c r="AF108" s="4">
        <f t="shared" si="38"/>
        <v>0.78110028085246985</v>
      </c>
      <c r="AG108" s="4" t="e">
        <f t="shared" ca="1" si="39"/>
        <v>#DIV/0!</v>
      </c>
      <c r="AH108" s="4" t="e">
        <f t="shared" ca="1" si="40"/>
        <v>#DIV/0!</v>
      </c>
      <c r="AI108" s="4" t="e">
        <f t="shared" ca="1" si="41"/>
        <v>#DIV/0!</v>
      </c>
      <c r="AJ108" s="4" t="e">
        <f t="shared" ca="1" si="42"/>
        <v>#DIV/0!</v>
      </c>
      <c r="AK108" s="4" t="e">
        <f t="shared" ca="1" si="43"/>
        <v>#DIV/0!</v>
      </c>
      <c r="AM108" s="563">
        <f t="shared" ca="1" si="33"/>
        <v>45836</v>
      </c>
      <c r="AN108" s="564">
        <v>93.45</v>
      </c>
      <c r="AO108" s="564">
        <v>489857</v>
      </c>
      <c r="AP108" s="564">
        <v>44245.955000000002</v>
      </c>
      <c r="AQ108" s="564">
        <v>4134784.4947500001</v>
      </c>
      <c r="AR108" s="564">
        <v>1.1998</v>
      </c>
    </row>
    <row r="109" spans="2:44">
      <c r="B109" s="565">
        <f t="shared" ca="1" si="44"/>
        <v>45212</v>
      </c>
      <c r="C109" s="561">
        <f ca="1">(IFERROR(IFERROR(VALUE(_xll.BDH(C$4,"CURRENT_EV_TO_T12M_EBITDA",$B109,$B109)),VALUE(_xll.BDH(C$4,"CURRENT_EV_TO_T12M_EBITDA",$B109+1,$B109+1))),C110))</f>
        <v>0</v>
      </c>
      <c r="D109" s="561">
        <f ca="1">(IFERROR(IFERROR(VALUE(_xll.BDH(D$4,"CURRENT_EV_TO_T12M_EBITDA",$B109,$B109)),VALUE(_xll.BDH(D$4,"CURRENT_EV_TO_T12M_EBITDA",$B109+1,$B109+1))),D110))</f>
        <v>0</v>
      </c>
      <c r="E109" s="561">
        <f ca="1">(IFERROR(IFERROR(VALUE(_xll.BDH(E$4,"CURRENT_EV_TO_T12M_EBITDA",$B109,$B109)),VALUE(_xll.BDH(E$4,"CURRENT_EV_TO_T12M_EBITDA",$B109+1,$B109+1))),E110))</f>
        <v>0</v>
      </c>
      <c r="F109" s="561">
        <f ca="1">(IFERROR(IFERROR(VALUE(_xll.BDH(F$4,"CURRENT_EV_TO_T12M_EBITDA",$B109,$B109)),VALUE(_xll.BDH(F$4,"CURRENT_EV_TO_T12M_EBITDA",$B109+1,$B109+1))),F110))</f>
        <v>0</v>
      </c>
      <c r="G109" s="561">
        <f ca="1">(IFERROR(IFERROR(VALUE(_xll.BDH(G$4,"CURRENT_EV_TO_T12M_EBITDA",$B109,$B109)),VALUE(_xll.BDH(G$4,"CURRENT_EV_TO_T12M_EBITDA",$B109+1,$B109+1))),G110))</f>
        <v>0</v>
      </c>
      <c r="H109" s="561">
        <f ca="1">(IFERROR(IFERROR(VALUE(_xll.BDH(H$4,"CURRENT_EV_TO_T12M_EBITDA",$B109,$B109)),VALUE(_xll.BDH(H$4,"CURRENT_EV_TO_T12M_EBITDA",$B109+1,$B109+1))),H110))</f>
        <v>0</v>
      </c>
      <c r="I109" s="565">
        <f t="shared" ca="1" si="35"/>
        <v>45212</v>
      </c>
      <c r="J109" s="561">
        <f ca="1">(IFERROR(IFERROR(VALUE(_xll.BDH(J$4,"PE_RATIO",$B109,$B109)),VALUE(_xll.BDH(J$4,"PE_RATIO",$B109+1,$B109+1))),J110))</f>
        <v>0</v>
      </c>
      <c r="K109" s="561">
        <f ca="1">(IFERROR(IFERROR(VALUE(_xll.BDH(K$4,"PE_RATIO",$B109,$B109)),VALUE(_xll.BDH(K$4,"PE_RATIO",$B109+1,$B109+1))),K110))</f>
        <v>0</v>
      </c>
      <c r="L109" s="561">
        <f ca="1">(IFERROR(IFERROR(VALUE(_xll.BDH(L$4,"PE_RATIO",$B109,$B109)),VALUE(_xll.BDH(L$4,"PE_RATIO",$B109+1,$B109+1))),L110))</f>
        <v>0</v>
      </c>
      <c r="M109" s="561">
        <f ca="1">(IFERROR(IFERROR(VALUE(_xll.BDH(M$4,"PE_RATIO",$B109,$B109)),VALUE(_xll.BDH(M$4,"PE_RATIO",$B109+1,$B109+1))),M110))</f>
        <v>0</v>
      </c>
      <c r="N109" s="561">
        <f ca="1">(IFERROR(IFERROR(VALUE(_xll.BDH(N$4,"PE_RATIO",$B109,$B109)),VALUE(_xll.BDH(N$4,"PE_RATIO",$B109+1,$B109+1))),N110))</f>
        <v>0</v>
      </c>
      <c r="O109" s="561">
        <f ca="1">(IFERROR(IFERROR(VALUE(_xll.BDH(O$4,"PE_RATIO",$B109,$B109)),VALUE(_xll.BDH(O$4,"PE_RATIO",$B109+1,$B109+1))),O110))</f>
        <v>0</v>
      </c>
      <c r="P109" s="561"/>
      <c r="Q109" s="565">
        <f t="shared" ca="1" si="36"/>
        <v>45212</v>
      </c>
      <c r="R109" s="4">
        <v>47.4</v>
      </c>
      <c r="S109" s="4">
        <v>4461.8999999999996</v>
      </c>
      <c r="T109" s="4">
        <v>277.49200000000002</v>
      </c>
      <c r="U109" s="4">
        <v>0.783082768874938</v>
      </c>
      <c r="V109" s="4">
        <v>1.2233466491559486</v>
      </c>
      <c r="W109" s="4" t="e">
        <v>#DIV/0!</v>
      </c>
      <c r="Y109" s="561">
        <f t="shared" si="37"/>
        <v>47.4</v>
      </c>
      <c r="Z109" s="4">
        <f ca="1">IFERROR(VALUE(_xll.BDH(Z$4,"PX_LAST",$Q109,$Q109)),Z110)</f>
        <v>0</v>
      </c>
      <c r="AA109" s="4">
        <f ca="1">IFERROR(VALUE(_xll.BDH(AA$4,"PX_LAST",$Q109,$Q109)),AA110)</f>
        <v>0</v>
      </c>
      <c r="AB109" s="4">
        <f ca="1">IFERROR(VALUE(_xll.BDH(AB$4,"PX_LAST",$Q109,$Q109)),AB110)</f>
        <v>0</v>
      </c>
      <c r="AC109" s="4">
        <f ca="1">IFERROR(VALUE(_xll.BDH(AC$4,"PX_LAST",$Q109,$Q109)),AC110)</f>
        <v>0</v>
      </c>
      <c r="AD109" s="4">
        <f ca="1">IFERROR(VALUE(_xll.BDH(AD$4,"PX_LAST",$Q109,$Q109)),AD110)</f>
        <v>0</v>
      </c>
      <c r="AF109" s="4">
        <f t="shared" si="38"/>
        <v>0.783082768874938</v>
      </c>
      <c r="AG109" s="4" t="e">
        <f t="shared" ca="1" si="39"/>
        <v>#DIV/0!</v>
      </c>
      <c r="AH109" s="4" t="e">
        <f t="shared" ca="1" si="40"/>
        <v>#DIV/0!</v>
      </c>
      <c r="AI109" s="4" t="e">
        <f t="shared" ca="1" si="41"/>
        <v>#DIV/0!</v>
      </c>
      <c r="AJ109" s="4" t="e">
        <f t="shared" ca="1" si="42"/>
        <v>#DIV/0!</v>
      </c>
      <c r="AK109" s="4" t="e">
        <f t="shared" ca="1" si="43"/>
        <v>#DIV/0!</v>
      </c>
      <c r="AM109" s="563">
        <f t="shared" ca="1" si="33"/>
        <v>45835</v>
      </c>
      <c r="AN109" s="564">
        <v>95.52</v>
      </c>
      <c r="AO109" s="564">
        <v>550086</v>
      </c>
      <c r="AP109" s="564">
        <v>44245.955000000002</v>
      </c>
      <c r="AQ109" s="564">
        <v>4226373.6216000002</v>
      </c>
      <c r="AR109" s="564">
        <v>1.2263999999999999</v>
      </c>
    </row>
    <row r="110" spans="2:44">
      <c r="B110" s="565">
        <f t="shared" ca="1" si="44"/>
        <v>45205</v>
      </c>
      <c r="C110" s="561">
        <f ca="1">(IFERROR(IFERROR(VALUE(_xll.BDH(C$4,"CURRENT_EV_TO_T12M_EBITDA",$B110,$B110)),VALUE(_xll.BDH(C$4,"CURRENT_EV_TO_T12M_EBITDA",$B110+1,$B110+1))),C111))</f>
        <v>0</v>
      </c>
      <c r="D110" s="561">
        <f ca="1">(IFERROR(IFERROR(VALUE(_xll.BDH(D$4,"CURRENT_EV_TO_T12M_EBITDA",$B110,$B110)),VALUE(_xll.BDH(D$4,"CURRENT_EV_TO_T12M_EBITDA",$B110+1,$B110+1))),D111))</f>
        <v>0</v>
      </c>
      <c r="E110" s="561">
        <f ca="1">(IFERROR(IFERROR(VALUE(_xll.BDH(E$4,"CURRENT_EV_TO_T12M_EBITDA",$B110,$B110)),VALUE(_xll.BDH(E$4,"CURRENT_EV_TO_T12M_EBITDA",$B110+1,$B110+1))),E111))</f>
        <v>0</v>
      </c>
      <c r="F110" s="561">
        <f ca="1">(IFERROR(IFERROR(VALUE(_xll.BDH(F$4,"CURRENT_EV_TO_T12M_EBITDA",$B110,$B110)),VALUE(_xll.BDH(F$4,"CURRENT_EV_TO_T12M_EBITDA",$B110+1,$B110+1))),F111))</f>
        <v>0</v>
      </c>
      <c r="G110" s="561">
        <f ca="1">(IFERROR(IFERROR(VALUE(_xll.BDH(G$4,"CURRENT_EV_TO_T12M_EBITDA",$B110,$B110)),VALUE(_xll.BDH(G$4,"CURRENT_EV_TO_T12M_EBITDA",$B110+1,$B110+1))),G111))</f>
        <v>0</v>
      </c>
      <c r="H110" s="561">
        <f ca="1">(IFERROR(IFERROR(VALUE(_xll.BDH(H$4,"CURRENT_EV_TO_T12M_EBITDA",$B110,$B110)),VALUE(_xll.BDH(H$4,"CURRENT_EV_TO_T12M_EBITDA",$B110+1,$B110+1))),H111))</f>
        <v>0</v>
      </c>
      <c r="I110" s="565">
        <f t="shared" ca="1" si="35"/>
        <v>45205</v>
      </c>
      <c r="J110" s="561">
        <f ca="1">(IFERROR(IFERROR(VALUE(_xll.BDH(J$4,"PE_RATIO",$B110,$B110)),VALUE(_xll.BDH(J$4,"PE_RATIO",$B110+1,$B110+1))),J111))</f>
        <v>0</v>
      </c>
      <c r="K110" s="561">
        <f ca="1">(IFERROR(IFERROR(VALUE(_xll.BDH(K$4,"PE_RATIO",$B110,$B110)),VALUE(_xll.BDH(K$4,"PE_RATIO",$B110+1,$B110+1))),K111))</f>
        <v>0</v>
      </c>
      <c r="L110" s="561">
        <f ca="1">(IFERROR(IFERROR(VALUE(_xll.BDH(L$4,"PE_RATIO",$B110,$B110)),VALUE(_xll.BDH(L$4,"PE_RATIO",$B110+1,$B110+1))),L111))</f>
        <v>0</v>
      </c>
      <c r="M110" s="561">
        <f ca="1">(IFERROR(IFERROR(VALUE(_xll.BDH(M$4,"PE_RATIO",$B110,$B110)),VALUE(_xll.BDH(M$4,"PE_RATIO",$B110+1,$B110+1))),M111))</f>
        <v>0</v>
      </c>
      <c r="N110" s="561">
        <f ca="1">(IFERROR(IFERROR(VALUE(_xll.BDH(N$4,"PE_RATIO",$B110,$B110)),VALUE(_xll.BDH(N$4,"PE_RATIO",$B110+1,$B110+1))),N111))</f>
        <v>0</v>
      </c>
      <c r="O110" s="561">
        <f ca="1">(IFERROR(IFERROR(VALUE(_xll.BDH(O$4,"PE_RATIO",$B110,$B110)),VALUE(_xll.BDH(O$4,"PE_RATIO",$B110+1,$B110+1))),O111))</f>
        <v>0</v>
      </c>
      <c r="P110" s="561"/>
      <c r="Q110" s="565">
        <f t="shared" ca="1" si="36"/>
        <v>45205</v>
      </c>
      <c r="R110" s="4">
        <v>47.98</v>
      </c>
      <c r="S110" s="4">
        <v>4496.83</v>
      </c>
      <c r="T110" s="4">
        <v>277.49200000000002</v>
      </c>
      <c r="U110" s="4">
        <v>0.79266479431686765</v>
      </c>
      <c r="V110" s="4">
        <v>1.2329236227445584</v>
      </c>
      <c r="W110" s="4" t="e">
        <v>#DIV/0!</v>
      </c>
      <c r="Y110" s="561">
        <f t="shared" si="37"/>
        <v>47.98</v>
      </c>
      <c r="Z110" s="4">
        <f ca="1">IFERROR(VALUE(_xll.BDH(Z$4,"PX_LAST",$Q110,$Q110)),Z111)</f>
        <v>0</v>
      </c>
      <c r="AA110" s="4">
        <f ca="1">IFERROR(VALUE(_xll.BDH(AA$4,"PX_LAST",$Q110,$Q110)),AA111)</f>
        <v>0</v>
      </c>
      <c r="AB110" s="4">
        <f ca="1">IFERROR(VALUE(_xll.BDH(AB$4,"PX_LAST",$Q110,$Q110)),AB111)</f>
        <v>0</v>
      </c>
      <c r="AC110" s="4">
        <f ca="1">IFERROR(VALUE(_xll.BDH(AC$4,"PX_LAST",$Q110,$Q110)),AC111)</f>
        <v>0</v>
      </c>
      <c r="AD110" s="4">
        <f ca="1">IFERROR(VALUE(_xll.BDH(AD$4,"PX_LAST",$Q110,$Q110)),AD111)</f>
        <v>0</v>
      </c>
      <c r="AF110" s="4">
        <f t="shared" si="38"/>
        <v>0.79266479431686765</v>
      </c>
      <c r="AG110" s="4" t="e">
        <f t="shared" ca="1" si="39"/>
        <v>#DIV/0!</v>
      </c>
      <c r="AH110" s="4" t="e">
        <f t="shared" ca="1" si="40"/>
        <v>#DIV/0!</v>
      </c>
      <c r="AI110" s="4" t="e">
        <f t="shared" ca="1" si="41"/>
        <v>#DIV/0!</v>
      </c>
      <c r="AJ110" s="4" t="e">
        <f t="shared" ca="1" si="42"/>
        <v>#DIV/0!</v>
      </c>
      <c r="AK110" s="4" t="e">
        <f t="shared" ca="1" si="43"/>
        <v>#DIV/0!</v>
      </c>
      <c r="AM110" s="563">
        <f t="shared" ca="1" si="33"/>
        <v>45834</v>
      </c>
      <c r="AN110" s="564">
        <v>95.1</v>
      </c>
      <c r="AO110" s="564">
        <v>496460</v>
      </c>
      <c r="AP110" s="564">
        <v>44245.955000000002</v>
      </c>
      <c r="AQ110" s="564">
        <v>4207790.3205000004</v>
      </c>
      <c r="AR110" s="564">
        <v>1.2210000000000001</v>
      </c>
    </row>
    <row r="111" spans="2:44">
      <c r="B111" s="565">
        <f t="shared" ca="1" si="44"/>
        <v>45198</v>
      </c>
      <c r="C111" s="561">
        <f ca="1">(IFERROR(IFERROR(VALUE(_xll.BDH(C$4,"CURRENT_EV_TO_T12M_EBITDA",$B111,$B111)),VALUE(_xll.BDH(C$4,"CURRENT_EV_TO_T12M_EBITDA",$B111+1,$B111+1))),C112))</f>
        <v>0</v>
      </c>
      <c r="D111" s="561">
        <f ca="1">(IFERROR(IFERROR(VALUE(_xll.BDH(D$4,"CURRENT_EV_TO_T12M_EBITDA",$B111,$B111)),VALUE(_xll.BDH(D$4,"CURRENT_EV_TO_T12M_EBITDA",$B111+1,$B111+1))),D112))</f>
        <v>0</v>
      </c>
      <c r="E111" s="561">
        <f ca="1">(IFERROR(IFERROR(VALUE(_xll.BDH(E$4,"CURRENT_EV_TO_T12M_EBITDA",$B111,$B111)),VALUE(_xll.BDH(E$4,"CURRENT_EV_TO_T12M_EBITDA",$B111+1,$B111+1))),E112))</f>
        <v>0</v>
      </c>
      <c r="F111" s="561">
        <f ca="1">(IFERROR(IFERROR(VALUE(_xll.BDH(F$4,"CURRENT_EV_TO_T12M_EBITDA",$B111,$B111)),VALUE(_xll.BDH(F$4,"CURRENT_EV_TO_T12M_EBITDA",$B111+1,$B111+1))),F112))</f>
        <v>0</v>
      </c>
      <c r="G111" s="561">
        <f ca="1">(IFERROR(IFERROR(VALUE(_xll.BDH(G$4,"CURRENT_EV_TO_T12M_EBITDA",$B111,$B111)),VALUE(_xll.BDH(G$4,"CURRENT_EV_TO_T12M_EBITDA",$B111+1,$B111+1))),G112))</f>
        <v>0</v>
      </c>
      <c r="H111" s="561">
        <f ca="1">(IFERROR(IFERROR(VALUE(_xll.BDH(H$4,"CURRENT_EV_TO_T12M_EBITDA",$B111,$B111)),VALUE(_xll.BDH(H$4,"CURRENT_EV_TO_T12M_EBITDA",$B111+1,$B111+1))),H112))</f>
        <v>0</v>
      </c>
      <c r="I111" s="565">
        <f t="shared" ca="1" si="35"/>
        <v>45198</v>
      </c>
      <c r="J111" s="561">
        <f ca="1">(IFERROR(IFERROR(VALUE(_xll.BDH(J$4,"PE_RATIO",$B111,$B111)),VALUE(_xll.BDH(J$4,"PE_RATIO",$B111+1,$B111+1))),J112))</f>
        <v>0</v>
      </c>
      <c r="K111" s="561">
        <f ca="1">(IFERROR(IFERROR(VALUE(_xll.BDH(K$4,"PE_RATIO",$B111,$B111)),VALUE(_xll.BDH(K$4,"PE_RATIO",$B111+1,$B111+1))),K112))</f>
        <v>0</v>
      </c>
      <c r="L111" s="561">
        <f ca="1">(IFERROR(IFERROR(VALUE(_xll.BDH(L$4,"PE_RATIO",$B111,$B111)),VALUE(_xll.BDH(L$4,"PE_RATIO",$B111+1,$B111+1))),L112))</f>
        <v>0</v>
      </c>
      <c r="M111" s="561">
        <f ca="1">(IFERROR(IFERROR(VALUE(_xll.BDH(M$4,"PE_RATIO",$B111,$B111)),VALUE(_xll.BDH(M$4,"PE_RATIO",$B111+1,$B111+1))),M112))</f>
        <v>0</v>
      </c>
      <c r="N111" s="561">
        <f ca="1">(IFERROR(IFERROR(VALUE(_xll.BDH(N$4,"PE_RATIO",$B111,$B111)),VALUE(_xll.BDH(N$4,"PE_RATIO",$B111+1,$B111+1))),N112))</f>
        <v>0</v>
      </c>
      <c r="O111" s="561">
        <f ca="1">(IFERROR(IFERROR(VALUE(_xll.BDH(O$4,"PE_RATIO",$B111,$B111)),VALUE(_xll.BDH(O$4,"PE_RATIO",$B111+1,$B111+1))),O112))</f>
        <v>0</v>
      </c>
      <c r="P111" s="561"/>
      <c r="Q111" s="565">
        <f t="shared" ca="1" si="36"/>
        <v>45198</v>
      </c>
      <c r="R111" s="4">
        <v>47.81</v>
      </c>
      <c r="S111" s="4">
        <v>4497.63</v>
      </c>
      <c r="T111" s="4">
        <v>277.49200000000002</v>
      </c>
      <c r="U111" s="4">
        <v>0.78985626961837108</v>
      </c>
      <c r="V111" s="4">
        <v>1.233142963679883</v>
      </c>
      <c r="W111" s="4" t="e">
        <v>#DIV/0!</v>
      </c>
      <c r="Y111" s="561">
        <f t="shared" si="37"/>
        <v>47.81</v>
      </c>
      <c r="Z111" s="4">
        <f ca="1">IFERROR(VALUE(_xll.BDH(Z$4,"PX_LAST",$Q111,$Q111)),Z112)</f>
        <v>0</v>
      </c>
      <c r="AA111" s="4">
        <f ca="1">IFERROR(VALUE(_xll.BDH(AA$4,"PX_LAST",$Q111,$Q111)),AA112)</f>
        <v>0</v>
      </c>
      <c r="AB111" s="4">
        <f ca="1">IFERROR(VALUE(_xll.BDH(AB$4,"PX_LAST",$Q111,$Q111)),AB112)</f>
        <v>0</v>
      </c>
      <c r="AC111" s="4">
        <f ca="1">IFERROR(VALUE(_xll.BDH(AC$4,"PX_LAST",$Q111,$Q111)),AC112)</f>
        <v>0</v>
      </c>
      <c r="AD111" s="4">
        <f ca="1">IFERROR(VALUE(_xll.BDH(AD$4,"PX_LAST",$Q111,$Q111)),AD112)</f>
        <v>0</v>
      </c>
      <c r="AF111" s="4">
        <f t="shared" si="38"/>
        <v>0.78985626961837108</v>
      </c>
      <c r="AG111" s="4" t="e">
        <f t="shared" ca="1" si="39"/>
        <v>#DIV/0!</v>
      </c>
      <c r="AH111" s="4" t="e">
        <f t="shared" ca="1" si="40"/>
        <v>#DIV/0!</v>
      </c>
      <c r="AI111" s="4" t="e">
        <f t="shared" ca="1" si="41"/>
        <v>#DIV/0!</v>
      </c>
      <c r="AJ111" s="4" t="e">
        <f t="shared" ca="1" si="42"/>
        <v>#DIV/0!</v>
      </c>
      <c r="AK111" s="4" t="e">
        <f t="shared" ca="1" si="43"/>
        <v>#DIV/0!</v>
      </c>
      <c r="AM111" s="563">
        <f t="shared" ca="1" si="33"/>
        <v>45833</v>
      </c>
      <c r="AN111" s="564">
        <v>95.1</v>
      </c>
      <c r="AO111" s="564">
        <v>496460</v>
      </c>
      <c r="AP111" s="564">
        <v>44245.955000000002</v>
      </c>
      <c r="AQ111" s="564">
        <v>4207790.3205000004</v>
      </c>
      <c r="AR111" s="564">
        <v>1.2210000000000001</v>
      </c>
    </row>
    <row r="112" spans="2:44">
      <c r="B112" s="565">
        <f t="shared" ca="1" si="44"/>
        <v>45191</v>
      </c>
      <c r="C112" s="561">
        <f ca="1">(IFERROR(IFERROR(VALUE(_xll.BDH(C$4,"CURRENT_EV_TO_T12M_EBITDA",$B112,$B112)),VALUE(_xll.BDH(C$4,"CURRENT_EV_TO_T12M_EBITDA",$B112+1,$B112+1))),C113))</f>
        <v>0</v>
      </c>
      <c r="D112" s="561">
        <f ca="1">(IFERROR(IFERROR(VALUE(_xll.BDH(D$4,"CURRENT_EV_TO_T12M_EBITDA",$B112,$B112)),VALUE(_xll.BDH(D$4,"CURRENT_EV_TO_T12M_EBITDA",$B112+1,$B112+1))),D113))</f>
        <v>0</v>
      </c>
      <c r="E112" s="561">
        <f ca="1">(IFERROR(IFERROR(VALUE(_xll.BDH(E$4,"CURRENT_EV_TO_T12M_EBITDA",$B112,$B112)),VALUE(_xll.BDH(E$4,"CURRENT_EV_TO_T12M_EBITDA",$B112+1,$B112+1))),E113))</f>
        <v>0</v>
      </c>
      <c r="F112" s="561">
        <f ca="1">(IFERROR(IFERROR(VALUE(_xll.BDH(F$4,"CURRENT_EV_TO_T12M_EBITDA",$B112,$B112)),VALUE(_xll.BDH(F$4,"CURRENT_EV_TO_T12M_EBITDA",$B112+1,$B112+1))),F113))</f>
        <v>0</v>
      </c>
      <c r="G112" s="561">
        <f ca="1">(IFERROR(IFERROR(VALUE(_xll.BDH(G$4,"CURRENT_EV_TO_T12M_EBITDA",$B112,$B112)),VALUE(_xll.BDH(G$4,"CURRENT_EV_TO_T12M_EBITDA",$B112+1,$B112+1))),G113))</f>
        <v>0</v>
      </c>
      <c r="H112" s="561">
        <f ca="1">(IFERROR(IFERROR(VALUE(_xll.BDH(H$4,"CURRENT_EV_TO_T12M_EBITDA",$B112,$B112)),VALUE(_xll.BDH(H$4,"CURRENT_EV_TO_T12M_EBITDA",$B112+1,$B112+1))),H113))</f>
        <v>0</v>
      </c>
      <c r="I112" s="565">
        <f t="shared" ca="1" si="35"/>
        <v>45191</v>
      </c>
      <c r="J112" s="561">
        <f ca="1">(IFERROR(IFERROR(VALUE(_xll.BDH(J$4,"PE_RATIO",$B112,$B112)),VALUE(_xll.BDH(J$4,"PE_RATIO",$B112+1,$B112+1))),J113))</f>
        <v>0</v>
      </c>
      <c r="K112" s="561">
        <f ca="1">(IFERROR(IFERROR(VALUE(_xll.BDH(K$4,"PE_RATIO",$B112,$B112)),VALUE(_xll.BDH(K$4,"PE_RATIO",$B112+1,$B112+1))),K113))</f>
        <v>0</v>
      </c>
      <c r="L112" s="561">
        <f ca="1">(IFERROR(IFERROR(VALUE(_xll.BDH(L$4,"PE_RATIO",$B112,$B112)),VALUE(_xll.BDH(L$4,"PE_RATIO",$B112+1,$B112+1))),L113))</f>
        <v>0</v>
      </c>
      <c r="M112" s="561">
        <f ca="1">(IFERROR(IFERROR(VALUE(_xll.BDH(M$4,"PE_RATIO",$B112,$B112)),VALUE(_xll.BDH(M$4,"PE_RATIO",$B112+1,$B112+1))),M113))</f>
        <v>0</v>
      </c>
      <c r="N112" s="561">
        <f ca="1">(IFERROR(IFERROR(VALUE(_xll.BDH(N$4,"PE_RATIO",$B112,$B112)),VALUE(_xll.BDH(N$4,"PE_RATIO",$B112+1,$B112+1))),N113))</f>
        <v>0</v>
      </c>
      <c r="O112" s="561">
        <f ca="1">(IFERROR(IFERROR(VALUE(_xll.BDH(O$4,"PE_RATIO",$B112,$B112)),VALUE(_xll.BDH(O$4,"PE_RATIO",$B112+1,$B112+1))),O113))</f>
        <v>0</v>
      </c>
      <c r="P112" s="561"/>
      <c r="Q112" s="565">
        <f t="shared" ca="1" si="36"/>
        <v>45191</v>
      </c>
      <c r="R112" s="4">
        <v>47.36</v>
      </c>
      <c r="S112" s="4">
        <v>4387.55</v>
      </c>
      <c r="T112" s="4">
        <v>277.49200000000002</v>
      </c>
      <c r="U112" s="4">
        <v>0.78242193953411532</v>
      </c>
      <c r="V112" s="4">
        <v>1.2029616509792203</v>
      </c>
      <c r="W112" s="4" t="e">
        <v>#DIV/0!</v>
      </c>
      <c r="Y112" s="561">
        <f t="shared" si="37"/>
        <v>47.36</v>
      </c>
      <c r="Z112" s="4">
        <f ca="1">IFERROR(VALUE(_xll.BDH(Z$4,"PX_LAST",$Q112,$Q112)),Z113)</f>
        <v>0</v>
      </c>
      <c r="AA112" s="4">
        <f ca="1">IFERROR(VALUE(_xll.BDH(AA$4,"PX_LAST",$Q112,$Q112)),AA113)</f>
        <v>0</v>
      </c>
      <c r="AB112" s="4">
        <f ca="1">IFERROR(VALUE(_xll.BDH(AB$4,"PX_LAST",$Q112,$Q112)),AB113)</f>
        <v>0</v>
      </c>
      <c r="AC112" s="4">
        <f ca="1">IFERROR(VALUE(_xll.BDH(AC$4,"PX_LAST",$Q112,$Q112)),AC113)</f>
        <v>0</v>
      </c>
      <c r="AD112" s="4">
        <f ca="1">IFERROR(VALUE(_xll.BDH(AD$4,"PX_LAST",$Q112,$Q112)),AD113)</f>
        <v>0</v>
      </c>
      <c r="AF112" s="4">
        <f t="shared" si="38"/>
        <v>0.78242193953411532</v>
      </c>
      <c r="AG112" s="4" t="e">
        <f t="shared" ca="1" si="39"/>
        <v>#DIV/0!</v>
      </c>
      <c r="AH112" s="4" t="e">
        <f t="shared" ca="1" si="40"/>
        <v>#DIV/0!</v>
      </c>
      <c r="AI112" s="4" t="e">
        <f t="shared" ca="1" si="41"/>
        <v>#DIV/0!</v>
      </c>
      <c r="AJ112" s="4" t="e">
        <f t="shared" ca="1" si="42"/>
        <v>#DIV/0!</v>
      </c>
      <c r="AK112" s="4" t="e">
        <f t="shared" ca="1" si="43"/>
        <v>#DIV/0!</v>
      </c>
      <c r="AM112" s="563">
        <f t="shared" ca="1" si="33"/>
        <v>45832</v>
      </c>
      <c r="AN112" s="564">
        <v>95.1</v>
      </c>
      <c r="AO112" s="564">
        <v>496460</v>
      </c>
      <c r="AP112" s="564">
        <v>44245.955000000002</v>
      </c>
      <c r="AQ112" s="564">
        <v>4207790.3205000004</v>
      </c>
      <c r="AR112" s="564">
        <v>1.2210000000000001</v>
      </c>
    </row>
    <row r="113" spans="2:44">
      <c r="B113" s="565">
        <f t="shared" ca="1" si="44"/>
        <v>45184</v>
      </c>
      <c r="C113" s="561">
        <f ca="1">(IFERROR(IFERROR(VALUE(_xll.BDH(C$4,"CURRENT_EV_TO_T12M_EBITDA",$B113,$B113)),VALUE(_xll.BDH(C$4,"CURRENT_EV_TO_T12M_EBITDA",$B113+1,$B113+1))),C114))</f>
        <v>0</v>
      </c>
      <c r="D113" s="561">
        <f ca="1">(IFERROR(IFERROR(VALUE(_xll.BDH(D$4,"CURRENT_EV_TO_T12M_EBITDA",$B113,$B113)),VALUE(_xll.BDH(D$4,"CURRENT_EV_TO_T12M_EBITDA",$B113+1,$B113+1))),D114))</f>
        <v>0</v>
      </c>
      <c r="E113" s="561">
        <f ca="1">(IFERROR(IFERROR(VALUE(_xll.BDH(E$4,"CURRENT_EV_TO_T12M_EBITDA",$B113,$B113)),VALUE(_xll.BDH(E$4,"CURRENT_EV_TO_T12M_EBITDA",$B113+1,$B113+1))),E114))</f>
        <v>0</v>
      </c>
      <c r="F113" s="561">
        <f ca="1">(IFERROR(IFERROR(VALUE(_xll.BDH(F$4,"CURRENT_EV_TO_T12M_EBITDA",$B113,$B113)),VALUE(_xll.BDH(F$4,"CURRENT_EV_TO_T12M_EBITDA",$B113+1,$B113+1))),F114))</f>
        <v>0</v>
      </c>
      <c r="G113" s="561">
        <f ca="1">(IFERROR(IFERROR(VALUE(_xll.BDH(G$4,"CURRENT_EV_TO_T12M_EBITDA",$B113,$B113)),VALUE(_xll.BDH(G$4,"CURRENT_EV_TO_T12M_EBITDA",$B113+1,$B113+1))),G114))</f>
        <v>0</v>
      </c>
      <c r="H113" s="561">
        <f ca="1">(IFERROR(IFERROR(VALUE(_xll.BDH(H$4,"CURRENT_EV_TO_T12M_EBITDA",$B113,$B113)),VALUE(_xll.BDH(H$4,"CURRENT_EV_TO_T12M_EBITDA",$B113+1,$B113+1))),H114))</f>
        <v>0</v>
      </c>
      <c r="I113" s="565">
        <f t="shared" ca="1" si="35"/>
        <v>45184</v>
      </c>
      <c r="J113" s="561">
        <f ca="1">(IFERROR(IFERROR(VALUE(_xll.BDH(J$4,"PE_RATIO",$B113,$B113)),VALUE(_xll.BDH(J$4,"PE_RATIO",$B113+1,$B113+1))),J114))</f>
        <v>0</v>
      </c>
      <c r="K113" s="561">
        <f ca="1">(IFERROR(IFERROR(VALUE(_xll.BDH(K$4,"PE_RATIO",$B113,$B113)),VALUE(_xll.BDH(K$4,"PE_RATIO",$B113+1,$B113+1))),K114))</f>
        <v>0</v>
      </c>
      <c r="L113" s="561">
        <f ca="1">(IFERROR(IFERROR(VALUE(_xll.BDH(L$4,"PE_RATIO",$B113,$B113)),VALUE(_xll.BDH(L$4,"PE_RATIO",$B113+1,$B113+1))),L114))</f>
        <v>0</v>
      </c>
      <c r="M113" s="561">
        <f ca="1">(IFERROR(IFERROR(VALUE(_xll.BDH(M$4,"PE_RATIO",$B113,$B113)),VALUE(_xll.BDH(M$4,"PE_RATIO",$B113+1,$B113+1))),M114))</f>
        <v>0</v>
      </c>
      <c r="N113" s="561">
        <f ca="1">(IFERROR(IFERROR(VALUE(_xll.BDH(N$4,"PE_RATIO",$B113,$B113)),VALUE(_xll.BDH(N$4,"PE_RATIO",$B113+1,$B113+1))),N114))</f>
        <v>0</v>
      </c>
      <c r="O113" s="561">
        <f ca="1">(IFERROR(IFERROR(VALUE(_xll.BDH(O$4,"PE_RATIO",$B113,$B113)),VALUE(_xll.BDH(O$4,"PE_RATIO",$B113+1,$B113+1))),O114))</f>
        <v>0</v>
      </c>
      <c r="P113" s="561"/>
      <c r="Q113" s="565">
        <f t="shared" ca="1" si="36"/>
        <v>45184</v>
      </c>
      <c r="R113" s="4">
        <v>46.57</v>
      </c>
      <c r="S113" s="4">
        <v>4437.8599999999997</v>
      </c>
      <c r="T113" s="4">
        <v>277.49200000000002</v>
      </c>
      <c r="U113" s="4">
        <v>0.7693705600528663</v>
      </c>
      <c r="V113" s="4">
        <v>1.216755454049445</v>
      </c>
      <c r="W113" s="4" t="e">
        <v>#DIV/0!</v>
      </c>
      <c r="Y113" s="561">
        <f t="shared" si="37"/>
        <v>46.57</v>
      </c>
      <c r="Z113" s="4">
        <f ca="1">IFERROR(VALUE(_xll.BDH(Z$4,"PX_LAST",$Q113,$Q113)),Z114)</f>
        <v>0</v>
      </c>
      <c r="AA113" s="4">
        <f ca="1">IFERROR(VALUE(_xll.BDH(AA$4,"PX_LAST",$Q113,$Q113)),AA114)</f>
        <v>0</v>
      </c>
      <c r="AB113" s="4">
        <f ca="1">IFERROR(VALUE(_xll.BDH(AB$4,"PX_LAST",$Q113,$Q113)),AB114)</f>
        <v>0</v>
      </c>
      <c r="AC113" s="4">
        <f ca="1">IFERROR(VALUE(_xll.BDH(AC$4,"PX_LAST",$Q113,$Q113)),AC114)</f>
        <v>0</v>
      </c>
      <c r="AD113" s="4">
        <f ca="1">IFERROR(VALUE(_xll.BDH(AD$4,"PX_LAST",$Q113,$Q113)),AD114)</f>
        <v>0</v>
      </c>
      <c r="AF113" s="4">
        <f t="shared" si="38"/>
        <v>0.7693705600528663</v>
      </c>
      <c r="AG113" s="4" t="e">
        <f t="shared" ca="1" si="39"/>
        <v>#DIV/0!</v>
      </c>
      <c r="AH113" s="4" t="e">
        <f t="shared" ca="1" si="40"/>
        <v>#DIV/0!</v>
      </c>
      <c r="AI113" s="4" t="e">
        <f t="shared" ca="1" si="41"/>
        <v>#DIV/0!</v>
      </c>
      <c r="AJ113" s="4" t="e">
        <f t="shared" ca="1" si="42"/>
        <v>#DIV/0!</v>
      </c>
      <c r="AK113" s="4" t="e">
        <f t="shared" ca="1" si="43"/>
        <v>#DIV/0!</v>
      </c>
      <c r="AM113" s="563">
        <f t="shared" ca="1" si="33"/>
        <v>45831</v>
      </c>
      <c r="AN113" s="564">
        <v>95.1</v>
      </c>
      <c r="AO113" s="564">
        <v>496460</v>
      </c>
      <c r="AP113" s="564">
        <v>44245.955000000002</v>
      </c>
      <c r="AQ113" s="564">
        <v>4207790.3205000004</v>
      </c>
      <c r="AR113" s="564">
        <v>1.2210000000000001</v>
      </c>
    </row>
    <row r="114" spans="2:44">
      <c r="B114" s="565">
        <f t="shared" ca="1" si="44"/>
        <v>45177</v>
      </c>
      <c r="C114" s="561">
        <f ca="1">(IFERROR(IFERROR(VALUE(_xll.BDH(C$4,"CURRENT_EV_TO_T12M_EBITDA",$B114,$B114)),VALUE(_xll.BDH(C$4,"CURRENT_EV_TO_T12M_EBITDA",$B114+1,$B114+1))),C115))</f>
        <v>0</v>
      </c>
      <c r="D114" s="561">
        <f ca="1">(IFERROR(IFERROR(VALUE(_xll.BDH(D$4,"CURRENT_EV_TO_T12M_EBITDA",$B114,$B114)),VALUE(_xll.BDH(D$4,"CURRENT_EV_TO_T12M_EBITDA",$B114+1,$B114+1))),D115))</f>
        <v>0</v>
      </c>
      <c r="E114" s="561">
        <f ca="1">(IFERROR(IFERROR(VALUE(_xll.BDH(E$4,"CURRENT_EV_TO_T12M_EBITDA",$B114,$B114)),VALUE(_xll.BDH(E$4,"CURRENT_EV_TO_T12M_EBITDA",$B114+1,$B114+1))),E115))</f>
        <v>0</v>
      </c>
      <c r="F114" s="561">
        <f ca="1">(IFERROR(IFERROR(VALUE(_xll.BDH(F$4,"CURRENT_EV_TO_T12M_EBITDA",$B114,$B114)),VALUE(_xll.BDH(F$4,"CURRENT_EV_TO_T12M_EBITDA",$B114+1,$B114+1))),F115))</f>
        <v>0</v>
      </c>
      <c r="G114" s="561">
        <f ca="1">(IFERROR(IFERROR(VALUE(_xll.BDH(G$4,"CURRENT_EV_TO_T12M_EBITDA",$B114,$B114)),VALUE(_xll.BDH(G$4,"CURRENT_EV_TO_T12M_EBITDA",$B114+1,$B114+1))),G115))</f>
        <v>0</v>
      </c>
      <c r="H114" s="561">
        <f ca="1">(IFERROR(IFERROR(VALUE(_xll.BDH(H$4,"CURRENT_EV_TO_T12M_EBITDA",$B114,$B114)),VALUE(_xll.BDH(H$4,"CURRENT_EV_TO_T12M_EBITDA",$B114+1,$B114+1))),H115))</f>
        <v>0</v>
      </c>
      <c r="I114" s="565">
        <f t="shared" ca="1" si="35"/>
        <v>45177</v>
      </c>
      <c r="J114" s="561">
        <f ca="1">(IFERROR(IFERROR(VALUE(_xll.BDH(J$4,"PE_RATIO",$B114,$B114)),VALUE(_xll.BDH(J$4,"PE_RATIO",$B114+1,$B114+1))),J115))</f>
        <v>0</v>
      </c>
      <c r="K114" s="561">
        <f ca="1">(IFERROR(IFERROR(VALUE(_xll.BDH(K$4,"PE_RATIO",$B114,$B114)),VALUE(_xll.BDH(K$4,"PE_RATIO",$B114+1,$B114+1))),K115))</f>
        <v>0</v>
      </c>
      <c r="L114" s="561">
        <f ca="1">(IFERROR(IFERROR(VALUE(_xll.BDH(L$4,"PE_RATIO",$B114,$B114)),VALUE(_xll.BDH(L$4,"PE_RATIO",$B114+1,$B114+1))),L115))</f>
        <v>0</v>
      </c>
      <c r="M114" s="561">
        <f ca="1">(IFERROR(IFERROR(VALUE(_xll.BDH(M$4,"PE_RATIO",$B114,$B114)),VALUE(_xll.BDH(M$4,"PE_RATIO",$B114+1,$B114+1))),M115))</f>
        <v>0</v>
      </c>
      <c r="N114" s="561">
        <f ca="1">(IFERROR(IFERROR(VALUE(_xll.BDH(N$4,"PE_RATIO",$B114,$B114)),VALUE(_xll.BDH(N$4,"PE_RATIO",$B114+1,$B114+1))),N115))</f>
        <v>0</v>
      </c>
      <c r="O114" s="561">
        <f ca="1">(IFERROR(IFERROR(VALUE(_xll.BDH(O$4,"PE_RATIO",$B114,$B114)),VALUE(_xll.BDH(O$4,"PE_RATIO",$B114+1,$B114+1))),O115))</f>
        <v>0</v>
      </c>
      <c r="P114" s="561"/>
      <c r="Q114" s="565">
        <f t="shared" ca="1" si="36"/>
        <v>45177</v>
      </c>
      <c r="R114" s="4">
        <v>45.28</v>
      </c>
      <c r="S114" s="4">
        <v>4499.38</v>
      </c>
      <c r="T114" s="4">
        <v>277.49200000000002</v>
      </c>
      <c r="U114" s="4">
        <v>0.74805881381133321</v>
      </c>
      <c r="V114" s="4">
        <v>1.2336227719759054</v>
      </c>
      <c r="W114" s="4" t="e">
        <v>#DIV/0!</v>
      </c>
      <c r="Y114" s="561">
        <f t="shared" si="37"/>
        <v>45.28</v>
      </c>
      <c r="Z114" s="4">
        <f ca="1">IFERROR(VALUE(_xll.BDH(Z$4,"PX_LAST",$Q114,$Q114)),Z115)</f>
        <v>0</v>
      </c>
      <c r="AA114" s="4">
        <f ca="1">IFERROR(VALUE(_xll.BDH(AA$4,"PX_LAST",$Q114,$Q114)),AA115)</f>
        <v>0</v>
      </c>
      <c r="AB114" s="4">
        <f ca="1">IFERROR(VALUE(_xll.BDH(AB$4,"PX_LAST",$Q114,$Q114)),AB115)</f>
        <v>0</v>
      </c>
      <c r="AC114" s="4">
        <f ca="1">IFERROR(VALUE(_xll.BDH(AC$4,"PX_LAST",$Q114,$Q114)),AC115)</f>
        <v>0</v>
      </c>
      <c r="AD114" s="4">
        <f ca="1">IFERROR(VALUE(_xll.BDH(AD$4,"PX_LAST",$Q114,$Q114)),AD115)</f>
        <v>0</v>
      </c>
      <c r="AF114" s="4">
        <f t="shared" si="38"/>
        <v>0.74805881381133321</v>
      </c>
      <c r="AG114" s="4" t="e">
        <f t="shared" ca="1" si="39"/>
        <v>#DIV/0!</v>
      </c>
      <c r="AH114" s="4" t="e">
        <f t="shared" ca="1" si="40"/>
        <v>#DIV/0!</v>
      </c>
      <c r="AI114" s="4" t="e">
        <f t="shared" ca="1" si="41"/>
        <v>#DIV/0!</v>
      </c>
      <c r="AJ114" s="4" t="e">
        <f t="shared" ca="1" si="42"/>
        <v>#DIV/0!</v>
      </c>
      <c r="AK114" s="4" t="e">
        <f t="shared" ca="1" si="43"/>
        <v>#DIV/0!</v>
      </c>
      <c r="AM114" s="563">
        <f t="shared" ca="1" si="33"/>
        <v>45830</v>
      </c>
      <c r="AN114" s="564">
        <v>95.01</v>
      </c>
      <c r="AO114" s="564">
        <v>584469</v>
      </c>
      <c r="AP114" s="564">
        <v>44245.955000000002</v>
      </c>
      <c r="AQ114" s="564">
        <v>4203808.1845500004</v>
      </c>
      <c r="AR114" s="564">
        <v>1.2198</v>
      </c>
    </row>
    <row r="115" spans="2:44">
      <c r="B115" s="565">
        <f t="shared" ca="1" si="44"/>
        <v>45170</v>
      </c>
      <c r="C115" s="561">
        <f ca="1">(IFERROR(IFERROR(VALUE(_xll.BDH(C$4,"CURRENT_EV_TO_T12M_EBITDA",$B115,$B115)),VALUE(_xll.BDH(C$4,"CURRENT_EV_TO_T12M_EBITDA",$B115+1,$B115+1))),C116))</f>
        <v>0</v>
      </c>
      <c r="D115" s="561">
        <f ca="1">(IFERROR(IFERROR(VALUE(_xll.BDH(D$4,"CURRENT_EV_TO_T12M_EBITDA",$B115,$B115)),VALUE(_xll.BDH(D$4,"CURRENT_EV_TO_T12M_EBITDA",$B115+1,$B115+1))),D116))</f>
        <v>0</v>
      </c>
      <c r="E115" s="561">
        <f ca="1">(IFERROR(IFERROR(VALUE(_xll.BDH(E$4,"CURRENT_EV_TO_T12M_EBITDA",$B115,$B115)),VALUE(_xll.BDH(E$4,"CURRENT_EV_TO_T12M_EBITDA",$B115+1,$B115+1))),E116))</f>
        <v>0</v>
      </c>
      <c r="F115" s="561">
        <f ca="1">(IFERROR(IFERROR(VALUE(_xll.BDH(F$4,"CURRENT_EV_TO_T12M_EBITDA",$B115,$B115)),VALUE(_xll.BDH(F$4,"CURRENT_EV_TO_T12M_EBITDA",$B115+1,$B115+1))),F116))</f>
        <v>0</v>
      </c>
      <c r="G115" s="561">
        <f ca="1">(IFERROR(IFERROR(VALUE(_xll.BDH(G$4,"CURRENT_EV_TO_T12M_EBITDA",$B115,$B115)),VALUE(_xll.BDH(G$4,"CURRENT_EV_TO_T12M_EBITDA",$B115+1,$B115+1))),G116))</f>
        <v>0</v>
      </c>
      <c r="H115" s="561">
        <f ca="1">(IFERROR(IFERROR(VALUE(_xll.BDH(H$4,"CURRENT_EV_TO_T12M_EBITDA",$B115,$B115)),VALUE(_xll.BDH(H$4,"CURRENT_EV_TO_T12M_EBITDA",$B115+1,$B115+1))),H116))</f>
        <v>0</v>
      </c>
      <c r="I115" s="565">
        <f t="shared" ca="1" si="35"/>
        <v>45170</v>
      </c>
      <c r="J115" s="561">
        <f ca="1">(IFERROR(IFERROR(VALUE(_xll.BDH(J$4,"PE_RATIO",$B115,$B115)),VALUE(_xll.BDH(J$4,"PE_RATIO",$B115+1,$B115+1))),J116))</f>
        <v>0</v>
      </c>
      <c r="K115" s="561">
        <f ca="1">(IFERROR(IFERROR(VALUE(_xll.BDH(K$4,"PE_RATIO",$B115,$B115)),VALUE(_xll.BDH(K$4,"PE_RATIO",$B115+1,$B115+1))),K116))</f>
        <v>0</v>
      </c>
      <c r="L115" s="561">
        <f ca="1">(IFERROR(IFERROR(VALUE(_xll.BDH(L$4,"PE_RATIO",$B115,$B115)),VALUE(_xll.BDH(L$4,"PE_RATIO",$B115+1,$B115+1))),L116))</f>
        <v>0</v>
      </c>
      <c r="M115" s="561">
        <f ca="1">(IFERROR(IFERROR(VALUE(_xll.BDH(M$4,"PE_RATIO",$B115,$B115)),VALUE(_xll.BDH(M$4,"PE_RATIO",$B115+1,$B115+1))),M116))</f>
        <v>0</v>
      </c>
      <c r="N115" s="561">
        <f ca="1">(IFERROR(IFERROR(VALUE(_xll.BDH(N$4,"PE_RATIO",$B115,$B115)),VALUE(_xll.BDH(N$4,"PE_RATIO",$B115+1,$B115+1))),N116))</f>
        <v>0</v>
      </c>
      <c r="O115" s="561">
        <f ca="1">(IFERROR(IFERROR(VALUE(_xll.BDH(O$4,"PE_RATIO",$B115,$B115)),VALUE(_xll.BDH(O$4,"PE_RATIO",$B115+1,$B115+1))),O116))</f>
        <v>0</v>
      </c>
      <c r="P115" s="561"/>
      <c r="Q115" s="565">
        <f t="shared" ca="1" si="36"/>
        <v>45170</v>
      </c>
      <c r="R115" s="4">
        <v>45.66</v>
      </c>
      <c r="S115" s="4">
        <v>4576.7299999999996</v>
      </c>
      <c r="T115" s="4">
        <v>277.49200000000002</v>
      </c>
      <c r="U115" s="4">
        <v>0.75433669254914915</v>
      </c>
      <c r="V115" s="4">
        <v>1.254830298660101</v>
      </c>
      <c r="W115" s="4" t="e">
        <v>#DIV/0!</v>
      </c>
      <c r="Y115" s="561">
        <f t="shared" si="37"/>
        <v>45.66</v>
      </c>
      <c r="Z115" s="4">
        <f ca="1">IFERROR(VALUE(_xll.BDH(Z$4,"PX_LAST",$Q115,$Q115)),Z116)</f>
        <v>0</v>
      </c>
      <c r="AA115" s="4">
        <f ca="1">IFERROR(VALUE(_xll.BDH(AA$4,"PX_LAST",$Q115,$Q115)),AA116)</f>
        <v>0</v>
      </c>
      <c r="AB115" s="4">
        <f ca="1">IFERROR(VALUE(_xll.BDH(AB$4,"PX_LAST",$Q115,$Q115)),AB116)</f>
        <v>0</v>
      </c>
      <c r="AC115" s="4">
        <f ca="1">IFERROR(VALUE(_xll.BDH(AC$4,"PX_LAST",$Q115,$Q115)),AC116)</f>
        <v>0</v>
      </c>
      <c r="AD115" s="4">
        <f ca="1">IFERROR(VALUE(_xll.BDH(AD$4,"PX_LAST",$Q115,$Q115)),AD116)</f>
        <v>0</v>
      </c>
      <c r="AF115" s="4">
        <f t="shared" si="38"/>
        <v>0.75433669254914915</v>
      </c>
      <c r="AG115" s="4" t="e">
        <f t="shared" ca="1" si="39"/>
        <v>#DIV/0!</v>
      </c>
      <c r="AH115" s="4" t="e">
        <f t="shared" ca="1" si="40"/>
        <v>#DIV/0!</v>
      </c>
      <c r="AI115" s="4" t="e">
        <f t="shared" ca="1" si="41"/>
        <v>#DIV/0!</v>
      </c>
      <c r="AJ115" s="4" t="e">
        <f t="shared" ca="1" si="42"/>
        <v>#DIV/0!</v>
      </c>
      <c r="AK115" s="4" t="e">
        <f t="shared" ca="1" si="43"/>
        <v>#DIV/0!</v>
      </c>
      <c r="AM115" s="563">
        <f t="shared" ca="1" si="33"/>
        <v>45829</v>
      </c>
      <c r="AN115" s="564">
        <v>96.77</v>
      </c>
      <c r="AO115" s="564">
        <v>697994</v>
      </c>
      <c r="AP115" s="564">
        <v>44245.955000000002</v>
      </c>
      <c r="AQ115" s="564">
        <v>4281681.0653499998</v>
      </c>
      <c r="AR115" s="564">
        <v>1.2423999999999999</v>
      </c>
    </row>
    <row r="116" spans="2:44">
      <c r="B116" s="565">
        <f t="shared" ca="1" si="44"/>
        <v>45163</v>
      </c>
      <c r="C116" s="561">
        <f ca="1">(IFERROR(IFERROR(VALUE(_xll.BDH(C$4,"CURRENT_EV_TO_T12M_EBITDA",$B116,$B116)),VALUE(_xll.BDH(C$4,"CURRENT_EV_TO_T12M_EBITDA",$B116+1,$B116+1))),C117))</f>
        <v>0</v>
      </c>
      <c r="D116" s="561">
        <f ca="1">(IFERROR(IFERROR(VALUE(_xll.BDH(D$4,"CURRENT_EV_TO_T12M_EBITDA",$B116,$B116)),VALUE(_xll.BDH(D$4,"CURRENT_EV_TO_T12M_EBITDA",$B116+1,$B116+1))),D117))</f>
        <v>0</v>
      </c>
      <c r="E116" s="561">
        <f ca="1">(IFERROR(IFERROR(VALUE(_xll.BDH(E$4,"CURRENT_EV_TO_T12M_EBITDA",$B116,$B116)),VALUE(_xll.BDH(E$4,"CURRENT_EV_TO_T12M_EBITDA",$B116+1,$B116+1))),E117))</f>
        <v>0</v>
      </c>
      <c r="F116" s="561">
        <f ca="1">(IFERROR(IFERROR(VALUE(_xll.BDH(F$4,"CURRENT_EV_TO_T12M_EBITDA",$B116,$B116)),VALUE(_xll.BDH(F$4,"CURRENT_EV_TO_T12M_EBITDA",$B116+1,$B116+1))),F117))</f>
        <v>0</v>
      </c>
      <c r="G116" s="561">
        <f ca="1">(IFERROR(IFERROR(VALUE(_xll.BDH(G$4,"CURRENT_EV_TO_T12M_EBITDA",$B116,$B116)),VALUE(_xll.BDH(G$4,"CURRENT_EV_TO_T12M_EBITDA",$B116+1,$B116+1))),G117))</f>
        <v>0</v>
      </c>
      <c r="H116" s="561">
        <f ca="1">(IFERROR(IFERROR(VALUE(_xll.BDH(H$4,"CURRENT_EV_TO_T12M_EBITDA",$B116,$B116)),VALUE(_xll.BDH(H$4,"CURRENT_EV_TO_T12M_EBITDA",$B116+1,$B116+1))),H117))</f>
        <v>0</v>
      </c>
      <c r="I116" s="565">
        <f t="shared" ca="1" si="35"/>
        <v>45163</v>
      </c>
      <c r="J116" s="561">
        <f ca="1">(IFERROR(IFERROR(VALUE(_xll.BDH(J$4,"PE_RATIO",$B116,$B116)),VALUE(_xll.BDH(J$4,"PE_RATIO",$B116+1,$B116+1))),J117))</f>
        <v>0</v>
      </c>
      <c r="K116" s="561">
        <f ca="1">(IFERROR(IFERROR(VALUE(_xll.BDH(K$4,"PE_RATIO",$B116,$B116)),VALUE(_xll.BDH(K$4,"PE_RATIO",$B116+1,$B116+1))),K117))</f>
        <v>0</v>
      </c>
      <c r="L116" s="561">
        <f ca="1">(IFERROR(IFERROR(VALUE(_xll.BDH(L$4,"PE_RATIO",$B116,$B116)),VALUE(_xll.BDH(L$4,"PE_RATIO",$B116+1,$B116+1))),L117))</f>
        <v>0</v>
      </c>
      <c r="M116" s="561">
        <f ca="1">(IFERROR(IFERROR(VALUE(_xll.BDH(M$4,"PE_RATIO",$B116,$B116)),VALUE(_xll.BDH(M$4,"PE_RATIO",$B116+1,$B116+1))),M117))</f>
        <v>0</v>
      </c>
      <c r="N116" s="561">
        <f ca="1">(IFERROR(IFERROR(VALUE(_xll.BDH(N$4,"PE_RATIO",$B116,$B116)),VALUE(_xll.BDH(N$4,"PE_RATIO",$B116+1,$B116+1))),N117))</f>
        <v>0</v>
      </c>
      <c r="O116" s="561">
        <f ca="1">(IFERROR(IFERROR(VALUE(_xll.BDH(O$4,"PE_RATIO",$B116,$B116)),VALUE(_xll.BDH(O$4,"PE_RATIO",$B116+1,$B116+1))),O117))</f>
        <v>0</v>
      </c>
      <c r="P116" s="561"/>
      <c r="Q116" s="565">
        <f t="shared" ca="1" si="36"/>
        <v>45163</v>
      </c>
      <c r="R116" s="4">
        <v>45.07</v>
      </c>
      <c r="S116" s="4">
        <v>4567.46</v>
      </c>
      <c r="T116" s="4">
        <v>277.49200000000002</v>
      </c>
      <c r="U116" s="4">
        <v>0.74458945977201385</v>
      </c>
      <c r="V116" s="4">
        <v>1.2522886855720274</v>
      </c>
      <c r="W116" s="4" t="e">
        <v>#DIV/0!</v>
      </c>
      <c r="Y116" s="561">
        <f t="shared" si="37"/>
        <v>45.07</v>
      </c>
      <c r="Z116" s="4">
        <f ca="1">IFERROR(VALUE(_xll.BDH(Z$4,"PX_LAST",$Q116,$Q116)),Z117)</f>
        <v>0</v>
      </c>
      <c r="AA116" s="4">
        <f ca="1">IFERROR(VALUE(_xll.BDH(AA$4,"PX_LAST",$Q116,$Q116)),AA117)</f>
        <v>0</v>
      </c>
      <c r="AB116" s="4">
        <f ca="1">IFERROR(VALUE(_xll.BDH(AB$4,"PX_LAST",$Q116,$Q116)),AB117)</f>
        <v>0</v>
      </c>
      <c r="AC116" s="4">
        <f ca="1">IFERROR(VALUE(_xll.BDH(AC$4,"PX_LAST",$Q116,$Q116)),AC117)</f>
        <v>0</v>
      </c>
      <c r="AD116" s="4">
        <f ca="1">IFERROR(VALUE(_xll.BDH(AD$4,"PX_LAST",$Q116,$Q116)),AD117)</f>
        <v>0</v>
      </c>
      <c r="AF116" s="4">
        <f t="shared" si="38"/>
        <v>0.74458945977201385</v>
      </c>
      <c r="AG116" s="4" t="e">
        <f t="shared" ca="1" si="39"/>
        <v>#DIV/0!</v>
      </c>
      <c r="AH116" s="4" t="e">
        <f t="shared" ca="1" si="40"/>
        <v>#DIV/0!</v>
      </c>
      <c r="AI116" s="4" t="e">
        <f t="shared" ca="1" si="41"/>
        <v>#DIV/0!</v>
      </c>
      <c r="AJ116" s="4" t="e">
        <f t="shared" ca="1" si="42"/>
        <v>#DIV/0!</v>
      </c>
      <c r="AK116" s="4" t="e">
        <f t="shared" ca="1" si="43"/>
        <v>#DIV/0!</v>
      </c>
      <c r="AM116" s="563">
        <f t="shared" ca="1" si="33"/>
        <v>45828</v>
      </c>
      <c r="AN116" s="564">
        <v>96.36</v>
      </c>
      <c r="AO116" s="564">
        <v>752984</v>
      </c>
      <c r="AP116" s="564">
        <v>44245.955000000002</v>
      </c>
      <c r="AQ116" s="564">
        <v>4263540.2237999998</v>
      </c>
      <c r="AR116" s="564">
        <v>1.2372000000000001</v>
      </c>
    </row>
    <row r="117" spans="2:44">
      <c r="B117" s="565">
        <f t="shared" ca="1" si="44"/>
        <v>45156</v>
      </c>
      <c r="C117" s="561">
        <f ca="1">(IFERROR(IFERROR(VALUE(_xll.BDH(C$4,"CURRENT_EV_TO_T12M_EBITDA",$B117,$B117)),VALUE(_xll.BDH(C$4,"CURRENT_EV_TO_T12M_EBITDA",$B117+1,$B117+1))),C118))</f>
        <v>0</v>
      </c>
      <c r="D117" s="561">
        <f ca="1">(IFERROR(IFERROR(VALUE(_xll.BDH(D$4,"CURRENT_EV_TO_T12M_EBITDA",$B117,$B117)),VALUE(_xll.BDH(D$4,"CURRENT_EV_TO_T12M_EBITDA",$B117+1,$B117+1))),D118))</f>
        <v>0</v>
      </c>
      <c r="E117" s="561">
        <f ca="1">(IFERROR(IFERROR(VALUE(_xll.BDH(E$4,"CURRENT_EV_TO_T12M_EBITDA",$B117,$B117)),VALUE(_xll.BDH(E$4,"CURRENT_EV_TO_T12M_EBITDA",$B117+1,$B117+1))),E118))</f>
        <v>0</v>
      </c>
      <c r="F117" s="561">
        <f ca="1">(IFERROR(IFERROR(VALUE(_xll.BDH(F$4,"CURRENT_EV_TO_T12M_EBITDA",$B117,$B117)),VALUE(_xll.BDH(F$4,"CURRENT_EV_TO_T12M_EBITDA",$B117+1,$B117+1))),F118))</f>
        <v>0</v>
      </c>
      <c r="G117" s="561">
        <f ca="1">(IFERROR(IFERROR(VALUE(_xll.BDH(G$4,"CURRENT_EV_TO_T12M_EBITDA",$B117,$B117)),VALUE(_xll.BDH(G$4,"CURRENT_EV_TO_T12M_EBITDA",$B117+1,$B117+1))),G118))</f>
        <v>0</v>
      </c>
      <c r="H117" s="561">
        <f ca="1">(IFERROR(IFERROR(VALUE(_xll.BDH(H$4,"CURRENT_EV_TO_T12M_EBITDA",$B117,$B117)),VALUE(_xll.BDH(H$4,"CURRENT_EV_TO_T12M_EBITDA",$B117+1,$B117+1))),H118))</f>
        <v>0</v>
      </c>
      <c r="I117" s="565">
        <f t="shared" ca="1" si="35"/>
        <v>45156</v>
      </c>
      <c r="J117" s="561">
        <f ca="1">(IFERROR(IFERROR(VALUE(_xll.BDH(J$4,"PE_RATIO",$B117,$B117)),VALUE(_xll.BDH(J$4,"PE_RATIO",$B117+1,$B117+1))),J118))</f>
        <v>0</v>
      </c>
      <c r="K117" s="561">
        <f ca="1">(IFERROR(IFERROR(VALUE(_xll.BDH(K$4,"PE_RATIO",$B117,$B117)),VALUE(_xll.BDH(K$4,"PE_RATIO",$B117+1,$B117+1))),K118))</f>
        <v>0</v>
      </c>
      <c r="L117" s="561">
        <f ca="1">(IFERROR(IFERROR(VALUE(_xll.BDH(L$4,"PE_RATIO",$B117,$B117)),VALUE(_xll.BDH(L$4,"PE_RATIO",$B117+1,$B117+1))),L118))</f>
        <v>0</v>
      </c>
      <c r="M117" s="561">
        <f ca="1">(IFERROR(IFERROR(VALUE(_xll.BDH(M$4,"PE_RATIO",$B117,$B117)),VALUE(_xll.BDH(M$4,"PE_RATIO",$B117+1,$B117+1))),M118))</f>
        <v>0</v>
      </c>
      <c r="N117" s="561">
        <f ca="1">(IFERROR(IFERROR(VALUE(_xll.BDH(N$4,"PE_RATIO",$B117,$B117)),VALUE(_xll.BDH(N$4,"PE_RATIO",$B117+1,$B117+1))),N118))</f>
        <v>0</v>
      </c>
      <c r="O117" s="561">
        <f ca="1">(IFERROR(IFERROR(VALUE(_xll.BDH(O$4,"PE_RATIO",$B117,$B117)),VALUE(_xll.BDH(O$4,"PE_RATIO",$B117+1,$B117+1))),O118))</f>
        <v>0</v>
      </c>
      <c r="P117" s="561"/>
      <c r="Q117" s="565">
        <f t="shared" ca="1" si="36"/>
        <v>45156</v>
      </c>
      <c r="R117" s="4">
        <v>44.43</v>
      </c>
      <c r="S117" s="4">
        <v>4554.9799999999996</v>
      </c>
      <c r="T117" s="4">
        <v>277.49200000000002</v>
      </c>
      <c r="U117" s="4">
        <v>0.73401619031885013</v>
      </c>
      <c r="V117" s="4">
        <v>1.2488669669809638</v>
      </c>
      <c r="W117" s="4" t="e">
        <v>#DIV/0!</v>
      </c>
      <c r="Y117" s="561">
        <f t="shared" si="37"/>
        <v>44.43</v>
      </c>
      <c r="Z117" s="4">
        <f ca="1">IFERROR(VALUE(_xll.BDH(Z$4,"PX_LAST",$Q117,$Q117)),Z118)</f>
        <v>0</v>
      </c>
      <c r="AA117" s="4">
        <f ca="1">IFERROR(VALUE(_xll.BDH(AA$4,"PX_LAST",$Q117,$Q117)),AA118)</f>
        <v>0</v>
      </c>
      <c r="AB117" s="4">
        <f ca="1">IFERROR(VALUE(_xll.BDH(AB$4,"PX_LAST",$Q117,$Q117)),AB118)</f>
        <v>0</v>
      </c>
      <c r="AC117" s="4">
        <f ca="1">IFERROR(VALUE(_xll.BDH(AC$4,"PX_LAST",$Q117,$Q117)),AC118)</f>
        <v>0</v>
      </c>
      <c r="AD117" s="4">
        <f ca="1">IFERROR(VALUE(_xll.BDH(AD$4,"PX_LAST",$Q117,$Q117)),AD118)</f>
        <v>0</v>
      </c>
      <c r="AF117" s="4">
        <f t="shared" si="38"/>
        <v>0.73401619031885013</v>
      </c>
      <c r="AG117" s="4" t="e">
        <f t="shared" ca="1" si="39"/>
        <v>#DIV/0!</v>
      </c>
      <c r="AH117" s="4" t="e">
        <f t="shared" ca="1" si="40"/>
        <v>#DIV/0!</v>
      </c>
      <c r="AI117" s="4" t="e">
        <f t="shared" ca="1" si="41"/>
        <v>#DIV/0!</v>
      </c>
      <c r="AJ117" s="4" t="e">
        <f t="shared" ca="1" si="42"/>
        <v>#DIV/0!</v>
      </c>
      <c r="AK117" s="4" t="e">
        <f t="shared" ca="1" si="43"/>
        <v>#DIV/0!</v>
      </c>
      <c r="AM117" s="563">
        <f t="shared" ca="1" si="33"/>
        <v>45827</v>
      </c>
      <c r="AN117" s="564">
        <v>97.17</v>
      </c>
      <c r="AO117" s="564">
        <v>990005</v>
      </c>
      <c r="AP117" s="564">
        <v>44245.955000000002</v>
      </c>
      <c r="AQ117" s="564">
        <v>4299379.44735</v>
      </c>
      <c r="AR117" s="564">
        <v>1.2476</v>
      </c>
    </row>
    <row r="118" spans="2:44">
      <c r="B118" s="565">
        <f t="shared" ca="1" si="44"/>
        <v>45149</v>
      </c>
      <c r="C118" s="561">
        <f ca="1">(IFERROR(IFERROR(VALUE(_xll.BDH(C$4,"CURRENT_EV_TO_T12M_EBITDA",$B118,$B118)),VALUE(_xll.BDH(C$4,"CURRENT_EV_TO_T12M_EBITDA",$B118+1,$B118+1))),C119))</f>
        <v>0</v>
      </c>
      <c r="D118" s="561">
        <f ca="1">(IFERROR(IFERROR(VALUE(_xll.BDH(D$4,"CURRENT_EV_TO_T12M_EBITDA",$B118,$B118)),VALUE(_xll.BDH(D$4,"CURRENT_EV_TO_T12M_EBITDA",$B118+1,$B118+1))),D119))</f>
        <v>0</v>
      </c>
      <c r="E118" s="561">
        <f ca="1">(IFERROR(IFERROR(VALUE(_xll.BDH(E$4,"CURRENT_EV_TO_T12M_EBITDA",$B118,$B118)),VALUE(_xll.BDH(E$4,"CURRENT_EV_TO_T12M_EBITDA",$B118+1,$B118+1))),E119))</f>
        <v>0</v>
      </c>
      <c r="F118" s="561">
        <f ca="1">(IFERROR(IFERROR(VALUE(_xll.BDH(F$4,"CURRENT_EV_TO_T12M_EBITDA",$B118,$B118)),VALUE(_xll.BDH(F$4,"CURRENT_EV_TO_T12M_EBITDA",$B118+1,$B118+1))),F119))</f>
        <v>0</v>
      </c>
      <c r="G118" s="561">
        <f ca="1">(IFERROR(IFERROR(VALUE(_xll.BDH(G$4,"CURRENT_EV_TO_T12M_EBITDA",$B118,$B118)),VALUE(_xll.BDH(G$4,"CURRENT_EV_TO_T12M_EBITDA",$B118+1,$B118+1))),G119))</f>
        <v>0</v>
      </c>
      <c r="H118" s="561">
        <f ca="1">(IFERROR(IFERROR(VALUE(_xll.BDH(H$4,"CURRENT_EV_TO_T12M_EBITDA",$B118,$B118)),VALUE(_xll.BDH(H$4,"CURRENT_EV_TO_T12M_EBITDA",$B118+1,$B118+1))),H119))</f>
        <v>0</v>
      </c>
      <c r="I118" s="565">
        <f t="shared" ca="1" si="35"/>
        <v>45149</v>
      </c>
      <c r="J118" s="561">
        <f ca="1">(IFERROR(IFERROR(VALUE(_xll.BDH(J$4,"PE_RATIO",$B118,$B118)),VALUE(_xll.BDH(J$4,"PE_RATIO",$B118+1,$B118+1))),J119))</f>
        <v>0</v>
      </c>
      <c r="K118" s="561">
        <f ca="1">(IFERROR(IFERROR(VALUE(_xll.BDH(K$4,"PE_RATIO",$B118,$B118)),VALUE(_xll.BDH(K$4,"PE_RATIO",$B118+1,$B118+1))),K119))</f>
        <v>0</v>
      </c>
      <c r="L118" s="561">
        <f ca="1">(IFERROR(IFERROR(VALUE(_xll.BDH(L$4,"PE_RATIO",$B118,$B118)),VALUE(_xll.BDH(L$4,"PE_RATIO",$B118+1,$B118+1))),L119))</f>
        <v>0</v>
      </c>
      <c r="M118" s="561">
        <f ca="1">(IFERROR(IFERROR(VALUE(_xll.BDH(M$4,"PE_RATIO",$B118,$B118)),VALUE(_xll.BDH(M$4,"PE_RATIO",$B118+1,$B118+1))),M119))</f>
        <v>0</v>
      </c>
      <c r="N118" s="561">
        <f ca="1">(IFERROR(IFERROR(VALUE(_xll.BDH(N$4,"PE_RATIO",$B118,$B118)),VALUE(_xll.BDH(N$4,"PE_RATIO",$B118+1,$B118+1))),N119))</f>
        <v>0</v>
      </c>
      <c r="O118" s="561">
        <f ca="1">(IFERROR(IFERROR(VALUE(_xll.BDH(O$4,"PE_RATIO",$B118,$B118)),VALUE(_xll.BDH(O$4,"PE_RATIO",$B118+1,$B118+1))),O119))</f>
        <v>0</v>
      </c>
      <c r="P118" s="561"/>
      <c r="Q118" s="565">
        <f t="shared" ca="1" si="36"/>
        <v>45149</v>
      </c>
      <c r="R118" s="4">
        <v>44</v>
      </c>
      <c r="S118" s="4">
        <v>4439.26</v>
      </c>
      <c r="T118" s="4">
        <v>277.49200000000002</v>
      </c>
      <c r="U118" s="4">
        <v>0.72691227490500576</v>
      </c>
      <c r="V118" s="4">
        <v>1.217139300686263</v>
      </c>
      <c r="W118" s="4" t="e">
        <v>#DIV/0!</v>
      </c>
      <c r="Y118" s="561">
        <f t="shared" si="37"/>
        <v>44</v>
      </c>
      <c r="Z118" s="4">
        <f ca="1">IFERROR(VALUE(_xll.BDH(Z$4,"PX_LAST",$Q118,$Q118)),Z119)</f>
        <v>0</v>
      </c>
      <c r="AA118" s="4">
        <f ca="1">IFERROR(VALUE(_xll.BDH(AA$4,"PX_LAST",$Q118,$Q118)),AA119)</f>
        <v>0</v>
      </c>
      <c r="AB118" s="4">
        <f ca="1">IFERROR(VALUE(_xll.BDH(AB$4,"PX_LAST",$Q118,$Q118)),AB119)</f>
        <v>0</v>
      </c>
      <c r="AC118" s="4">
        <f ca="1">IFERROR(VALUE(_xll.BDH(AC$4,"PX_LAST",$Q118,$Q118)),AC119)</f>
        <v>0</v>
      </c>
      <c r="AD118" s="4">
        <f ca="1">IFERROR(VALUE(_xll.BDH(AD$4,"PX_LAST",$Q118,$Q118)),AD119)</f>
        <v>0</v>
      </c>
      <c r="AF118" s="4">
        <f t="shared" si="38"/>
        <v>0.72691227490500576</v>
      </c>
      <c r="AG118" s="4" t="e">
        <f t="shared" ca="1" si="39"/>
        <v>#DIV/0!</v>
      </c>
      <c r="AH118" s="4" t="e">
        <f t="shared" ca="1" si="40"/>
        <v>#DIV/0!</v>
      </c>
      <c r="AI118" s="4" t="e">
        <f t="shared" ca="1" si="41"/>
        <v>#DIV/0!</v>
      </c>
      <c r="AJ118" s="4" t="e">
        <f t="shared" ca="1" si="42"/>
        <v>#DIV/0!</v>
      </c>
      <c r="AK118" s="4" t="e">
        <f t="shared" ca="1" si="43"/>
        <v>#DIV/0!</v>
      </c>
      <c r="AM118" s="563">
        <f t="shared" ca="1" si="33"/>
        <v>45826</v>
      </c>
      <c r="AN118" s="564">
        <v>99.64</v>
      </c>
      <c r="AO118" s="564">
        <v>849403</v>
      </c>
      <c r="AP118" s="564">
        <v>44245.955000000002</v>
      </c>
      <c r="AQ118" s="564">
        <v>4408666.9561999999</v>
      </c>
      <c r="AR118" s="564">
        <v>1.2793000000000001</v>
      </c>
    </row>
    <row r="119" spans="2:44">
      <c r="B119" s="565">
        <f t="shared" ca="1" si="44"/>
        <v>45142</v>
      </c>
      <c r="C119" s="561">
        <f ca="1">(IFERROR(IFERROR(VALUE(_xll.BDH(C$4,"CURRENT_EV_TO_T12M_EBITDA",$B119,$B119)),VALUE(_xll.BDH(C$4,"CURRENT_EV_TO_T12M_EBITDA",$B119+1,$B119+1))),C120))</f>
        <v>0</v>
      </c>
      <c r="D119" s="561">
        <f ca="1">(IFERROR(IFERROR(VALUE(_xll.BDH(D$4,"CURRENT_EV_TO_T12M_EBITDA",$B119,$B119)),VALUE(_xll.BDH(D$4,"CURRENT_EV_TO_T12M_EBITDA",$B119+1,$B119+1))),D120))</f>
        <v>0</v>
      </c>
      <c r="E119" s="561">
        <f ca="1">(IFERROR(IFERROR(VALUE(_xll.BDH(E$4,"CURRENT_EV_TO_T12M_EBITDA",$B119,$B119)),VALUE(_xll.BDH(E$4,"CURRENT_EV_TO_T12M_EBITDA",$B119+1,$B119+1))),E120))</f>
        <v>0</v>
      </c>
      <c r="F119" s="561">
        <f ca="1">(IFERROR(IFERROR(VALUE(_xll.BDH(F$4,"CURRENT_EV_TO_T12M_EBITDA",$B119,$B119)),VALUE(_xll.BDH(F$4,"CURRENT_EV_TO_T12M_EBITDA",$B119+1,$B119+1))),F120))</f>
        <v>0</v>
      </c>
      <c r="G119" s="561">
        <f ca="1">(IFERROR(IFERROR(VALUE(_xll.BDH(G$4,"CURRENT_EV_TO_T12M_EBITDA",$B119,$B119)),VALUE(_xll.BDH(G$4,"CURRENT_EV_TO_T12M_EBITDA",$B119+1,$B119+1))),G120))</f>
        <v>0</v>
      </c>
      <c r="H119" s="561">
        <f ca="1">(IFERROR(IFERROR(VALUE(_xll.BDH(H$4,"CURRENT_EV_TO_T12M_EBITDA",$B119,$B119)),VALUE(_xll.BDH(H$4,"CURRENT_EV_TO_T12M_EBITDA",$B119+1,$B119+1))),H120))</f>
        <v>0</v>
      </c>
      <c r="I119" s="565">
        <f t="shared" ca="1" si="35"/>
        <v>45142</v>
      </c>
      <c r="J119" s="561">
        <f ca="1">(IFERROR(IFERROR(VALUE(_xll.BDH(J$4,"PE_RATIO",$B119,$B119)),VALUE(_xll.BDH(J$4,"PE_RATIO",$B119+1,$B119+1))),J120))</f>
        <v>0</v>
      </c>
      <c r="K119" s="561">
        <f ca="1">(IFERROR(IFERROR(VALUE(_xll.BDH(K$4,"PE_RATIO",$B119,$B119)),VALUE(_xll.BDH(K$4,"PE_RATIO",$B119+1,$B119+1))),K120))</f>
        <v>0</v>
      </c>
      <c r="L119" s="561">
        <f ca="1">(IFERROR(IFERROR(VALUE(_xll.BDH(L$4,"PE_RATIO",$B119,$B119)),VALUE(_xll.BDH(L$4,"PE_RATIO",$B119+1,$B119+1))),L120))</f>
        <v>0</v>
      </c>
      <c r="M119" s="561">
        <f ca="1">(IFERROR(IFERROR(VALUE(_xll.BDH(M$4,"PE_RATIO",$B119,$B119)),VALUE(_xll.BDH(M$4,"PE_RATIO",$B119+1,$B119+1))),M120))</f>
        <v>0</v>
      </c>
      <c r="N119" s="561">
        <f ca="1">(IFERROR(IFERROR(VALUE(_xll.BDH(N$4,"PE_RATIO",$B119,$B119)),VALUE(_xll.BDH(N$4,"PE_RATIO",$B119+1,$B119+1))),N120))</f>
        <v>0</v>
      </c>
      <c r="O119" s="561">
        <f ca="1">(IFERROR(IFERROR(VALUE(_xll.BDH(O$4,"PE_RATIO",$B119,$B119)),VALUE(_xll.BDH(O$4,"PE_RATIO",$B119+1,$B119+1))),O120))</f>
        <v>0</v>
      </c>
      <c r="P119" s="561"/>
      <c r="Q119" s="565">
        <f t="shared" ca="1" si="36"/>
        <v>45142</v>
      </c>
      <c r="R119" s="4">
        <v>44.42</v>
      </c>
      <c r="S119" s="4">
        <v>4378.41</v>
      </c>
      <c r="T119" s="4">
        <v>277.49200000000002</v>
      </c>
      <c r="U119" s="4">
        <v>0.73385098298364448</v>
      </c>
      <c r="V119" s="4">
        <v>1.2004556807931368</v>
      </c>
      <c r="W119" s="4" t="e">
        <v>#DIV/0!</v>
      </c>
      <c r="Y119" s="561">
        <f t="shared" si="37"/>
        <v>44.42</v>
      </c>
      <c r="Z119" s="4">
        <f ca="1">IFERROR(VALUE(_xll.BDH(Z$4,"PX_LAST",$Q119,$Q119)),Z120)</f>
        <v>0</v>
      </c>
      <c r="AA119" s="4">
        <f ca="1">IFERROR(VALUE(_xll.BDH(AA$4,"PX_LAST",$Q119,$Q119)),AA120)</f>
        <v>0</v>
      </c>
      <c r="AB119" s="4">
        <f ca="1">IFERROR(VALUE(_xll.BDH(AB$4,"PX_LAST",$Q119,$Q119)),AB120)</f>
        <v>0</v>
      </c>
      <c r="AC119" s="4">
        <f ca="1">IFERROR(VALUE(_xll.BDH(AC$4,"PX_LAST",$Q119,$Q119)),AC120)</f>
        <v>0</v>
      </c>
      <c r="AD119" s="4">
        <f ca="1">IFERROR(VALUE(_xll.BDH(AD$4,"PX_LAST",$Q119,$Q119)),AD120)</f>
        <v>0</v>
      </c>
      <c r="AF119" s="4">
        <f t="shared" si="38"/>
        <v>0.73385098298364448</v>
      </c>
      <c r="AG119" s="4" t="e">
        <f t="shared" ca="1" si="39"/>
        <v>#DIV/0!</v>
      </c>
      <c r="AH119" s="4" t="e">
        <f t="shared" ca="1" si="40"/>
        <v>#DIV/0!</v>
      </c>
      <c r="AI119" s="4" t="e">
        <f t="shared" ca="1" si="41"/>
        <v>#DIV/0!</v>
      </c>
      <c r="AJ119" s="4" t="e">
        <f t="shared" ca="1" si="42"/>
        <v>#DIV/0!</v>
      </c>
      <c r="AK119" s="4" t="e">
        <f t="shared" ca="1" si="43"/>
        <v>#DIV/0!</v>
      </c>
      <c r="AM119" s="563">
        <f t="shared" ca="1" si="33"/>
        <v>45825</v>
      </c>
      <c r="AN119" s="564">
        <v>99.64</v>
      </c>
      <c r="AO119" s="564">
        <v>849403</v>
      </c>
      <c r="AP119" s="564">
        <v>44245.955000000002</v>
      </c>
      <c r="AQ119" s="564">
        <v>4408666.9561999999</v>
      </c>
      <c r="AR119" s="564">
        <v>1.2793000000000001</v>
      </c>
    </row>
    <row r="120" spans="2:44">
      <c r="B120" s="565">
        <f t="shared" ca="1" si="44"/>
        <v>45135</v>
      </c>
      <c r="C120" s="561">
        <f ca="1">(IFERROR(IFERROR(VALUE(_xll.BDH(C$4,"CURRENT_EV_TO_T12M_EBITDA",$B120,$B120)),VALUE(_xll.BDH(C$4,"CURRENT_EV_TO_T12M_EBITDA",$B120+1,$B120+1))),C121))</f>
        <v>0</v>
      </c>
      <c r="D120" s="561">
        <f ca="1">(IFERROR(IFERROR(VALUE(_xll.BDH(D$4,"CURRENT_EV_TO_T12M_EBITDA",$B120,$B120)),VALUE(_xll.BDH(D$4,"CURRENT_EV_TO_T12M_EBITDA",$B120+1,$B120+1))),D121))</f>
        <v>0</v>
      </c>
      <c r="E120" s="561">
        <f ca="1">(IFERROR(IFERROR(VALUE(_xll.BDH(E$4,"CURRENT_EV_TO_T12M_EBITDA",$B120,$B120)),VALUE(_xll.BDH(E$4,"CURRENT_EV_TO_T12M_EBITDA",$B120+1,$B120+1))),E121))</f>
        <v>0</v>
      </c>
      <c r="F120" s="561">
        <f ca="1">(IFERROR(IFERROR(VALUE(_xll.BDH(F$4,"CURRENT_EV_TO_T12M_EBITDA",$B120,$B120)),VALUE(_xll.BDH(F$4,"CURRENT_EV_TO_T12M_EBITDA",$B120+1,$B120+1))),F121))</f>
        <v>0</v>
      </c>
      <c r="G120" s="561">
        <f ca="1">(IFERROR(IFERROR(VALUE(_xll.BDH(G$4,"CURRENT_EV_TO_T12M_EBITDA",$B120,$B120)),VALUE(_xll.BDH(G$4,"CURRENT_EV_TO_T12M_EBITDA",$B120+1,$B120+1))),G121))</f>
        <v>0</v>
      </c>
      <c r="H120" s="561">
        <f ca="1">(IFERROR(IFERROR(VALUE(_xll.BDH(H$4,"CURRENT_EV_TO_T12M_EBITDA",$B120,$B120)),VALUE(_xll.BDH(H$4,"CURRENT_EV_TO_T12M_EBITDA",$B120+1,$B120+1))),H121))</f>
        <v>0</v>
      </c>
      <c r="I120" s="565">
        <f t="shared" ca="1" si="35"/>
        <v>45135</v>
      </c>
      <c r="J120" s="561">
        <f ca="1">(IFERROR(IFERROR(VALUE(_xll.BDH(J$4,"PE_RATIO",$B120,$B120)),VALUE(_xll.BDH(J$4,"PE_RATIO",$B120+1,$B120+1))),J121))</f>
        <v>0</v>
      </c>
      <c r="K120" s="561">
        <f ca="1">(IFERROR(IFERROR(VALUE(_xll.BDH(K$4,"PE_RATIO",$B120,$B120)),VALUE(_xll.BDH(K$4,"PE_RATIO",$B120+1,$B120+1))),K121))</f>
        <v>0</v>
      </c>
      <c r="L120" s="561">
        <f ca="1">(IFERROR(IFERROR(VALUE(_xll.BDH(L$4,"PE_RATIO",$B120,$B120)),VALUE(_xll.BDH(L$4,"PE_RATIO",$B120+1,$B120+1))),L121))</f>
        <v>0</v>
      </c>
      <c r="M120" s="561">
        <f ca="1">(IFERROR(IFERROR(VALUE(_xll.BDH(M$4,"PE_RATIO",$B120,$B120)),VALUE(_xll.BDH(M$4,"PE_RATIO",$B120+1,$B120+1))),M121))</f>
        <v>0</v>
      </c>
      <c r="N120" s="561">
        <f ca="1">(IFERROR(IFERROR(VALUE(_xll.BDH(N$4,"PE_RATIO",$B120,$B120)),VALUE(_xll.BDH(N$4,"PE_RATIO",$B120+1,$B120+1))),N121))</f>
        <v>0</v>
      </c>
      <c r="O120" s="561">
        <f ca="1">(IFERROR(IFERROR(VALUE(_xll.BDH(O$4,"PE_RATIO",$B120,$B120)),VALUE(_xll.BDH(O$4,"PE_RATIO",$B120+1,$B120+1))),O121))</f>
        <v>0</v>
      </c>
      <c r="P120" s="561"/>
      <c r="Q120" s="565">
        <f t="shared" ca="1" si="36"/>
        <v>45135</v>
      </c>
      <c r="R120" s="4">
        <v>44.42</v>
      </c>
      <c r="S120" s="4">
        <v>4378.41</v>
      </c>
      <c r="T120" s="4">
        <v>277.49200000000002</v>
      </c>
      <c r="U120" s="4">
        <v>0.73385098298364448</v>
      </c>
      <c r="V120" s="4">
        <v>1.2004556807931368</v>
      </c>
      <c r="W120" s="4" t="e">
        <v>#DIV/0!</v>
      </c>
      <c r="Y120" s="561">
        <f t="shared" si="37"/>
        <v>44.42</v>
      </c>
      <c r="Z120" s="4">
        <f ca="1">IFERROR(VALUE(_xll.BDH(Z$4,"PX_LAST",$Q120,$Q120)),Z121)</f>
        <v>0</v>
      </c>
      <c r="AA120" s="4">
        <f ca="1">IFERROR(VALUE(_xll.BDH(AA$4,"PX_LAST",$Q120,$Q120)),AA121)</f>
        <v>0</v>
      </c>
      <c r="AB120" s="4">
        <f ca="1">IFERROR(VALUE(_xll.BDH(AB$4,"PX_LAST",$Q120,$Q120)),AB121)</f>
        <v>0</v>
      </c>
      <c r="AC120" s="4">
        <f ca="1">IFERROR(VALUE(_xll.BDH(AC$4,"PX_LAST",$Q120,$Q120)),AC121)</f>
        <v>0</v>
      </c>
      <c r="AD120" s="4">
        <f ca="1">IFERROR(VALUE(_xll.BDH(AD$4,"PX_LAST",$Q120,$Q120)),AD121)</f>
        <v>0</v>
      </c>
      <c r="AF120" s="4">
        <f t="shared" si="38"/>
        <v>0.73385098298364448</v>
      </c>
      <c r="AG120" s="4" t="e">
        <f t="shared" ca="1" si="39"/>
        <v>#DIV/0!</v>
      </c>
      <c r="AH120" s="4" t="e">
        <f t="shared" ca="1" si="40"/>
        <v>#DIV/0!</v>
      </c>
      <c r="AI120" s="4" t="e">
        <f t="shared" ca="1" si="41"/>
        <v>#DIV/0!</v>
      </c>
      <c r="AJ120" s="4" t="e">
        <f t="shared" ca="1" si="42"/>
        <v>#DIV/0!</v>
      </c>
      <c r="AK120" s="4" t="e">
        <f t="shared" ca="1" si="43"/>
        <v>#DIV/0!</v>
      </c>
      <c r="AM120" s="563">
        <f t="shared" ca="1" si="33"/>
        <v>45824</v>
      </c>
      <c r="AN120" s="564">
        <v>99.64</v>
      </c>
      <c r="AO120" s="564">
        <v>849403</v>
      </c>
      <c r="AP120" s="564">
        <v>44245.955000000002</v>
      </c>
      <c r="AQ120" s="564">
        <v>4408666.9561999999</v>
      </c>
      <c r="AR120" s="564">
        <v>1.2793000000000001</v>
      </c>
    </row>
    <row r="121" spans="2:44">
      <c r="B121" s="565">
        <f t="shared" ca="1" si="44"/>
        <v>45128</v>
      </c>
      <c r="C121" s="561">
        <f ca="1">(IFERROR(IFERROR(VALUE(_xll.BDH(C$4,"CURRENT_EV_TO_T12M_EBITDA",$B121,$B121)),VALUE(_xll.BDH(C$4,"CURRENT_EV_TO_T12M_EBITDA",$B121+1,$B121+1))),C122))</f>
        <v>0</v>
      </c>
      <c r="D121" s="561">
        <f ca="1">(IFERROR(IFERROR(VALUE(_xll.BDH(D$4,"CURRENT_EV_TO_T12M_EBITDA",$B121,$B121)),VALUE(_xll.BDH(D$4,"CURRENT_EV_TO_T12M_EBITDA",$B121+1,$B121+1))),D122))</f>
        <v>0</v>
      </c>
      <c r="E121" s="561">
        <f ca="1">(IFERROR(IFERROR(VALUE(_xll.BDH(E$4,"CURRENT_EV_TO_T12M_EBITDA",$B121,$B121)),VALUE(_xll.BDH(E$4,"CURRENT_EV_TO_T12M_EBITDA",$B121+1,$B121+1))),E122))</f>
        <v>0</v>
      </c>
      <c r="F121" s="561">
        <f ca="1">(IFERROR(IFERROR(VALUE(_xll.BDH(F$4,"CURRENT_EV_TO_T12M_EBITDA",$B121,$B121)),VALUE(_xll.BDH(F$4,"CURRENT_EV_TO_T12M_EBITDA",$B121+1,$B121+1))),F122))</f>
        <v>0</v>
      </c>
      <c r="G121" s="561">
        <f ca="1">(IFERROR(IFERROR(VALUE(_xll.BDH(G$4,"CURRENT_EV_TO_T12M_EBITDA",$B121,$B121)),VALUE(_xll.BDH(G$4,"CURRENT_EV_TO_T12M_EBITDA",$B121+1,$B121+1))),G122))</f>
        <v>0</v>
      </c>
      <c r="H121" s="561">
        <f ca="1">(IFERROR(IFERROR(VALUE(_xll.BDH(H$4,"CURRENT_EV_TO_T12M_EBITDA",$B121,$B121)),VALUE(_xll.BDH(H$4,"CURRENT_EV_TO_T12M_EBITDA",$B121+1,$B121+1))),H122))</f>
        <v>0</v>
      </c>
      <c r="I121" s="565">
        <f t="shared" ca="1" si="35"/>
        <v>45128</v>
      </c>
      <c r="J121" s="561">
        <f ca="1">(IFERROR(IFERROR(VALUE(_xll.BDH(J$4,"PE_RATIO",$B121,$B121)),VALUE(_xll.BDH(J$4,"PE_RATIO",$B121+1,$B121+1))),J122))</f>
        <v>0</v>
      </c>
      <c r="K121" s="561">
        <f ca="1">(IFERROR(IFERROR(VALUE(_xll.BDH(K$4,"PE_RATIO",$B121,$B121)),VALUE(_xll.BDH(K$4,"PE_RATIO",$B121+1,$B121+1))),K122))</f>
        <v>0</v>
      </c>
      <c r="L121" s="561">
        <f ca="1">(IFERROR(IFERROR(VALUE(_xll.BDH(L$4,"PE_RATIO",$B121,$B121)),VALUE(_xll.BDH(L$4,"PE_RATIO",$B121+1,$B121+1))),L122))</f>
        <v>0</v>
      </c>
      <c r="M121" s="561">
        <f ca="1">(IFERROR(IFERROR(VALUE(_xll.BDH(M$4,"PE_RATIO",$B121,$B121)),VALUE(_xll.BDH(M$4,"PE_RATIO",$B121+1,$B121+1))),M122))</f>
        <v>0</v>
      </c>
      <c r="N121" s="561">
        <f ca="1">(IFERROR(IFERROR(VALUE(_xll.BDH(N$4,"PE_RATIO",$B121,$B121)),VALUE(_xll.BDH(N$4,"PE_RATIO",$B121+1,$B121+1))),N122))</f>
        <v>0</v>
      </c>
      <c r="O121" s="561">
        <f ca="1">(IFERROR(IFERROR(VALUE(_xll.BDH(O$4,"PE_RATIO",$B121,$B121)),VALUE(_xll.BDH(O$4,"PE_RATIO",$B121+1,$B121+1))),O122))</f>
        <v>0</v>
      </c>
      <c r="P121" s="561"/>
      <c r="Q121" s="565">
        <f t="shared" ca="1" si="36"/>
        <v>45128</v>
      </c>
      <c r="R121" s="4">
        <v>46.08</v>
      </c>
      <c r="S121" s="4">
        <v>4388.71</v>
      </c>
      <c r="T121" s="4">
        <v>277.49200000000002</v>
      </c>
      <c r="U121" s="4">
        <v>0.76127540062778787</v>
      </c>
      <c r="V121" s="4">
        <v>1.2032796953354408</v>
      </c>
      <c r="W121" s="4" t="e">
        <v>#DIV/0!</v>
      </c>
      <c r="Y121" s="561">
        <f t="shared" si="37"/>
        <v>46.08</v>
      </c>
      <c r="Z121" s="4">
        <f ca="1">IFERROR(VALUE(_xll.BDH(Z$4,"PX_LAST",$Q121,$Q121)),Z122)</f>
        <v>0</v>
      </c>
      <c r="AA121" s="4">
        <f ca="1">IFERROR(VALUE(_xll.BDH(AA$4,"PX_LAST",$Q121,$Q121)),AA122)</f>
        <v>0</v>
      </c>
      <c r="AB121" s="4">
        <f ca="1">IFERROR(VALUE(_xll.BDH(AB$4,"PX_LAST",$Q121,$Q121)),AB122)</f>
        <v>0</v>
      </c>
      <c r="AC121" s="4">
        <f ca="1">IFERROR(VALUE(_xll.BDH(AC$4,"PX_LAST",$Q121,$Q121)),AC122)</f>
        <v>0</v>
      </c>
      <c r="AD121" s="4">
        <f ca="1">IFERROR(VALUE(_xll.BDH(AD$4,"PX_LAST",$Q121,$Q121)),AD122)</f>
        <v>0</v>
      </c>
      <c r="AF121" s="4">
        <f t="shared" si="38"/>
        <v>0.76127540062778787</v>
      </c>
      <c r="AG121" s="4" t="e">
        <f t="shared" ca="1" si="39"/>
        <v>#DIV/0!</v>
      </c>
      <c r="AH121" s="4" t="e">
        <f t="shared" ca="1" si="40"/>
        <v>#DIV/0!</v>
      </c>
      <c r="AI121" s="4" t="e">
        <f t="shared" ca="1" si="41"/>
        <v>#DIV/0!</v>
      </c>
      <c r="AJ121" s="4" t="e">
        <f t="shared" ca="1" si="42"/>
        <v>#DIV/0!</v>
      </c>
      <c r="AK121" s="4" t="e">
        <f t="shared" ca="1" si="43"/>
        <v>#DIV/0!</v>
      </c>
      <c r="AM121" s="563">
        <f t="shared" ca="1" si="33"/>
        <v>45823</v>
      </c>
      <c r="AN121" s="564">
        <v>97.01</v>
      </c>
      <c r="AO121" s="564">
        <v>1145584</v>
      </c>
      <c r="AP121" s="564">
        <v>44245.955000000002</v>
      </c>
      <c r="AQ121" s="564">
        <v>4292300.0945500005</v>
      </c>
      <c r="AR121" s="564">
        <v>1.2455000000000001</v>
      </c>
    </row>
    <row r="122" spans="2:44">
      <c r="B122" s="565">
        <f t="shared" ca="1" si="44"/>
        <v>45121</v>
      </c>
      <c r="C122" s="561">
        <f ca="1">(IFERROR(IFERROR(VALUE(_xll.BDH(C$4,"CURRENT_EV_TO_T12M_EBITDA",$B122,$B122)),VALUE(_xll.BDH(C$4,"CURRENT_EV_TO_T12M_EBITDA",$B122+1,$B122+1))),C123))</f>
        <v>0</v>
      </c>
      <c r="D122" s="561">
        <f ca="1">(IFERROR(IFERROR(VALUE(_xll.BDH(D$4,"CURRENT_EV_TO_T12M_EBITDA",$B122,$B122)),VALUE(_xll.BDH(D$4,"CURRENT_EV_TO_T12M_EBITDA",$B122+1,$B122+1))),D123))</f>
        <v>0</v>
      </c>
      <c r="E122" s="561">
        <f ca="1">(IFERROR(IFERROR(VALUE(_xll.BDH(E$4,"CURRENT_EV_TO_T12M_EBITDA",$B122,$B122)),VALUE(_xll.BDH(E$4,"CURRENT_EV_TO_T12M_EBITDA",$B122+1,$B122+1))),E123))</f>
        <v>0</v>
      </c>
      <c r="F122" s="561">
        <f ca="1">(IFERROR(IFERROR(VALUE(_xll.BDH(F$4,"CURRENT_EV_TO_T12M_EBITDA",$B122,$B122)),VALUE(_xll.BDH(F$4,"CURRENT_EV_TO_T12M_EBITDA",$B122+1,$B122+1))),F123))</f>
        <v>0</v>
      </c>
      <c r="G122" s="561">
        <f ca="1">(IFERROR(IFERROR(VALUE(_xll.BDH(G$4,"CURRENT_EV_TO_T12M_EBITDA",$B122,$B122)),VALUE(_xll.BDH(G$4,"CURRENT_EV_TO_T12M_EBITDA",$B122+1,$B122+1))),G123))</f>
        <v>0</v>
      </c>
      <c r="H122" s="561">
        <f ca="1">(IFERROR(IFERROR(VALUE(_xll.BDH(H$4,"CURRENT_EV_TO_T12M_EBITDA",$B122,$B122)),VALUE(_xll.BDH(H$4,"CURRENT_EV_TO_T12M_EBITDA",$B122+1,$B122+1))),H123))</f>
        <v>0</v>
      </c>
      <c r="I122" s="565">
        <f t="shared" ca="1" si="35"/>
        <v>45121</v>
      </c>
      <c r="J122" s="561">
        <f ca="1">(IFERROR(IFERROR(VALUE(_xll.BDH(J$4,"PE_RATIO",$B122,$B122)),VALUE(_xll.BDH(J$4,"PE_RATIO",$B122+1,$B122+1))),J123))</f>
        <v>0</v>
      </c>
      <c r="K122" s="561">
        <f ca="1">(IFERROR(IFERROR(VALUE(_xll.BDH(K$4,"PE_RATIO",$B122,$B122)),VALUE(_xll.BDH(K$4,"PE_RATIO",$B122+1,$B122+1))),K123))</f>
        <v>0</v>
      </c>
      <c r="L122" s="561">
        <f ca="1">(IFERROR(IFERROR(VALUE(_xll.BDH(L$4,"PE_RATIO",$B122,$B122)),VALUE(_xll.BDH(L$4,"PE_RATIO",$B122+1,$B122+1))),L123))</f>
        <v>0</v>
      </c>
      <c r="M122" s="561">
        <f ca="1">(IFERROR(IFERROR(VALUE(_xll.BDH(M$4,"PE_RATIO",$B122,$B122)),VALUE(_xll.BDH(M$4,"PE_RATIO",$B122+1,$B122+1))),M123))</f>
        <v>0</v>
      </c>
      <c r="N122" s="561">
        <f ca="1">(IFERROR(IFERROR(VALUE(_xll.BDH(N$4,"PE_RATIO",$B122,$B122)),VALUE(_xll.BDH(N$4,"PE_RATIO",$B122+1,$B122+1))),N123))</f>
        <v>0</v>
      </c>
      <c r="O122" s="561">
        <f ca="1">(IFERROR(IFERROR(VALUE(_xll.BDH(O$4,"PE_RATIO",$B122,$B122)),VALUE(_xll.BDH(O$4,"PE_RATIO",$B122+1,$B122+1))),O123))</f>
        <v>0</v>
      </c>
      <c r="P122" s="561"/>
      <c r="Q122" s="565">
        <f t="shared" ca="1" si="36"/>
        <v>45121</v>
      </c>
      <c r="R122" s="4">
        <v>48.8</v>
      </c>
      <c r="S122" s="4">
        <v>4369.01</v>
      </c>
      <c r="T122" s="4">
        <v>277.49200000000002</v>
      </c>
      <c r="U122" s="4">
        <v>0.80621179580373359</v>
      </c>
      <c r="V122" s="4">
        <v>1.1978784248030729</v>
      </c>
      <c r="W122" s="4" t="e">
        <v>#DIV/0!</v>
      </c>
      <c r="Y122" s="561">
        <f t="shared" si="37"/>
        <v>48.8</v>
      </c>
      <c r="Z122" s="4">
        <f ca="1">IFERROR(VALUE(_xll.BDH(Z$4,"PX_LAST",$Q122,$Q122)),Z123)</f>
        <v>0</v>
      </c>
      <c r="AA122" s="4">
        <f ca="1">IFERROR(VALUE(_xll.BDH(AA$4,"PX_LAST",$Q122,$Q122)),AA123)</f>
        <v>0</v>
      </c>
      <c r="AB122" s="4">
        <f ca="1">IFERROR(VALUE(_xll.BDH(AB$4,"PX_LAST",$Q122,$Q122)),AB123)</f>
        <v>0</v>
      </c>
      <c r="AC122" s="4">
        <f ca="1">IFERROR(VALUE(_xll.BDH(AC$4,"PX_LAST",$Q122,$Q122)),AC123)</f>
        <v>0</v>
      </c>
      <c r="AD122" s="4">
        <f ca="1">IFERROR(VALUE(_xll.BDH(AD$4,"PX_LAST",$Q122,$Q122)),AD123)</f>
        <v>0</v>
      </c>
      <c r="AF122" s="4">
        <f t="shared" si="38"/>
        <v>0.80621179580373359</v>
      </c>
      <c r="AG122" s="4" t="e">
        <f t="shared" ca="1" si="39"/>
        <v>#DIV/0!</v>
      </c>
      <c r="AH122" s="4" t="e">
        <f t="shared" ca="1" si="40"/>
        <v>#DIV/0!</v>
      </c>
      <c r="AI122" s="4" t="e">
        <f t="shared" ca="1" si="41"/>
        <v>#DIV/0!</v>
      </c>
      <c r="AJ122" s="4" t="e">
        <f t="shared" ca="1" si="42"/>
        <v>#DIV/0!</v>
      </c>
      <c r="AK122" s="4" t="e">
        <f t="shared" ca="1" si="43"/>
        <v>#DIV/0!</v>
      </c>
      <c r="AM122" s="563">
        <f t="shared" ca="1" si="33"/>
        <v>45822</v>
      </c>
      <c r="AN122" s="564">
        <v>94.3</v>
      </c>
      <c r="AO122" s="564">
        <v>773782</v>
      </c>
      <c r="AP122" s="564">
        <v>44245.955000000002</v>
      </c>
      <c r="AQ122" s="564">
        <v>4172393.5564999999</v>
      </c>
      <c r="AR122" s="564">
        <v>1.2107000000000001</v>
      </c>
    </row>
    <row r="123" spans="2:44">
      <c r="B123" s="565">
        <f t="shared" ca="1" si="44"/>
        <v>45114</v>
      </c>
      <c r="C123" s="561">
        <f ca="1">(IFERROR(IFERROR(VALUE(_xll.BDH(C$4,"CURRENT_EV_TO_T12M_EBITDA",$B123,$B123)),VALUE(_xll.BDH(C$4,"CURRENT_EV_TO_T12M_EBITDA",$B123+1,$B123+1))),C124))</f>
        <v>0</v>
      </c>
      <c r="D123" s="561">
        <f ca="1">(IFERROR(IFERROR(VALUE(_xll.BDH(D$4,"CURRENT_EV_TO_T12M_EBITDA",$B123,$B123)),VALUE(_xll.BDH(D$4,"CURRENT_EV_TO_T12M_EBITDA",$B123+1,$B123+1))),D124))</f>
        <v>0</v>
      </c>
      <c r="E123" s="561">
        <f ca="1">(IFERROR(IFERROR(VALUE(_xll.BDH(E$4,"CURRENT_EV_TO_T12M_EBITDA",$B123,$B123)),VALUE(_xll.BDH(E$4,"CURRENT_EV_TO_T12M_EBITDA",$B123+1,$B123+1))),E124))</f>
        <v>0</v>
      </c>
      <c r="F123" s="561">
        <f ca="1">(IFERROR(IFERROR(VALUE(_xll.BDH(F$4,"CURRENT_EV_TO_T12M_EBITDA",$B123,$B123)),VALUE(_xll.BDH(F$4,"CURRENT_EV_TO_T12M_EBITDA",$B123+1,$B123+1))),F124))</f>
        <v>0</v>
      </c>
      <c r="G123" s="561">
        <f ca="1">(IFERROR(IFERROR(VALUE(_xll.BDH(G$4,"CURRENT_EV_TO_T12M_EBITDA",$B123,$B123)),VALUE(_xll.BDH(G$4,"CURRENT_EV_TO_T12M_EBITDA",$B123+1,$B123+1))),G124))</f>
        <v>0</v>
      </c>
      <c r="H123" s="561">
        <f ca="1">(IFERROR(IFERROR(VALUE(_xll.BDH(H$4,"CURRENT_EV_TO_T12M_EBITDA",$B123,$B123)),VALUE(_xll.BDH(H$4,"CURRENT_EV_TO_T12M_EBITDA",$B123+1,$B123+1))),H124))</f>
        <v>0</v>
      </c>
      <c r="I123" s="565">
        <f t="shared" ca="1" si="35"/>
        <v>45114</v>
      </c>
      <c r="J123" s="561">
        <f ca="1">(IFERROR(IFERROR(VALUE(_xll.BDH(J$4,"PE_RATIO",$B123,$B123)),VALUE(_xll.BDH(J$4,"PE_RATIO",$B123+1,$B123+1))),J124))</f>
        <v>0</v>
      </c>
      <c r="K123" s="561">
        <f ca="1">(IFERROR(IFERROR(VALUE(_xll.BDH(K$4,"PE_RATIO",$B123,$B123)),VALUE(_xll.BDH(K$4,"PE_RATIO",$B123+1,$B123+1))),K124))</f>
        <v>0</v>
      </c>
      <c r="L123" s="561">
        <f ca="1">(IFERROR(IFERROR(VALUE(_xll.BDH(L$4,"PE_RATIO",$B123,$B123)),VALUE(_xll.BDH(L$4,"PE_RATIO",$B123+1,$B123+1))),L124))</f>
        <v>0</v>
      </c>
      <c r="M123" s="561">
        <f ca="1">(IFERROR(IFERROR(VALUE(_xll.BDH(M$4,"PE_RATIO",$B123,$B123)),VALUE(_xll.BDH(M$4,"PE_RATIO",$B123+1,$B123+1))),M124))</f>
        <v>0</v>
      </c>
      <c r="N123" s="561">
        <f ca="1">(IFERROR(IFERROR(VALUE(_xll.BDH(N$4,"PE_RATIO",$B123,$B123)),VALUE(_xll.BDH(N$4,"PE_RATIO",$B123+1,$B123+1))),N124))</f>
        <v>0</v>
      </c>
      <c r="O123" s="561">
        <f ca="1">(IFERROR(IFERROR(VALUE(_xll.BDH(O$4,"PE_RATIO",$B123,$B123)),VALUE(_xll.BDH(O$4,"PE_RATIO",$B123+1,$B123+1))),O124))</f>
        <v>0</v>
      </c>
      <c r="P123" s="561"/>
      <c r="Q123" s="565">
        <f t="shared" ca="1" si="36"/>
        <v>45114</v>
      </c>
      <c r="R123" s="4">
        <v>46.96</v>
      </c>
      <c r="S123" s="4">
        <v>4283.8500000000004</v>
      </c>
      <c r="T123" s="4">
        <v>277.49200000000002</v>
      </c>
      <c r="U123" s="4">
        <v>0.77581364612588799</v>
      </c>
      <c r="V123" s="4">
        <v>1.1745295822377713</v>
      </c>
      <c r="W123" s="4" t="e">
        <v>#DIV/0!</v>
      </c>
      <c r="Y123" s="561">
        <f t="shared" si="37"/>
        <v>46.96</v>
      </c>
      <c r="Z123" s="4">
        <f ca="1">IFERROR(VALUE(_xll.BDH(Z$4,"PX_LAST",$Q123,$Q123)),Z124)</f>
        <v>0</v>
      </c>
      <c r="AA123" s="4">
        <f ca="1">IFERROR(VALUE(_xll.BDH(AA$4,"PX_LAST",$Q123,$Q123)),AA124)</f>
        <v>0</v>
      </c>
      <c r="AB123" s="4">
        <f ca="1">IFERROR(VALUE(_xll.BDH(AB$4,"PX_LAST",$Q123,$Q123)),AB124)</f>
        <v>0</v>
      </c>
      <c r="AC123" s="4">
        <f ca="1">IFERROR(VALUE(_xll.BDH(AC$4,"PX_LAST",$Q123,$Q123)),AC124)</f>
        <v>0</v>
      </c>
      <c r="AD123" s="4">
        <f ca="1">IFERROR(VALUE(_xll.BDH(AD$4,"PX_LAST",$Q123,$Q123)),AD124)</f>
        <v>0</v>
      </c>
      <c r="AF123" s="4">
        <f t="shared" si="38"/>
        <v>0.77581364612588799</v>
      </c>
      <c r="AG123" s="4" t="e">
        <f t="shared" ca="1" si="39"/>
        <v>#DIV/0!</v>
      </c>
      <c r="AH123" s="4" t="e">
        <f t="shared" ca="1" si="40"/>
        <v>#DIV/0!</v>
      </c>
      <c r="AI123" s="4" t="e">
        <f t="shared" ca="1" si="41"/>
        <v>#DIV/0!</v>
      </c>
      <c r="AJ123" s="4" t="e">
        <f t="shared" ca="1" si="42"/>
        <v>#DIV/0!</v>
      </c>
      <c r="AK123" s="4" t="e">
        <f t="shared" ca="1" si="43"/>
        <v>#DIV/0!</v>
      </c>
      <c r="AM123" s="563">
        <f t="shared" ca="1" si="33"/>
        <v>45821</v>
      </c>
      <c r="AN123" s="564">
        <v>93.95</v>
      </c>
      <c r="AO123" s="564">
        <v>774914</v>
      </c>
      <c r="AP123" s="564">
        <v>44245.955000000002</v>
      </c>
      <c r="AQ123" s="564">
        <v>4156907.4722500001</v>
      </c>
      <c r="AR123" s="564">
        <v>1.2061999999999999</v>
      </c>
    </row>
    <row r="124" spans="2:44">
      <c r="B124" s="565">
        <f t="shared" ca="1" si="44"/>
        <v>45107</v>
      </c>
      <c r="C124" s="561">
        <f ca="1">(IFERROR(IFERROR(VALUE(_xll.BDH(C$4,"CURRENT_EV_TO_T12M_EBITDA",$B124,$B124)),VALUE(_xll.BDH(C$4,"CURRENT_EV_TO_T12M_EBITDA",$B124+1,$B124+1))),C125))</f>
        <v>0</v>
      </c>
      <c r="D124" s="561">
        <f ca="1">(IFERROR(IFERROR(VALUE(_xll.BDH(D$4,"CURRENT_EV_TO_T12M_EBITDA",$B124,$B124)),VALUE(_xll.BDH(D$4,"CURRENT_EV_TO_T12M_EBITDA",$B124+1,$B124+1))),D125))</f>
        <v>0</v>
      </c>
      <c r="E124" s="561">
        <f ca="1">(IFERROR(IFERROR(VALUE(_xll.BDH(E$4,"CURRENT_EV_TO_T12M_EBITDA",$B124,$B124)),VALUE(_xll.BDH(E$4,"CURRENT_EV_TO_T12M_EBITDA",$B124+1,$B124+1))),E125))</f>
        <v>0</v>
      </c>
      <c r="F124" s="561">
        <f ca="1">(IFERROR(IFERROR(VALUE(_xll.BDH(F$4,"CURRENT_EV_TO_T12M_EBITDA",$B124,$B124)),VALUE(_xll.BDH(F$4,"CURRENT_EV_TO_T12M_EBITDA",$B124+1,$B124+1))),F125))</f>
        <v>0</v>
      </c>
      <c r="G124" s="561">
        <f ca="1">(IFERROR(IFERROR(VALUE(_xll.BDH(G$4,"CURRENT_EV_TO_T12M_EBITDA",$B124,$B124)),VALUE(_xll.BDH(G$4,"CURRENT_EV_TO_T12M_EBITDA",$B124+1,$B124+1))),G125))</f>
        <v>0</v>
      </c>
      <c r="H124" s="561">
        <f ca="1">(IFERROR(IFERROR(VALUE(_xll.BDH(H$4,"CURRENT_EV_TO_T12M_EBITDA",$B124,$B124)),VALUE(_xll.BDH(H$4,"CURRENT_EV_TO_T12M_EBITDA",$B124+1,$B124+1))),H125))</f>
        <v>0</v>
      </c>
      <c r="I124" s="565">
        <f t="shared" ca="1" si="35"/>
        <v>45107</v>
      </c>
      <c r="J124" s="561">
        <f ca="1">(IFERROR(IFERROR(VALUE(_xll.BDH(J$4,"PE_RATIO",$B124,$B124)),VALUE(_xll.BDH(J$4,"PE_RATIO",$B124+1,$B124+1))),J125))</f>
        <v>0</v>
      </c>
      <c r="K124" s="561">
        <f ca="1">(IFERROR(IFERROR(VALUE(_xll.BDH(K$4,"PE_RATIO",$B124,$B124)),VALUE(_xll.BDH(K$4,"PE_RATIO",$B124+1,$B124+1))),K125))</f>
        <v>0</v>
      </c>
      <c r="L124" s="561">
        <f ca="1">(IFERROR(IFERROR(VALUE(_xll.BDH(L$4,"PE_RATIO",$B124,$B124)),VALUE(_xll.BDH(L$4,"PE_RATIO",$B124+1,$B124+1))),L125))</f>
        <v>0</v>
      </c>
      <c r="M124" s="561">
        <f ca="1">(IFERROR(IFERROR(VALUE(_xll.BDH(M$4,"PE_RATIO",$B124,$B124)),VALUE(_xll.BDH(M$4,"PE_RATIO",$B124+1,$B124+1))),M125))</f>
        <v>0</v>
      </c>
      <c r="N124" s="561">
        <f ca="1">(IFERROR(IFERROR(VALUE(_xll.BDH(N$4,"PE_RATIO",$B124,$B124)),VALUE(_xll.BDH(N$4,"PE_RATIO",$B124+1,$B124+1))),N125))</f>
        <v>0</v>
      </c>
      <c r="O124" s="561">
        <f ca="1">(IFERROR(IFERROR(VALUE(_xll.BDH(O$4,"PE_RATIO",$B124,$B124)),VALUE(_xll.BDH(O$4,"PE_RATIO",$B124+1,$B124+1))),O125))</f>
        <v>0</v>
      </c>
      <c r="P124" s="561"/>
      <c r="Q124" s="565">
        <f t="shared" ca="1" si="36"/>
        <v>45107</v>
      </c>
      <c r="R124" s="4">
        <v>47.48</v>
      </c>
      <c r="S124" s="4">
        <v>4205.5200000000004</v>
      </c>
      <c r="T124" s="4">
        <v>277.49200000000002</v>
      </c>
      <c r="U124" s="4">
        <v>0.78440442755658346</v>
      </c>
      <c r="V124" s="4">
        <v>1.1530533629078028</v>
      </c>
      <c r="W124" s="4" t="e">
        <v>#DIV/0!</v>
      </c>
      <c r="Y124" s="561">
        <f t="shared" si="37"/>
        <v>47.48</v>
      </c>
      <c r="Z124" s="4">
        <f ca="1">IFERROR(VALUE(_xll.BDH(Z$4,"PX_LAST",$Q124,$Q124)),Z125)</f>
        <v>0</v>
      </c>
      <c r="AA124" s="4">
        <f ca="1">IFERROR(VALUE(_xll.BDH(AA$4,"PX_LAST",$Q124,$Q124)),AA125)</f>
        <v>0</v>
      </c>
      <c r="AB124" s="4">
        <f ca="1">IFERROR(VALUE(_xll.BDH(AB$4,"PX_LAST",$Q124,$Q124)),AB125)</f>
        <v>0</v>
      </c>
      <c r="AC124" s="4">
        <f ca="1">IFERROR(VALUE(_xll.BDH(AC$4,"PX_LAST",$Q124,$Q124)),AC125)</f>
        <v>0</v>
      </c>
      <c r="AD124" s="4">
        <f ca="1">IFERROR(VALUE(_xll.BDH(AD$4,"PX_LAST",$Q124,$Q124)),AD125)</f>
        <v>0</v>
      </c>
      <c r="AF124" s="4">
        <f t="shared" si="38"/>
        <v>0.78440442755658346</v>
      </c>
      <c r="AG124" s="4" t="e">
        <f t="shared" ca="1" si="39"/>
        <v>#DIV/0!</v>
      </c>
      <c r="AH124" s="4" t="e">
        <f t="shared" ca="1" si="40"/>
        <v>#DIV/0!</v>
      </c>
      <c r="AI124" s="4" t="e">
        <f t="shared" ca="1" si="41"/>
        <v>#DIV/0!</v>
      </c>
      <c r="AJ124" s="4" t="e">
        <f t="shared" ca="1" si="42"/>
        <v>#DIV/0!</v>
      </c>
      <c r="AK124" s="4" t="e">
        <f t="shared" ca="1" si="43"/>
        <v>#DIV/0!</v>
      </c>
      <c r="AM124" s="563">
        <f t="shared" ca="1" si="33"/>
        <v>45820</v>
      </c>
      <c r="AN124" s="564">
        <v>92.67</v>
      </c>
      <c r="AO124" s="564">
        <v>831490</v>
      </c>
      <c r="AP124" s="564">
        <v>44245.955000000002</v>
      </c>
      <c r="AQ124" s="564">
        <v>4100272.6498500002</v>
      </c>
      <c r="AR124" s="564">
        <v>1.1898</v>
      </c>
    </row>
    <row r="125" spans="2:44">
      <c r="B125" s="565">
        <f t="shared" ca="1" si="44"/>
        <v>45100</v>
      </c>
      <c r="C125" s="561">
        <f ca="1">(IFERROR(IFERROR(VALUE(_xll.BDH(C$4,"CURRENT_EV_TO_T12M_EBITDA",$B125,$B125)),VALUE(_xll.BDH(C$4,"CURRENT_EV_TO_T12M_EBITDA",$B125+1,$B125+1))),C126))</f>
        <v>0</v>
      </c>
      <c r="D125" s="561">
        <f ca="1">(IFERROR(IFERROR(VALUE(_xll.BDH(D$4,"CURRENT_EV_TO_T12M_EBITDA",$B125,$B125)),VALUE(_xll.BDH(D$4,"CURRENT_EV_TO_T12M_EBITDA",$B125+1,$B125+1))),D126))</f>
        <v>0</v>
      </c>
      <c r="E125" s="561">
        <f ca="1">(IFERROR(IFERROR(VALUE(_xll.BDH(E$4,"CURRENT_EV_TO_T12M_EBITDA",$B125,$B125)),VALUE(_xll.BDH(E$4,"CURRENT_EV_TO_T12M_EBITDA",$B125+1,$B125+1))),E126))</f>
        <v>0</v>
      </c>
      <c r="F125" s="561">
        <f ca="1">(IFERROR(IFERROR(VALUE(_xll.BDH(F$4,"CURRENT_EV_TO_T12M_EBITDA",$B125,$B125)),VALUE(_xll.BDH(F$4,"CURRENT_EV_TO_T12M_EBITDA",$B125+1,$B125+1))),F126))</f>
        <v>0</v>
      </c>
      <c r="G125" s="561">
        <f ca="1">(IFERROR(IFERROR(VALUE(_xll.BDH(G$4,"CURRENT_EV_TO_T12M_EBITDA",$B125,$B125)),VALUE(_xll.BDH(G$4,"CURRENT_EV_TO_T12M_EBITDA",$B125+1,$B125+1))),G126))</f>
        <v>0</v>
      </c>
      <c r="H125" s="561">
        <f ca="1">(IFERROR(IFERROR(VALUE(_xll.BDH(H$4,"CURRENT_EV_TO_T12M_EBITDA",$B125,$B125)),VALUE(_xll.BDH(H$4,"CURRENT_EV_TO_T12M_EBITDA",$B125+1,$B125+1))),H126))</f>
        <v>0</v>
      </c>
      <c r="I125" s="565">
        <f t="shared" ca="1" si="35"/>
        <v>45100</v>
      </c>
      <c r="J125" s="561">
        <f ca="1">(IFERROR(IFERROR(VALUE(_xll.BDH(J$4,"PE_RATIO",$B125,$B125)),VALUE(_xll.BDH(J$4,"PE_RATIO",$B125+1,$B125+1))),J126))</f>
        <v>0</v>
      </c>
      <c r="K125" s="561">
        <f ca="1">(IFERROR(IFERROR(VALUE(_xll.BDH(K$4,"PE_RATIO",$B125,$B125)),VALUE(_xll.BDH(K$4,"PE_RATIO",$B125+1,$B125+1))),K126))</f>
        <v>0</v>
      </c>
      <c r="L125" s="561">
        <f ca="1">(IFERROR(IFERROR(VALUE(_xll.BDH(L$4,"PE_RATIO",$B125,$B125)),VALUE(_xll.BDH(L$4,"PE_RATIO",$B125+1,$B125+1))),L126))</f>
        <v>0</v>
      </c>
      <c r="M125" s="561">
        <f ca="1">(IFERROR(IFERROR(VALUE(_xll.BDH(M$4,"PE_RATIO",$B125,$B125)),VALUE(_xll.BDH(M$4,"PE_RATIO",$B125+1,$B125+1))),M126))</f>
        <v>0</v>
      </c>
      <c r="N125" s="561">
        <f ca="1">(IFERROR(IFERROR(VALUE(_xll.BDH(N$4,"PE_RATIO",$B125,$B125)),VALUE(_xll.BDH(N$4,"PE_RATIO",$B125+1,$B125+1))),N126))</f>
        <v>0</v>
      </c>
      <c r="O125" s="561">
        <f ca="1">(IFERROR(IFERROR(VALUE(_xll.BDH(O$4,"PE_RATIO",$B125,$B125)),VALUE(_xll.BDH(O$4,"PE_RATIO",$B125+1,$B125+1))),O126))</f>
        <v>0</v>
      </c>
      <c r="P125" s="561"/>
      <c r="Q125" s="565">
        <f t="shared" ca="1" si="36"/>
        <v>45100</v>
      </c>
      <c r="R125" s="4">
        <v>48.79</v>
      </c>
      <c r="S125" s="4">
        <v>4145.58</v>
      </c>
      <c r="T125" s="4">
        <v>277.49200000000002</v>
      </c>
      <c r="U125" s="4">
        <v>0.80604658846852795</v>
      </c>
      <c r="V125" s="4">
        <v>1.1366192433286084</v>
      </c>
      <c r="W125" s="4" t="e">
        <v>#DIV/0!</v>
      </c>
      <c r="Y125" s="561">
        <f t="shared" si="37"/>
        <v>48.79</v>
      </c>
      <c r="Z125" s="4">
        <f ca="1">IFERROR(VALUE(_xll.BDH(Z$4,"PX_LAST",$Q125,$Q125)),Z126)</f>
        <v>0</v>
      </c>
      <c r="AA125" s="4">
        <f ca="1">IFERROR(VALUE(_xll.BDH(AA$4,"PX_LAST",$Q125,$Q125)),AA126)</f>
        <v>0</v>
      </c>
      <c r="AB125" s="4">
        <f ca="1">IFERROR(VALUE(_xll.BDH(AB$4,"PX_LAST",$Q125,$Q125)),AB126)</f>
        <v>0</v>
      </c>
      <c r="AC125" s="4">
        <f ca="1">IFERROR(VALUE(_xll.BDH(AC$4,"PX_LAST",$Q125,$Q125)),AC126)</f>
        <v>0</v>
      </c>
      <c r="AD125" s="4">
        <f ca="1">IFERROR(VALUE(_xll.BDH(AD$4,"PX_LAST",$Q125,$Q125)),AD126)</f>
        <v>0</v>
      </c>
      <c r="AF125" s="4">
        <f t="shared" si="38"/>
        <v>0.80604658846852795</v>
      </c>
      <c r="AG125" s="4" t="e">
        <f t="shared" ca="1" si="39"/>
        <v>#DIV/0!</v>
      </c>
      <c r="AH125" s="4" t="e">
        <f t="shared" ca="1" si="40"/>
        <v>#DIV/0!</v>
      </c>
      <c r="AI125" s="4" t="e">
        <f t="shared" ca="1" si="41"/>
        <v>#DIV/0!</v>
      </c>
      <c r="AJ125" s="4" t="e">
        <f t="shared" ca="1" si="42"/>
        <v>#DIV/0!</v>
      </c>
      <c r="AK125" s="4" t="e">
        <f t="shared" ca="1" si="43"/>
        <v>#DIV/0!</v>
      </c>
      <c r="AM125" s="563">
        <f t="shared" ca="1" si="33"/>
        <v>45819</v>
      </c>
      <c r="AN125" s="564">
        <v>91.23</v>
      </c>
      <c r="AO125" s="564">
        <v>574716</v>
      </c>
      <c r="AP125" s="564">
        <v>44245.955000000002</v>
      </c>
      <c r="AQ125" s="564">
        <v>4036558.4746500002</v>
      </c>
      <c r="AR125" s="564">
        <v>1.1713</v>
      </c>
    </row>
    <row r="126" spans="2:44">
      <c r="B126" s="565">
        <f t="shared" ca="1" si="44"/>
        <v>45093</v>
      </c>
      <c r="C126" s="561">
        <f ca="1">(IFERROR(IFERROR(VALUE(_xll.BDH(C$4,"CURRENT_EV_TO_T12M_EBITDA",$B126,$B126)),VALUE(_xll.BDH(C$4,"CURRENT_EV_TO_T12M_EBITDA",$B126+1,$B126+1))),C127))</f>
        <v>0</v>
      </c>
      <c r="D126" s="561">
        <f ca="1">(IFERROR(IFERROR(VALUE(_xll.BDH(D$4,"CURRENT_EV_TO_T12M_EBITDA",$B126,$B126)),VALUE(_xll.BDH(D$4,"CURRENT_EV_TO_T12M_EBITDA",$B126+1,$B126+1))),D127))</f>
        <v>0</v>
      </c>
      <c r="E126" s="561">
        <f ca="1">(IFERROR(IFERROR(VALUE(_xll.BDH(E$4,"CURRENT_EV_TO_T12M_EBITDA",$B126,$B126)),VALUE(_xll.BDH(E$4,"CURRENT_EV_TO_T12M_EBITDA",$B126+1,$B126+1))),E127))</f>
        <v>0</v>
      </c>
      <c r="F126" s="561">
        <f ca="1">(IFERROR(IFERROR(VALUE(_xll.BDH(F$4,"CURRENT_EV_TO_T12M_EBITDA",$B126,$B126)),VALUE(_xll.BDH(F$4,"CURRENT_EV_TO_T12M_EBITDA",$B126+1,$B126+1))),F127))</f>
        <v>0</v>
      </c>
      <c r="G126" s="561">
        <f ca="1">(IFERROR(IFERROR(VALUE(_xll.BDH(G$4,"CURRENT_EV_TO_T12M_EBITDA",$B126,$B126)),VALUE(_xll.BDH(G$4,"CURRENT_EV_TO_T12M_EBITDA",$B126+1,$B126+1))),G127))</f>
        <v>0</v>
      </c>
      <c r="H126" s="561">
        <f ca="1">(IFERROR(IFERROR(VALUE(_xll.BDH(H$4,"CURRENT_EV_TO_T12M_EBITDA",$B126,$B126)),VALUE(_xll.BDH(H$4,"CURRENT_EV_TO_T12M_EBITDA",$B126+1,$B126+1))),H127))</f>
        <v>0</v>
      </c>
      <c r="I126" s="565">
        <f t="shared" ca="1" si="35"/>
        <v>45093</v>
      </c>
      <c r="J126" s="561">
        <f ca="1">(IFERROR(IFERROR(VALUE(_xll.BDH(J$4,"PE_RATIO",$B126,$B126)),VALUE(_xll.BDH(J$4,"PE_RATIO",$B126+1,$B126+1))),J127))</f>
        <v>0</v>
      </c>
      <c r="K126" s="561">
        <f ca="1">(IFERROR(IFERROR(VALUE(_xll.BDH(K$4,"PE_RATIO",$B126,$B126)),VALUE(_xll.BDH(K$4,"PE_RATIO",$B126+1,$B126+1))),K127))</f>
        <v>0</v>
      </c>
      <c r="L126" s="561">
        <f ca="1">(IFERROR(IFERROR(VALUE(_xll.BDH(L$4,"PE_RATIO",$B126,$B126)),VALUE(_xll.BDH(L$4,"PE_RATIO",$B126+1,$B126+1))),L127))</f>
        <v>0</v>
      </c>
      <c r="M126" s="561">
        <f ca="1">(IFERROR(IFERROR(VALUE(_xll.BDH(M$4,"PE_RATIO",$B126,$B126)),VALUE(_xll.BDH(M$4,"PE_RATIO",$B126+1,$B126+1))),M127))</f>
        <v>0</v>
      </c>
      <c r="N126" s="561">
        <f ca="1">(IFERROR(IFERROR(VALUE(_xll.BDH(N$4,"PE_RATIO",$B126,$B126)),VALUE(_xll.BDH(N$4,"PE_RATIO",$B126+1,$B126+1))),N127))</f>
        <v>0</v>
      </c>
      <c r="O126" s="561">
        <f ca="1">(IFERROR(IFERROR(VALUE(_xll.BDH(O$4,"PE_RATIO",$B126,$B126)),VALUE(_xll.BDH(O$4,"PE_RATIO",$B126+1,$B126+1))),O127))</f>
        <v>0</v>
      </c>
      <c r="P126" s="561"/>
      <c r="Q126" s="565">
        <f t="shared" ca="1" si="36"/>
        <v>45093</v>
      </c>
      <c r="R126" s="4">
        <v>46.41</v>
      </c>
      <c r="S126" s="4">
        <v>4109.8999999999996</v>
      </c>
      <c r="T126" s="4">
        <v>277.49200000000002</v>
      </c>
      <c r="U126" s="4">
        <v>0.76672724268957537</v>
      </c>
      <c r="V126" s="4">
        <v>1.1268366376131318</v>
      </c>
      <c r="W126" s="4" t="e">
        <v>#DIV/0!</v>
      </c>
      <c r="Y126" s="561">
        <f t="shared" si="37"/>
        <v>46.41</v>
      </c>
      <c r="Z126" s="4">
        <f ca="1">IFERROR(VALUE(_xll.BDH(Z$4,"PX_LAST",$Q126,$Q126)),Z127)</f>
        <v>0</v>
      </c>
      <c r="AA126" s="4">
        <f ca="1">IFERROR(VALUE(_xll.BDH(AA$4,"PX_LAST",$Q126,$Q126)),AA127)</f>
        <v>0</v>
      </c>
      <c r="AB126" s="4">
        <f ca="1">IFERROR(VALUE(_xll.BDH(AB$4,"PX_LAST",$Q126,$Q126)),AB127)</f>
        <v>0</v>
      </c>
      <c r="AC126" s="4">
        <f ca="1">IFERROR(VALUE(_xll.BDH(AC$4,"PX_LAST",$Q126,$Q126)),AC127)</f>
        <v>0</v>
      </c>
      <c r="AD126" s="4">
        <f ca="1">IFERROR(VALUE(_xll.BDH(AD$4,"PX_LAST",$Q126,$Q126)),AD127)</f>
        <v>0</v>
      </c>
      <c r="AF126" s="4">
        <f t="shared" si="38"/>
        <v>0.76672724268957537</v>
      </c>
      <c r="AG126" s="4" t="e">
        <f t="shared" ca="1" si="39"/>
        <v>#DIV/0!</v>
      </c>
      <c r="AH126" s="4" t="e">
        <f t="shared" ca="1" si="40"/>
        <v>#DIV/0!</v>
      </c>
      <c r="AI126" s="4" t="e">
        <f t="shared" ca="1" si="41"/>
        <v>#DIV/0!</v>
      </c>
      <c r="AJ126" s="4" t="e">
        <f t="shared" ca="1" si="42"/>
        <v>#DIV/0!</v>
      </c>
      <c r="AK126" s="4" t="e">
        <f t="shared" ca="1" si="43"/>
        <v>#DIV/0!</v>
      </c>
      <c r="AM126" s="563">
        <f t="shared" ca="1" si="33"/>
        <v>45818</v>
      </c>
      <c r="AN126" s="564">
        <v>91.23</v>
      </c>
      <c r="AO126" s="564">
        <v>574716</v>
      </c>
      <c r="AP126" s="564">
        <v>44245.955000000002</v>
      </c>
      <c r="AQ126" s="564">
        <v>4036558.4746500002</v>
      </c>
      <c r="AR126" s="564">
        <v>1.1713</v>
      </c>
    </row>
    <row r="127" spans="2:44">
      <c r="B127" s="565">
        <f t="shared" ca="1" si="44"/>
        <v>45086</v>
      </c>
      <c r="C127" s="561">
        <f ca="1">(IFERROR(IFERROR(VALUE(_xll.BDH(C$4,"CURRENT_EV_TO_T12M_EBITDA",$B127,$B127)),VALUE(_xll.BDH(C$4,"CURRENT_EV_TO_T12M_EBITDA",$B127+1,$B127+1))),C128))</f>
        <v>0</v>
      </c>
      <c r="D127" s="561">
        <f ca="1">(IFERROR(IFERROR(VALUE(_xll.BDH(D$4,"CURRENT_EV_TO_T12M_EBITDA",$B127,$B127)),VALUE(_xll.BDH(D$4,"CURRENT_EV_TO_T12M_EBITDA",$B127+1,$B127+1))),D128))</f>
        <v>0</v>
      </c>
      <c r="E127" s="561">
        <f ca="1">(IFERROR(IFERROR(VALUE(_xll.BDH(E$4,"CURRENT_EV_TO_T12M_EBITDA",$B127,$B127)),VALUE(_xll.BDH(E$4,"CURRENT_EV_TO_T12M_EBITDA",$B127+1,$B127+1))),E128))</f>
        <v>0</v>
      </c>
      <c r="F127" s="561">
        <f ca="1">(IFERROR(IFERROR(VALUE(_xll.BDH(F$4,"CURRENT_EV_TO_T12M_EBITDA",$B127,$B127)),VALUE(_xll.BDH(F$4,"CURRENT_EV_TO_T12M_EBITDA",$B127+1,$B127+1))),F128))</f>
        <v>0</v>
      </c>
      <c r="G127" s="561">
        <f ca="1">(IFERROR(IFERROR(VALUE(_xll.BDH(G$4,"CURRENT_EV_TO_T12M_EBITDA",$B127,$B127)),VALUE(_xll.BDH(G$4,"CURRENT_EV_TO_T12M_EBITDA",$B127+1,$B127+1))),G128))</f>
        <v>0</v>
      </c>
      <c r="H127" s="561">
        <f ca="1">(IFERROR(IFERROR(VALUE(_xll.BDH(H$4,"CURRENT_EV_TO_T12M_EBITDA",$B127,$B127)),VALUE(_xll.BDH(H$4,"CURRENT_EV_TO_T12M_EBITDA",$B127+1,$B127+1))),H128))</f>
        <v>0</v>
      </c>
      <c r="I127" s="565">
        <f t="shared" ca="1" si="35"/>
        <v>45086</v>
      </c>
      <c r="J127" s="561">
        <f ca="1">(IFERROR(IFERROR(VALUE(_xll.BDH(J$4,"PE_RATIO",$B127,$B127)),VALUE(_xll.BDH(J$4,"PE_RATIO",$B127+1,$B127+1))),J128))</f>
        <v>0</v>
      </c>
      <c r="K127" s="561">
        <f ca="1">(IFERROR(IFERROR(VALUE(_xll.BDH(K$4,"PE_RATIO",$B127,$B127)),VALUE(_xll.BDH(K$4,"PE_RATIO",$B127+1,$B127+1))),K128))</f>
        <v>0</v>
      </c>
      <c r="L127" s="561">
        <f ca="1">(IFERROR(IFERROR(VALUE(_xll.BDH(L$4,"PE_RATIO",$B127,$B127)),VALUE(_xll.BDH(L$4,"PE_RATIO",$B127+1,$B127+1))),L128))</f>
        <v>0</v>
      </c>
      <c r="M127" s="561">
        <f ca="1">(IFERROR(IFERROR(VALUE(_xll.BDH(M$4,"PE_RATIO",$B127,$B127)),VALUE(_xll.BDH(M$4,"PE_RATIO",$B127+1,$B127+1))),M128))</f>
        <v>0</v>
      </c>
      <c r="N127" s="561">
        <f ca="1">(IFERROR(IFERROR(VALUE(_xll.BDH(N$4,"PE_RATIO",$B127,$B127)),VALUE(_xll.BDH(N$4,"PE_RATIO",$B127+1,$B127+1))),N128))</f>
        <v>0</v>
      </c>
      <c r="O127" s="561">
        <f ca="1">(IFERROR(IFERROR(VALUE(_xll.BDH(O$4,"PE_RATIO",$B127,$B127)),VALUE(_xll.BDH(O$4,"PE_RATIO",$B127+1,$B127+1))),O128))</f>
        <v>0</v>
      </c>
      <c r="P127" s="561"/>
      <c r="Q127" s="565">
        <f t="shared" ca="1" si="36"/>
        <v>45086</v>
      </c>
      <c r="R127" s="4">
        <v>46.68</v>
      </c>
      <c r="S127" s="4">
        <v>4119.17</v>
      </c>
      <c r="T127" s="4">
        <v>277.49200000000002</v>
      </c>
      <c r="U127" s="4">
        <v>0.7711878407401288</v>
      </c>
      <c r="V127" s="4">
        <v>1.1293782507012056</v>
      </c>
      <c r="W127" s="4" t="e">
        <v>#DIV/0!</v>
      </c>
      <c r="Y127" s="561">
        <f t="shared" si="37"/>
        <v>46.68</v>
      </c>
      <c r="Z127" s="4">
        <f ca="1">IFERROR(VALUE(_xll.BDH(Z$4,"PX_LAST",$Q127,$Q127)),Z128)</f>
        <v>0</v>
      </c>
      <c r="AA127" s="4">
        <f ca="1">IFERROR(VALUE(_xll.BDH(AA$4,"PX_LAST",$Q127,$Q127)),AA128)</f>
        <v>0</v>
      </c>
      <c r="AB127" s="4">
        <f ca="1">IFERROR(VALUE(_xll.BDH(AB$4,"PX_LAST",$Q127,$Q127)),AB128)</f>
        <v>0</v>
      </c>
      <c r="AC127" s="4">
        <f ca="1">IFERROR(VALUE(_xll.BDH(AC$4,"PX_LAST",$Q127,$Q127)),AC128)</f>
        <v>0</v>
      </c>
      <c r="AD127" s="4">
        <f ca="1">IFERROR(VALUE(_xll.BDH(AD$4,"PX_LAST",$Q127,$Q127)),AD128)</f>
        <v>0</v>
      </c>
      <c r="AF127" s="4">
        <f t="shared" si="38"/>
        <v>0.7711878407401288</v>
      </c>
      <c r="AG127" s="4" t="e">
        <f t="shared" ca="1" si="39"/>
        <v>#DIV/0!</v>
      </c>
      <c r="AH127" s="4" t="e">
        <f t="shared" ca="1" si="40"/>
        <v>#DIV/0!</v>
      </c>
      <c r="AI127" s="4" t="e">
        <f t="shared" ca="1" si="41"/>
        <v>#DIV/0!</v>
      </c>
      <c r="AJ127" s="4" t="e">
        <f t="shared" ca="1" si="42"/>
        <v>#DIV/0!</v>
      </c>
      <c r="AK127" s="4" t="e">
        <f t="shared" ca="1" si="43"/>
        <v>#DIV/0!</v>
      </c>
      <c r="AM127" s="563">
        <f t="shared" ca="1" si="33"/>
        <v>45817</v>
      </c>
      <c r="AN127" s="564">
        <v>91.23</v>
      </c>
      <c r="AO127" s="564">
        <v>574716</v>
      </c>
      <c r="AP127" s="564">
        <v>44245.955000000002</v>
      </c>
      <c r="AQ127" s="564">
        <v>4036558.4746500002</v>
      </c>
      <c r="AR127" s="564">
        <v>1.1713</v>
      </c>
    </row>
    <row r="128" spans="2:44">
      <c r="B128" s="565">
        <f t="shared" ca="1" si="44"/>
        <v>45079</v>
      </c>
      <c r="C128" s="561">
        <f ca="1">(IFERROR(IFERROR(VALUE(_xll.BDH(C$4,"CURRENT_EV_TO_T12M_EBITDA",$B128,$B128)),VALUE(_xll.BDH(C$4,"CURRENT_EV_TO_T12M_EBITDA",$B128+1,$B128+1))),C129))</f>
        <v>0</v>
      </c>
      <c r="D128" s="561">
        <f ca="1">(IFERROR(IFERROR(VALUE(_xll.BDH(D$4,"CURRENT_EV_TO_T12M_EBITDA",$B128,$B128)),VALUE(_xll.BDH(D$4,"CURRENT_EV_TO_T12M_EBITDA",$B128+1,$B128+1))),D129))</f>
        <v>0</v>
      </c>
      <c r="E128" s="561">
        <f ca="1">(IFERROR(IFERROR(VALUE(_xll.BDH(E$4,"CURRENT_EV_TO_T12M_EBITDA",$B128,$B128)),VALUE(_xll.BDH(E$4,"CURRENT_EV_TO_T12M_EBITDA",$B128+1,$B128+1))),E129))</f>
        <v>0</v>
      </c>
      <c r="F128" s="561">
        <f ca="1">(IFERROR(IFERROR(VALUE(_xll.BDH(F$4,"CURRENT_EV_TO_T12M_EBITDA",$B128,$B128)),VALUE(_xll.BDH(F$4,"CURRENT_EV_TO_T12M_EBITDA",$B128+1,$B128+1))),F129))</f>
        <v>0</v>
      </c>
      <c r="G128" s="561">
        <f ca="1">(IFERROR(IFERROR(VALUE(_xll.BDH(G$4,"CURRENT_EV_TO_T12M_EBITDA",$B128,$B128)),VALUE(_xll.BDH(G$4,"CURRENT_EV_TO_T12M_EBITDA",$B128+1,$B128+1))),G129))</f>
        <v>0</v>
      </c>
      <c r="H128" s="561">
        <f ca="1">(IFERROR(IFERROR(VALUE(_xll.BDH(H$4,"CURRENT_EV_TO_T12M_EBITDA",$B128,$B128)),VALUE(_xll.BDH(H$4,"CURRENT_EV_TO_T12M_EBITDA",$B128+1,$B128+1))),H129))</f>
        <v>0</v>
      </c>
      <c r="I128" s="565">
        <f t="shared" ca="1" si="35"/>
        <v>45079</v>
      </c>
      <c r="J128" s="561">
        <f ca="1">(IFERROR(IFERROR(VALUE(_xll.BDH(J$4,"PE_RATIO",$B128,$B128)),VALUE(_xll.BDH(J$4,"PE_RATIO",$B128+1,$B128+1))),J129))</f>
        <v>0</v>
      </c>
      <c r="K128" s="561">
        <f ca="1">(IFERROR(IFERROR(VALUE(_xll.BDH(K$4,"PE_RATIO",$B128,$B128)),VALUE(_xll.BDH(K$4,"PE_RATIO",$B128+1,$B128+1))),K129))</f>
        <v>0</v>
      </c>
      <c r="L128" s="561">
        <f ca="1">(IFERROR(IFERROR(VALUE(_xll.BDH(L$4,"PE_RATIO",$B128,$B128)),VALUE(_xll.BDH(L$4,"PE_RATIO",$B128+1,$B128+1))),L129))</f>
        <v>0</v>
      </c>
      <c r="M128" s="561">
        <f ca="1">(IFERROR(IFERROR(VALUE(_xll.BDH(M$4,"PE_RATIO",$B128,$B128)),VALUE(_xll.BDH(M$4,"PE_RATIO",$B128+1,$B128+1))),M129))</f>
        <v>0</v>
      </c>
      <c r="N128" s="561">
        <f ca="1">(IFERROR(IFERROR(VALUE(_xll.BDH(N$4,"PE_RATIO",$B128,$B128)),VALUE(_xll.BDH(N$4,"PE_RATIO",$B128+1,$B128+1))),N129))</f>
        <v>0</v>
      </c>
      <c r="O128" s="561">
        <f ca="1">(IFERROR(IFERROR(VALUE(_xll.BDH(O$4,"PE_RATIO",$B128,$B128)),VALUE(_xll.BDH(O$4,"PE_RATIO",$B128+1,$B128+1))),O129))</f>
        <v>0</v>
      </c>
      <c r="P128" s="561"/>
      <c r="Q128" s="565">
        <f t="shared" ca="1" si="36"/>
        <v>45079</v>
      </c>
      <c r="R128" s="4">
        <v>46.4</v>
      </c>
      <c r="S128" s="4">
        <v>4119.58</v>
      </c>
      <c r="T128" s="4">
        <v>277.49200000000002</v>
      </c>
      <c r="U128" s="4">
        <v>0.76656203535436973</v>
      </c>
      <c r="V128" s="4">
        <v>1.1294906629305594</v>
      </c>
      <c r="W128" s="4" t="e">
        <v>#DIV/0!</v>
      </c>
      <c r="Y128" s="561">
        <f t="shared" si="37"/>
        <v>46.4</v>
      </c>
      <c r="Z128" s="4">
        <f ca="1">IFERROR(VALUE(_xll.BDH(Z$4,"PX_LAST",$Q128,$Q128)),Z129)</f>
        <v>0</v>
      </c>
      <c r="AA128" s="4">
        <f ca="1">IFERROR(VALUE(_xll.BDH(AA$4,"PX_LAST",$Q128,$Q128)),AA129)</f>
        <v>0</v>
      </c>
      <c r="AB128" s="4">
        <f ca="1">IFERROR(VALUE(_xll.BDH(AB$4,"PX_LAST",$Q128,$Q128)),AB129)</f>
        <v>0</v>
      </c>
      <c r="AC128" s="4">
        <f ca="1">IFERROR(VALUE(_xll.BDH(AC$4,"PX_LAST",$Q128,$Q128)),AC129)</f>
        <v>0</v>
      </c>
      <c r="AD128" s="4">
        <f ca="1">IFERROR(VALUE(_xll.BDH(AD$4,"PX_LAST",$Q128,$Q128)),AD129)</f>
        <v>0</v>
      </c>
      <c r="AF128" s="4">
        <f t="shared" si="38"/>
        <v>0.76656203535436973</v>
      </c>
      <c r="AG128" s="4" t="e">
        <f t="shared" ca="1" si="39"/>
        <v>#DIV/0!</v>
      </c>
      <c r="AH128" s="4" t="e">
        <f t="shared" ca="1" si="40"/>
        <v>#DIV/0!</v>
      </c>
      <c r="AI128" s="4" t="e">
        <f t="shared" ca="1" si="41"/>
        <v>#DIV/0!</v>
      </c>
      <c r="AJ128" s="4" t="e">
        <f t="shared" ca="1" si="42"/>
        <v>#DIV/0!</v>
      </c>
      <c r="AK128" s="4" t="e">
        <f t="shared" ca="1" si="43"/>
        <v>#DIV/0!</v>
      </c>
      <c r="AM128" s="563">
        <f t="shared" ca="1" si="33"/>
        <v>45816</v>
      </c>
      <c r="AN128" s="564">
        <v>90.73</v>
      </c>
      <c r="AO128" s="564">
        <v>1291116</v>
      </c>
      <c r="AP128" s="564">
        <v>44245.955000000002</v>
      </c>
      <c r="AQ128" s="564">
        <v>4014435.4971500002</v>
      </c>
      <c r="AR128" s="564">
        <v>1.1649</v>
      </c>
    </row>
    <row r="129" spans="2:44">
      <c r="B129" s="565">
        <f t="shared" ca="1" si="44"/>
        <v>45072</v>
      </c>
      <c r="C129" s="561">
        <f ca="1">(IFERROR(IFERROR(VALUE(_xll.BDH(C$4,"CURRENT_EV_TO_T12M_EBITDA",$B129,$B129)),VALUE(_xll.BDH(C$4,"CURRENT_EV_TO_T12M_EBITDA",$B129+1,$B129+1))),C130))</f>
        <v>0</v>
      </c>
      <c r="D129" s="561">
        <f ca="1">(IFERROR(IFERROR(VALUE(_xll.BDH(D$4,"CURRENT_EV_TO_T12M_EBITDA",$B129,$B129)),VALUE(_xll.BDH(D$4,"CURRENT_EV_TO_T12M_EBITDA",$B129+1,$B129+1))),D130))</f>
        <v>0</v>
      </c>
      <c r="E129" s="561">
        <f ca="1">(IFERROR(IFERROR(VALUE(_xll.BDH(E$4,"CURRENT_EV_TO_T12M_EBITDA",$B129,$B129)),VALUE(_xll.BDH(E$4,"CURRENT_EV_TO_T12M_EBITDA",$B129+1,$B129+1))),E130))</f>
        <v>0</v>
      </c>
      <c r="F129" s="561">
        <f ca="1">(IFERROR(IFERROR(VALUE(_xll.BDH(F$4,"CURRENT_EV_TO_T12M_EBITDA",$B129,$B129)),VALUE(_xll.BDH(F$4,"CURRENT_EV_TO_T12M_EBITDA",$B129+1,$B129+1))),F130))</f>
        <v>0</v>
      </c>
      <c r="G129" s="561">
        <f ca="1">(IFERROR(IFERROR(VALUE(_xll.BDH(G$4,"CURRENT_EV_TO_T12M_EBITDA",$B129,$B129)),VALUE(_xll.BDH(G$4,"CURRENT_EV_TO_T12M_EBITDA",$B129+1,$B129+1))),G130))</f>
        <v>0</v>
      </c>
      <c r="H129" s="561">
        <f ca="1">(IFERROR(IFERROR(VALUE(_xll.BDH(H$4,"CURRENT_EV_TO_T12M_EBITDA",$B129,$B129)),VALUE(_xll.BDH(H$4,"CURRENT_EV_TO_T12M_EBITDA",$B129+1,$B129+1))),H130))</f>
        <v>0</v>
      </c>
      <c r="I129" s="565">
        <f t="shared" ca="1" si="35"/>
        <v>45072</v>
      </c>
      <c r="J129" s="561">
        <f ca="1">(IFERROR(IFERROR(VALUE(_xll.BDH(J$4,"PE_RATIO",$B129,$B129)),VALUE(_xll.BDH(J$4,"PE_RATIO",$B129+1,$B129+1))),J130))</f>
        <v>0</v>
      </c>
      <c r="K129" s="561">
        <f ca="1">(IFERROR(IFERROR(VALUE(_xll.BDH(K$4,"PE_RATIO",$B129,$B129)),VALUE(_xll.BDH(K$4,"PE_RATIO",$B129+1,$B129+1))),K130))</f>
        <v>0</v>
      </c>
      <c r="L129" s="561">
        <f ca="1">(IFERROR(IFERROR(VALUE(_xll.BDH(L$4,"PE_RATIO",$B129,$B129)),VALUE(_xll.BDH(L$4,"PE_RATIO",$B129+1,$B129+1))),L130))</f>
        <v>0</v>
      </c>
      <c r="M129" s="561">
        <f ca="1">(IFERROR(IFERROR(VALUE(_xll.BDH(M$4,"PE_RATIO",$B129,$B129)),VALUE(_xll.BDH(M$4,"PE_RATIO",$B129+1,$B129+1))),M130))</f>
        <v>0</v>
      </c>
      <c r="N129" s="561">
        <f ca="1">(IFERROR(IFERROR(VALUE(_xll.BDH(N$4,"PE_RATIO",$B129,$B129)),VALUE(_xll.BDH(N$4,"PE_RATIO",$B129+1,$B129+1))),N130))</f>
        <v>0</v>
      </c>
      <c r="O129" s="561">
        <f ca="1">(IFERROR(IFERROR(VALUE(_xll.BDH(O$4,"PE_RATIO",$B129,$B129)),VALUE(_xll.BDH(O$4,"PE_RATIO",$B129+1,$B129+1))),O130))</f>
        <v>0</v>
      </c>
      <c r="P129" s="561"/>
      <c r="Q129" s="565">
        <f t="shared" ca="1" si="36"/>
        <v>45072</v>
      </c>
      <c r="R129" s="4">
        <v>49.75</v>
      </c>
      <c r="S129" s="4">
        <v>4071.63</v>
      </c>
      <c r="T129" s="4">
        <v>277.49200000000002</v>
      </c>
      <c r="U129" s="4">
        <v>0.82190649264827353</v>
      </c>
      <c r="V129" s="4">
        <v>1.1163439156195423</v>
      </c>
      <c r="W129" s="4" t="e">
        <v>#DIV/0!</v>
      </c>
      <c r="Y129" s="561">
        <f t="shared" si="37"/>
        <v>49.75</v>
      </c>
      <c r="Z129" s="4">
        <f ca="1">IFERROR(VALUE(_xll.BDH(Z$4,"PX_LAST",$Q129,$Q129)),Z130)</f>
        <v>0</v>
      </c>
      <c r="AA129" s="4">
        <f ca="1">IFERROR(VALUE(_xll.BDH(AA$4,"PX_LAST",$Q129,$Q129)),AA130)</f>
        <v>0</v>
      </c>
      <c r="AB129" s="4">
        <f ca="1">IFERROR(VALUE(_xll.BDH(AB$4,"PX_LAST",$Q129,$Q129)),AB130)</f>
        <v>0</v>
      </c>
      <c r="AC129" s="4">
        <f ca="1">IFERROR(VALUE(_xll.BDH(AC$4,"PX_LAST",$Q129,$Q129)),AC130)</f>
        <v>0</v>
      </c>
      <c r="AD129" s="4">
        <f ca="1">IFERROR(VALUE(_xll.BDH(AD$4,"PX_LAST",$Q129,$Q129)),AD130)</f>
        <v>0</v>
      </c>
      <c r="AF129" s="4">
        <f t="shared" si="38"/>
        <v>0.82190649264827353</v>
      </c>
      <c r="AG129" s="4" t="e">
        <f t="shared" ca="1" si="39"/>
        <v>#DIV/0!</v>
      </c>
      <c r="AH129" s="4" t="e">
        <f t="shared" ca="1" si="40"/>
        <v>#DIV/0!</v>
      </c>
      <c r="AI129" s="4" t="e">
        <f t="shared" ca="1" si="41"/>
        <v>#DIV/0!</v>
      </c>
      <c r="AJ129" s="4" t="e">
        <f t="shared" ca="1" si="42"/>
        <v>#DIV/0!</v>
      </c>
      <c r="AK129" s="4" t="e">
        <f t="shared" ca="1" si="43"/>
        <v>#DIV/0!</v>
      </c>
      <c r="AM129" s="563">
        <f t="shared" ca="1" si="33"/>
        <v>45815</v>
      </c>
      <c r="AN129" s="564">
        <v>95.55</v>
      </c>
      <c r="AO129" s="564">
        <v>673118</v>
      </c>
      <c r="AP129" s="564">
        <v>44245.955000000002</v>
      </c>
      <c r="AQ129" s="564">
        <v>4227701.0002500005</v>
      </c>
      <c r="AR129" s="564">
        <v>1.2267999999999999</v>
      </c>
    </row>
    <row r="130" spans="2:44">
      <c r="B130" s="565">
        <f t="shared" ca="1" si="44"/>
        <v>45065</v>
      </c>
      <c r="C130" s="561">
        <f ca="1">(IFERROR(IFERROR(VALUE(_xll.BDH(C$4,"CURRENT_EV_TO_T12M_EBITDA",$B130,$B130)),VALUE(_xll.BDH(C$4,"CURRENT_EV_TO_T12M_EBITDA",$B130+1,$B130+1))),C131))</f>
        <v>0</v>
      </c>
      <c r="D130" s="561">
        <f ca="1">(IFERROR(IFERROR(VALUE(_xll.BDH(D$4,"CURRENT_EV_TO_T12M_EBITDA",$B130,$B130)),VALUE(_xll.BDH(D$4,"CURRENT_EV_TO_T12M_EBITDA",$B130+1,$B130+1))),D131))</f>
        <v>0</v>
      </c>
      <c r="E130" s="561">
        <f ca="1">(IFERROR(IFERROR(VALUE(_xll.BDH(E$4,"CURRENT_EV_TO_T12M_EBITDA",$B130,$B130)),VALUE(_xll.BDH(E$4,"CURRENT_EV_TO_T12M_EBITDA",$B130+1,$B130+1))),E131))</f>
        <v>0</v>
      </c>
      <c r="F130" s="561">
        <f ca="1">(IFERROR(IFERROR(VALUE(_xll.BDH(F$4,"CURRENT_EV_TO_T12M_EBITDA",$B130,$B130)),VALUE(_xll.BDH(F$4,"CURRENT_EV_TO_T12M_EBITDA",$B130+1,$B130+1))),F131))</f>
        <v>0</v>
      </c>
      <c r="G130" s="561">
        <f ca="1">(IFERROR(IFERROR(VALUE(_xll.BDH(G$4,"CURRENT_EV_TO_T12M_EBITDA",$B130,$B130)),VALUE(_xll.BDH(G$4,"CURRENT_EV_TO_T12M_EBITDA",$B130+1,$B130+1))),G131))</f>
        <v>0</v>
      </c>
      <c r="H130" s="561">
        <f ca="1">(IFERROR(IFERROR(VALUE(_xll.BDH(H$4,"CURRENT_EV_TO_T12M_EBITDA",$B130,$B130)),VALUE(_xll.BDH(H$4,"CURRENT_EV_TO_T12M_EBITDA",$B130+1,$B130+1))),H131))</f>
        <v>0</v>
      </c>
      <c r="I130" s="565">
        <f t="shared" ca="1" si="35"/>
        <v>45065</v>
      </c>
      <c r="J130" s="561">
        <f ca="1">(IFERROR(IFERROR(VALUE(_xll.BDH(J$4,"PE_RATIO",$B130,$B130)),VALUE(_xll.BDH(J$4,"PE_RATIO",$B130+1,$B130+1))),J131))</f>
        <v>0</v>
      </c>
      <c r="K130" s="561">
        <f ca="1">(IFERROR(IFERROR(VALUE(_xll.BDH(K$4,"PE_RATIO",$B130,$B130)),VALUE(_xll.BDH(K$4,"PE_RATIO",$B130+1,$B130+1))),K131))</f>
        <v>0</v>
      </c>
      <c r="L130" s="561">
        <f ca="1">(IFERROR(IFERROR(VALUE(_xll.BDH(L$4,"PE_RATIO",$B130,$B130)),VALUE(_xll.BDH(L$4,"PE_RATIO",$B130+1,$B130+1))),L131))</f>
        <v>0</v>
      </c>
      <c r="M130" s="561">
        <f ca="1">(IFERROR(IFERROR(VALUE(_xll.BDH(M$4,"PE_RATIO",$B130,$B130)),VALUE(_xll.BDH(M$4,"PE_RATIO",$B130+1,$B130+1))),M131))</f>
        <v>0</v>
      </c>
      <c r="N130" s="561">
        <f ca="1">(IFERROR(IFERROR(VALUE(_xll.BDH(N$4,"PE_RATIO",$B130,$B130)),VALUE(_xll.BDH(N$4,"PE_RATIO",$B130+1,$B130+1))),N131))</f>
        <v>0</v>
      </c>
      <c r="O130" s="561">
        <f ca="1">(IFERROR(IFERROR(VALUE(_xll.BDH(O$4,"PE_RATIO",$B130,$B130)),VALUE(_xll.BDH(O$4,"PE_RATIO",$B130+1,$B130+1))),O131))</f>
        <v>0</v>
      </c>
      <c r="P130" s="561"/>
      <c r="Q130" s="565">
        <f t="shared" ca="1" si="36"/>
        <v>45065</v>
      </c>
      <c r="R130" s="4">
        <v>57.15</v>
      </c>
      <c r="S130" s="4">
        <v>4154.87</v>
      </c>
      <c r="T130" s="4">
        <v>277.49200000000002</v>
      </c>
      <c r="U130" s="4">
        <v>0.94415992070047905</v>
      </c>
      <c r="V130" s="4">
        <v>1.1391663399400651</v>
      </c>
      <c r="W130" s="4" t="e">
        <v>#DIV/0!</v>
      </c>
      <c r="Y130" s="561">
        <f t="shared" si="37"/>
        <v>57.15</v>
      </c>
      <c r="Z130" s="4">
        <f ca="1">IFERROR(VALUE(_xll.BDH(Z$4,"PX_LAST",$Q130,$Q130)),Z131)</f>
        <v>0</v>
      </c>
      <c r="AA130" s="4">
        <f ca="1">IFERROR(VALUE(_xll.BDH(AA$4,"PX_LAST",$Q130,$Q130)),AA131)</f>
        <v>0</v>
      </c>
      <c r="AB130" s="4">
        <f ca="1">IFERROR(VALUE(_xll.BDH(AB$4,"PX_LAST",$Q130,$Q130)),AB131)</f>
        <v>0</v>
      </c>
      <c r="AC130" s="4">
        <f ca="1">IFERROR(VALUE(_xll.BDH(AC$4,"PX_LAST",$Q130,$Q130)),AC131)</f>
        <v>0</v>
      </c>
      <c r="AD130" s="4">
        <f ca="1">IFERROR(VALUE(_xll.BDH(AD$4,"PX_LAST",$Q130,$Q130)),AD131)</f>
        <v>0</v>
      </c>
      <c r="AF130" s="4">
        <f t="shared" si="38"/>
        <v>0.94415992070047905</v>
      </c>
      <c r="AG130" s="4" t="e">
        <f t="shared" ca="1" si="39"/>
        <v>#DIV/0!</v>
      </c>
      <c r="AH130" s="4" t="e">
        <f t="shared" ca="1" si="40"/>
        <v>#DIV/0!</v>
      </c>
      <c r="AI130" s="4" t="e">
        <f t="shared" ca="1" si="41"/>
        <v>#DIV/0!</v>
      </c>
      <c r="AJ130" s="4" t="e">
        <f t="shared" ca="1" si="42"/>
        <v>#DIV/0!</v>
      </c>
      <c r="AK130" s="4" t="e">
        <f t="shared" ca="1" si="43"/>
        <v>#DIV/0!</v>
      </c>
      <c r="AM130" s="563">
        <f t="shared" ca="1" si="33"/>
        <v>45814</v>
      </c>
      <c r="AN130" s="564">
        <v>96.87</v>
      </c>
      <c r="AO130" s="564">
        <v>1433147</v>
      </c>
      <c r="AP130" s="564">
        <v>44245.955000000002</v>
      </c>
      <c r="AQ130" s="564">
        <v>4286105.6608500006</v>
      </c>
      <c r="AR130" s="564">
        <v>1.2437</v>
      </c>
    </row>
    <row r="131" spans="2:44">
      <c r="B131" s="565">
        <f t="shared" ca="1" si="44"/>
        <v>45058</v>
      </c>
      <c r="C131" s="561">
        <f ca="1">(IFERROR(IFERROR(VALUE(_xll.BDH(C$4,"CURRENT_EV_TO_T12M_EBITDA",$B131,$B131)),VALUE(_xll.BDH(C$4,"CURRENT_EV_TO_T12M_EBITDA",$B131+1,$B131+1))),C132))</f>
        <v>0</v>
      </c>
      <c r="D131" s="561">
        <f ca="1">(IFERROR(IFERROR(VALUE(_xll.BDH(D$4,"CURRENT_EV_TO_T12M_EBITDA",$B131,$B131)),VALUE(_xll.BDH(D$4,"CURRENT_EV_TO_T12M_EBITDA",$B131+1,$B131+1))),D132))</f>
        <v>0</v>
      </c>
      <c r="E131" s="561">
        <f ca="1">(IFERROR(IFERROR(VALUE(_xll.BDH(E$4,"CURRENT_EV_TO_T12M_EBITDA",$B131,$B131)),VALUE(_xll.BDH(E$4,"CURRENT_EV_TO_T12M_EBITDA",$B131+1,$B131+1))),E132))</f>
        <v>0</v>
      </c>
      <c r="F131" s="561">
        <f ca="1">(IFERROR(IFERROR(VALUE(_xll.BDH(F$4,"CURRENT_EV_TO_T12M_EBITDA",$B131,$B131)),VALUE(_xll.BDH(F$4,"CURRENT_EV_TO_T12M_EBITDA",$B131+1,$B131+1))),F132))</f>
        <v>0</v>
      </c>
      <c r="G131" s="561">
        <f ca="1">(IFERROR(IFERROR(VALUE(_xll.BDH(G$4,"CURRENT_EV_TO_T12M_EBITDA",$B131,$B131)),VALUE(_xll.BDH(G$4,"CURRENT_EV_TO_T12M_EBITDA",$B131+1,$B131+1))),G132))</f>
        <v>0</v>
      </c>
      <c r="H131" s="561">
        <f ca="1">(IFERROR(IFERROR(VALUE(_xll.BDH(H$4,"CURRENT_EV_TO_T12M_EBITDA",$B131,$B131)),VALUE(_xll.BDH(H$4,"CURRENT_EV_TO_T12M_EBITDA",$B131+1,$B131+1))),H132))</f>
        <v>0</v>
      </c>
      <c r="I131" s="565">
        <f t="shared" ca="1" si="35"/>
        <v>45058</v>
      </c>
      <c r="J131" s="561">
        <f ca="1">(IFERROR(IFERROR(VALUE(_xll.BDH(J$4,"PE_RATIO",$B131,$B131)),VALUE(_xll.BDH(J$4,"PE_RATIO",$B131+1,$B131+1))),J132))</f>
        <v>0</v>
      </c>
      <c r="K131" s="561">
        <f ca="1">(IFERROR(IFERROR(VALUE(_xll.BDH(K$4,"PE_RATIO",$B131,$B131)),VALUE(_xll.BDH(K$4,"PE_RATIO",$B131+1,$B131+1))),K132))</f>
        <v>0</v>
      </c>
      <c r="L131" s="561">
        <f ca="1">(IFERROR(IFERROR(VALUE(_xll.BDH(L$4,"PE_RATIO",$B131,$B131)),VALUE(_xll.BDH(L$4,"PE_RATIO",$B131+1,$B131+1))),L132))</f>
        <v>0</v>
      </c>
      <c r="M131" s="561">
        <f ca="1">(IFERROR(IFERROR(VALUE(_xll.BDH(M$4,"PE_RATIO",$B131,$B131)),VALUE(_xll.BDH(M$4,"PE_RATIO",$B131+1,$B131+1))),M132))</f>
        <v>0</v>
      </c>
      <c r="N131" s="561">
        <f ca="1">(IFERROR(IFERROR(VALUE(_xll.BDH(N$4,"PE_RATIO",$B131,$B131)),VALUE(_xll.BDH(N$4,"PE_RATIO",$B131+1,$B131+1))),N132))</f>
        <v>0</v>
      </c>
      <c r="O131" s="561">
        <f ca="1">(IFERROR(IFERROR(VALUE(_xll.BDH(O$4,"PE_RATIO",$B131,$B131)),VALUE(_xll.BDH(O$4,"PE_RATIO",$B131+1,$B131+1))),O132))</f>
        <v>0</v>
      </c>
      <c r="P131" s="561"/>
      <c r="Q131" s="565">
        <f t="shared" ca="1" si="36"/>
        <v>45058</v>
      </c>
      <c r="R131" s="4">
        <v>57.56</v>
      </c>
      <c r="S131" s="4">
        <v>4108.9399999999996</v>
      </c>
      <c r="T131" s="4">
        <v>277.49200000000002</v>
      </c>
      <c r="U131" s="4">
        <v>0.95093342144391213</v>
      </c>
      <c r="V131" s="4">
        <v>1.1265734284907423</v>
      </c>
      <c r="W131" s="4" t="e">
        <v>#DIV/0!</v>
      </c>
      <c r="Y131" s="561">
        <f t="shared" si="37"/>
        <v>57.56</v>
      </c>
      <c r="Z131" s="4">
        <f ca="1">IFERROR(VALUE(_xll.BDH(Z$4,"PX_LAST",$Q131,$Q131)),Z132)</f>
        <v>0</v>
      </c>
      <c r="AA131" s="4">
        <f ca="1">IFERROR(VALUE(_xll.BDH(AA$4,"PX_LAST",$Q131,$Q131)),AA132)</f>
        <v>0</v>
      </c>
      <c r="AB131" s="4">
        <f ca="1">IFERROR(VALUE(_xll.BDH(AB$4,"PX_LAST",$Q131,$Q131)),AB132)</f>
        <v>0</v>
      </c>
      <c r="AC131" s="4">
        <f ca="1">IFERROR(VALUE(_xll.BDH(AC$4,"PX_LAST",$Q131,$Q131)),AC132)</f>
        <v>0</v>
      </c>
      <c r="AD131" s="4">
        <f ca="1">IFERROR(VALUE(_xll.BDH(AD$4,"PX_LAST",$Q131,$Q131)),AD132)</f>
        <v>0</v>
      </c>
      <c r="AF131" s="4">
        <f t="shared" si="38"/>
        <v>0.95093342144391213</v>
      </c>
      <c r="AG131" s="4" t="e">
        <f t="shared" ca="1" si="39"/>
        <v>#DIV/0!</v>
      </c>
      <c r="AH131" s="4" t="e">
        <f t="shared" ca="1" si="40"/>
        <v>#DIV/0!</v>
      </c>
      <c r="AI131" s="4" t="e">
        <f t="shared" ca="1" si="41"/>
        <v>#DIV/0!</v>
      </c>
      <c r="AJ131" s="4" t="e">
        <f t="shared" ca="1" si="42"/>
        <v>#DIV/0!</v>
      </c>
      <c r="AK131" s="4" t="e">
        <f t="shared" ca="1" si="43"/>
        <v>#DIV/0!</v>
      </c>
      <c r="AM131" s="563">
        <f t="shared" ca="1" si="33"/>
        <v>45813</v>
      </c>
      <c r="AN131" s="564">
        <v>92.8</v>
      </c>
      <c r="AO131" s="564">
        <v>909446</v>
      </c>
      <c r="AP131" s="564">
        <v>44245.955000000002</v>
      </c>
      <c r="AQ131" s="564">
        <v>4106024.6239999998</v>
      </c>
      <c r="AR131" s="564">
        <v>1.1915</v>
      </c>
    </row>
    <row r="132" spans="2:44">
      <c r="B132" s="565">
        <f t="shared" ca="1" si="44"/>
        <v>45051</v>
      </c>
      <c r="C132" s="561">
        <f ca="1">(IFERROR(IFERROR(VALUE(_xll.BDH(C$4,"CURRENT_EV_TO_T12M_EBITDA",$B132,$B132)),VALUE(_xll.BDH(C$4,"CURRENT_EV_TO_T12M_EBITDA",$B132+1,$B132+1))),C133))</f>
        <v>0</v>
      </c>
      <c r="D132" s="561">
        <f ca="1">(IFERROR(IFERROR(VALUE(_xll.BDH(D$4,"CURRENT_EV_TO_T12M_EBITDA",$B132,$B132)),VALUE(_xll.BDH(D$4,"CURRENT_EV_TO_T12M_EBITDA",$B132+1,$B132+1))),D133))</f>
        <v>0</v>
      </c>
      <c r="E132" s="561">
        <f ca="1">(IFERROR(IFERROR(VALUE(_xll.BDH(E$4,"CURRENT_EV_TO_T12M_EBITDA",$B132,$B132)),VALUE(_xll.BDH(E$4,"CURRENT_EV_TO_T12M_EBITDA",$B132+1,$B132+1))),E133))</f>
        <v>0</v>
      </c>
      <c r="F132" s="561">
        <f ca="1">(IFERROR(IFERROR(VALUE(_xll.BDH(F$4,"CURRENT_EV_TO_T12M_EBITDA",$B132,$B132)),VALUE(_xll.BDH(F$4,"CURRENT_EV_TO_T12M_EBITDA",$B132+1,$B132+1))),F133))</f>
        <v>0</v>
      </c>
      <c r="G132" s="561">
        <f ca="1">(IFERROR(IFERROR(VALUE(_xll.BDH(G$4,"CURRENT_EV_TO_T12M_EBITDA",$B132,$B132)),VALUE(_xll.BDH(G$4,"CURRENT_EV_TO_T12M_EBITDA",$B132+1,$B132+1))),G133))</f>
        <v>0</v>
      </c>
      <c r="H132" s="561">
        <f ca="1">(IFERROR(IFERROR(VALUE(_xll.BDH(H$4,"CURRENT_EV_TO_T12M_EBITDA",$B132,$B132)),VALUE(_xll.BDH(H$4,"CURRENT_EV_TO_T12M_EBITDA",$B132+1,$B132+1))),H133))</f>
        <v>0</v>
      </c>
      <c r="I132" s="565">
        <f t="shared" ca="1" si="35"/>
        <v>45051</v>
      </c>
      <c r="J132" s="561">
        <f ca="1">(IFERROR(IFERROR(VALUE(_xll.BDH(J$4,"PE_RATIO",$B132,$B132)),VALUE(_xll.BDH(J$4,"PE_RATIO",$B132+1,$B132+1))),J133))</f>
        <v>0</v>
      </c>
      <c r="K132" s="561">
        <f ca="1">(IFERROR(IFERROR(VALUE(_xll.BDH(K$4,"PE_RATIO",$B132,$B132)),VALUE(_xll.BDH(K$4,"PE_RATIO",$B132+1,$B132+1))),K133))</f>
        <v>0</v>
      </c>
      <c r="L132" s="561">
        <f ca="1">(IFERROR(IFERROR(VALUE(_xll.BDH(L$4,"PE_RATIO",$B132,$B132)),VALUE(_xll.BDH(L$4,"PE_RATIO",$B132+1,$B132+1))),L133))</f>
        <v>0</v>
      </c>
      <c r="M132" s="561">
        <f ca="1">(IFERROR(IFERROR(VALUE(_xll.BDH(M$4,"PE_RATIO",$B132,$B132)),VALUE(_xll.BDH(M$4,"PE_RATIO",$B132+1,$B132+1))),M133))</f>
        <v>0</v>
      </c>
      <c r="N132" s="561">
        <f ca="1">(IFERROR(IFERROR(VALUE(_xll.BDH(N$4,"PE_RATIO",$B132,$B132)),VALUE(_xll.BDH(N$4,"PE_RATIO",$B132+1,$B132+1))),N133))</f>
        <v>0</v>
      </c>
      <c r="O132" s="561">
        <f ca="1">(IFERROR(IFERROR(VALUE(_xll.BDH(O$4,"PE_RATIO",$B132,$B132)),VALUE(_xll.BDH(O$4,"PE_RATIO",$B132+1,$B132+1))),O133))</f>
        <v>0</v>
      </c>
      <c r="P132" s="561"/>
      <c r="Q132" s="565">
        <f t="shared" ca="1" si="36"/>
        <v>45051</v>
      </c>
      <c r="R132" s="4">
        <v>56.86</v>
      </c>
      <c r="S132" s="4">
        <v>4100.6000000000004</v>
      </c>
      <c r="T132" s="4">
        <v>277.49200000000002</v>
      </c>
      <c r="U132" s="4">
        <v>0.93936890797951422</v>
      </c>
      <c r="V132" s="4">
        <v>1.1242867992399839</v>
      </c>
      <c r="W132" s="4" t="e">
        <v>#DIV/0!</v>
      </c>
      <c r="Y132" s="561">
        <f t="shared" si="37"/>
        <v>56.86</v>
      </c>
      <c r="Z132" s="4">
        <f ca="1">IFERROR(VALUE(_xll.BDH(Z$4,"PX_LAST",$Q132,$Q132)),Z133)</f>
        <v>0</v>
      </c>
      <c r="AA132" s="4">
        <f ca="1">IFERROR(VALUE(_xll.BDH(AA$4,"PX_LAST",$Q132,$Q132)),AA133)</f>
        <v>0</v>
      </c>
      <c r="AB132" s="4">
        <f ca="1">IFERROR(VALUE(_xll.BDH(AB$4,"PX_LAST",$Q132,$Q132)),AB133)</f>
        <v>0</v>
      </c>
      <c r="AC132" s="4">
        <f ca="1">IFERROR(VALUE(_xll.BDH(AC$4,"PX_LAST",$Q132,$Q132)),AC133)</f>
        <v>0</v>
      </c>
      <c r="AD132" s="4">
        <f ca="1">IFERROR(VALUE(_xll.BDH(AD$4,"PX_LAST",$Q132,$Q132)),AD133)</f>
        <v>0</v>
      </c>
      <c r="AF132" s="4">
        <f t="shared" si="38"/>
        <v>0.93936890797951422</v>
      </c>
      <c r="AG132" s="4" t="e">
        <f t="shared" ca="1" si="39"/>
        <v>#DIV/0!</v>
      </c>
      <c r="AH132" s="4" t="e">
        <f t="shared" ca="1" si="40"/>
        <v>#DIV/0!</v>
      </c>
      <c r="AI132" s="4" t="e">
        <f t="shared" ca="1" si="41"/>
        <v>#DIV/0!</v>
      </c>
      <c r="AJ132" s="4" t="e">
        <f t="shared" ca="1" si="42"/>
        <v>#DIV/0!</v>
      </c>
      <c r="AK132" s="4" t="e">
        <f t="shared" ca="1" si="43"/>
        <v>#DIV/0!</v>
      </c>
      <c r="AM132" s="563">
        <f t="shared" ca="1" si="33"/>
        <v>45812</v>
      </c>
      <c r="AN132" s="564">
        <v>92.91</v>
      </c>
      <c r="AO132" s="564">
        <v>748683</v>
      </c>
      <c r="AP132" s="564">
        <v>44245.955000000002</v>
      </c>
      <c r="AQ132" s="564">
        <v>4110891.6790499999</v>
      </c>
      <c r="AR132" s="564">
        <v>1.1929000000000001</v>
      </c>
    </row>
    <row r="133" spans="2:44">
      <c r="B133" s="565">
        <f t="shared" ca="1" si="44"/>
        <v>45044</v>
      </c>
      <c r="C133" s="561">
        <f ca="1">(IFERROR(IFERROR(VALUE(_xll.BDH(C$4,"CURRENT_EV_TO_T12M_EBITDA",$B133,$B133)),VALUE(_xll.BDH(C$4,"CURRENT_EV_TO_T12M_EBITDA",$B133+1,$B133+1))),C134))</f>
        <v>0</v>
      </c>
      <c r="D133" s="561">
        <f ca="1">(IFERROR(IFERROR(VALUE(_xll.BDH(D$4,"CURRENT_EV_TO_T12M_EBITDA",$B133,$B133)),VALUE(_xll.BDH(D$4,"CURRENT_EV_TO_T12M_EBITDA",$B133+1,$B133+1))),D134))</f>
        <v>0</v>
      </c>
      <c r="E133" s="561">
        <f ca="1">(IFERROR(IFERROR(VALUE(_xll.BDH(E$4,"CURRENT_EV_TO_T12M_EBITDA",$B133,$B133)),VALUE(_xll.BDH(E$4,"CURRENT_EV_TO_T12M_EBITDA",$B133+1,$B133+1))),E134))</f>
        <v>0</v>
      </c>
      <c r="F133" s="561">
        <f ca="1">(IFERROR(IFERROR(VALUE(_xll.BDH(F$4,"CURRENT_EV_TO_T12M_EBITDA",$B133,$B133)),VALUE(_xll.BDH(F$4,"CURRENT_EV_TO_T12M_EBITDA",$B133+1,$B133+1))),F134))</f>
        <v>0</v>
      </c>
      <c r="G133" s="561">
        <f ca="1">(IFERROR(IFERROR(VALUE(_xll.BDH(G$4,"CURRENT_EV_TO_T12M_EBITDA",$B133,$B133)),VALUE(_xll.BDH(G$4,"CURRENT_EV_TO_T12M_EBITDA",$B133+1,$B133+1))),G134))</f>
        <v>0</v>
      </c>
      <c r="H133" s="561">
        <f ca="1">(IFERROR(IFERROR(VALUE(_xll.BDH(H$4,"CURRENT_EV_TO_T12M_EBITDA",$B133,$B133)),VALUE(_xll.BDH(H$4,"CURRENT_EV_TO_T12M_EBITDA",$B133+1,$B133+1))),H134))</f>
        <v>0</v>
      </c>
      <c r="I133" s="565">
        <f t="shared" ref="I133:I162" ca="1" si="45">+B133</f>
        <v>45044</v>
      </c>
      <c r="J133" s="561">
        <f ca="1">(IFERROR(IFERROR(VALUE(_xll.BDH(J$4,"PE_RATIO",$B133,$B133)),VALUE(_xll.BDH(J$4,"PE_RATIO",$B133+1,$B133+1))),J134))</f>
        <v>0</v>
      </c>
      <c r="K133" s="561">
        <f ca="1">(IFERROR(IFERROR(VALUE(_xll.BDH(K$4,"PE_RATIO",$B133,$B133)),VALUE(_xll.BDH(K$4,"PE_RATIO",$B133+1,$B133+1))),K134))</f>
        <v>0</v>
      </c>
      <c r="L133" s="561">
        <f ca="1">(IFERROR(IFERROR(VALUE(_xll.BDH(L$4,"PE_RATIO",$B133,$B133)),VALUE(_xll.BDH(L$4,"PE_RATIO",$B133+1,$B133+1))),L134))</f>
        <v>0</v>
      </c>
      <c r="M133" s="561">
        <f ca="1">(IFERROR(IFERROR(VALUE(_xll.BDH(M$4,"PE_RATIO",$B133,$B133)),VALUE(_xll.BDH(M$4,"PE_RATIO",$B133+1,$B133+1))),M134))</f>
        <v>0</v>
      </c>
      <c r="N133" s="561">
        <f ca="1">(IFERROR(IFERROR(VALUE(_xll.BDH(N$4,"PE_RATIO",$B133,$B133)),VALUE(_xll.BDH(N$4,"PE_RATIO",$B133+1,$B133+1))),N134))</f>
        <v>0</v>
      </c>
      <c r="O133" s="561">
        <f ca="1">(IFERROR(IFERROR(VALUE(_xll.BDH(O$4,"PE_RATIO",$B133,$B133)),VALUE(_xll.BDH(O$4,"PE_RATIO",$B133+1,$B133+1))),O134))</f>
        <v>0</v>
      </c>
      <c r="P133" s="561"/>
      <c r="Q133" s="565">
        <f t="shared" ref="Q133:Q162" ca="1" si="46">+I133</f>
        <v>45044</v>
      </c>
      <c r="R133" s="4">
        <v>54.27</v>
      </c>
      <c r="S133" s="4">
        <v>3971.27</v>
      </c>
      <c r="T133" s="4">
        <v>277.49200000000002</v>
      </c>
      <c r="U133" s="4">
        <v>0.8965802081612424</v>
      </c>
      <c r="V133" s="4">
        <v>1.0888275952830733</v>
      </c>
      <c r="W133" s="4" t="e">
        <v>#DIV/0!</v>
      </c>
      <c r="Y133" s="561">
        <f t="shared" ref="Y133:Y159" si="47">+R133</f>
        <v>54.27</v>
      </c>
      <c r="Z133" s="4">
        <f ca="1">IFERROR(VALUE(_xll.BDH(Z$4,"PX_LAST",$Q133,$Q133)),Z134)</f>
        <v>0</v>
      </c>
      <c r="AA133" s="4">
        <f ca="1">IFERROR(VALUE(_xll.BDH(AA$4,"PX_LAST",$Q133,$Q133)),AA134)</f>
        <v>0</v>
      </c>
      <c r="AB133" s="4">
        <f ca="1">IFERROR(VALUE(_xll.BDH(AB$4,"PX_LAST",$Q133,$Q133)),AB134)</f>
        <v>0</v>
      </c>
      <c r="AC133" s="4">
        <f ca="1">IFERROR(VALUE(_xll.BDH(AC$4,"PX_LAST",$Q133,$Q133)),AC134)</f>
        <v>0</v>
      </c>
      <c r="AD133" s="4">
        <f ca="1">IFERROR(VALUE(_xll.BDH(AD$4,"PX_LAST",$Q133,$Q133)),AD134)</f>
        <v>0</v>
      </c>
      <c r="AF133" s="4">
        <f t="shared" ref="AF133:AF159" si="48">+Y133/Y$159</f>
        <v>0.8965802081612424</v>
      </c>
      <c r="AG133" s="4" t="e">
        <f t="shared" ref="AG133:AG159" ca="1" si="49">+Z133/Z$159</f>
        <v>#DIV/0!</v>
      </c>
      <c r="AH133" s="4" t="e">
        <f t="shared" ref="AH133:AH159" ca="1" si="50">+AA133/AA$159</f>
        <v>#DIV/0!</v>
      </c>
      <c r="AI133" s="4" t="e">
        <f t="shared" ref="AI133:AI159" ca="1" si="51">+AB133/AB$159</f>
        <v>#DIV/0!</v>
      </c>
      <c r="AJ133" s="4" t="e">
        <f t="shared" ref="AJ133:AJ159" ca="1" si="52">+AC133/AC$159</f>
        <v>#DIV/0!</v>
      </c>
      <c r="AK133" s="4" t="e">
        <f t="shared" ref="AK133:AK159" ca="1" si="53">+AD133/AD$159</f>
        <v>#DIV/0!</v>
      </c>
      <c r="AM133" s="563">
        <f t="shared" ref="AM133:AM196" ca="1" si="54">AM132-1</f>
        <v>45811</v>
      </c>
      <c r="AN133" s="564">
        <v>92.91</v>
      </c>
      <c r="AO133" s="564">
        <v>748683</v>
      </c>
      <c r="AP133" s="564">
        <v>44245.955000000002</v>
      </c>
      <c r="AQ133" s="564">
        <v>4110891.6790499999</v>
      </c>
      <c r="AR133" s="564">
        <v>1.1929000000000001</v>
      </c>
    </row>
    <row r="134" spans="2:44">
      <c r="B134" s="565">
        <f t="shared" ref="B134:B162" ca="1" si="55">+B133-7</f>
        <v>45037</v>
      </c>
      <c r="C134" s="561">
        <f ca="1">(IFERROR(IFERROR(VALUE(_xll.BDH(C$4,"CURRENT_EV_TO_T12M_EBITDA",$B134,$B134)),VALUE(_xll.BDH(C$4,"CURRENT_EV_TO_T12M_EBITDA",$B134+1,$B134+1))),C135))</f>
        <v>0</v>
      </c>
      <c r="D134" s="561">
        <f ca="1">(IFERROR(IFERROR(VALUE(_xll.BDH(D$4,"CURRENT_EV_TO_T12M_EBITDA",$B134,$B134)),VALUE(_xll.BDH(D$4,"CURRENT_EV_TO_T12M_EBITDA",$B134+1,$B134+1))),D135))</f>
        <v>0</v>
      </c>
      <c r="E134" s="561">
        <f ca="1">(IFERROR(IFERROR(VALUE(_xll.BDH(E$4,"CURRENT_EV_TO_T12M_EBITDA",$B134,$B134)),VALUE(_xll.BDH(E$4,"CURRENT_EV_TO_T12M_EBITDA",$B134+1,$B134+1))),E135))</f>
        <v>0</v>
      </c>
      <c r="F134" s="561">
        <f ca="1">(IFERROR(IFERROR(VALUE(_xll.BDH(F$4,"CURRENT_EV_TO_T12M_EBITDA",$B134,$B134)),VALUE(_xll.BDH(F$4,"CURRENT_EV_TO_T12M_EBITDA",$B134+1,$B134+1))),F135))</f>
        <v>0</v>
      </c>
      <c r="G134" s="561">
        <f ca="1">(IFERROR(IFERROR(VALUE(_xll.BDH(G$4,"CURRENT_EV_TO_T12M_EBITDA",$B134,$B134)),VALUE(_xll.BDH(G$4,"CURRENT_EV_TO_T12M_EBITDA",$B134+1,$B134+1))),G135))</f>
        <v>0</v>
      </c>
      <c r="H134" s="561">
        <f ca="1">(IFERROR(IFERROR(VALUE(_xll.BDH(H$4,"CURRENT_EV_TO_T12M_EBITDA",$B134,$B134)),VALUE(_xll.BDH(H$4,"CURRENT_EV_TO_T12M_EBITDA",$B134+1,$B134+1))),H135))</f>
        <v>0</v>
      </c>
      <c r="I134" s="565">
        <f t="shared" ca="1" si="45"/>
        <v>45037</v>
      </c>
      <c r="J134" s="561">
        <f ca="1">(IFERROR(IFERROR(VALUE(_xll.BDH(J$4,"PE_RATIO",$B134,$B134)),VALUE(_xll.BDH(J$4,"PE_RATIO",$B134+1,$B134+1))),J135))</f>
        <v>0</v>
      </c>
      <c r="K134" s="561">
        <f ca="1">(IFERROR(IFERROR(VALUE(_xll.BDH(K$4,"PE_RATIO",$B134,$B134)),VALUE(_xll.BDH(K$4,"PE_RATIO",$B134+1,$B134+1))),K135))</f>
        <v>0</v>
      </c>
      <c r="L134" s="561">
        <f ca="1">(IFERROR(IFERROR(VALUE(_xll.BDH(L$4,"PE_RATIO",$B134,$B134)),VALUE(_xll.BDH(L$4,"PE_RATIO",$B134+1,$B134+1))),L135))</f>
        <v>0</v>
      </c>
      <c r="M134" s="561">
        <f ca="1">(IFERROR(IFERROR(VALUE(_xll.BDH(M$4,"PE_RATIO",$B134,$B134)),VALUE(_xll.BDH(M$4,"PE_RATIO",$B134+1,$B134+1))),M135))</f>
        <v>0</v>
      </c>
      <c r="N134" s="561">
        <f ca="1">(IFERROR(IFERROR(VALUE(_xll.BDH(N$4,"PE_RATIO",$B134,$B134)),VALUE(_xll.BDH(N$4,"PE_RATIO",$B134+1,$B134+1))),N135))</f>
        <v>0</v>
      </c>
      <c r="O134" s="561">
        <f ca="1">(IFERROR(IFERROR(VALUE(_xll.BDH(O$4,"PE_RATIO",$B134,$B134)),VALUE(_xll.BDH(O$4,"PE_RATIO",$B134+1,$B134+1))),O135))</f>
        <v>0</v>
      </c>
      <c r="P134" s="561"/>
      <c r="Q134" s="565">
        <f t="shared" ca="1" si="46"/>
        <v>45037</v>
      </c>
      <c r="R134" s="4">
        <v>54.38</v>
      </c>
      <c r="S134" s="4">
        <v>4002.87</v>
      </c>
      <c r="T134" s="4">
        <v>277.49200000000002</v>
      </c>
      <c r="U134" s="4">
        <v>0.8983974888485049</v>
      </c>
      <c r="V134" s="4">
        <v>1.0974915622283943</v>
      </c>
      <c r="W134" s="4" t="e">
        <v>#DIV/0!</v>
      </c>
      <c r="Y134" s="561">
        <f t="shared" si="47"/>
        <v>54.38</v>
      </c>
      <c r="Z134" s="4">
        <f ca="1">IFERROR(VALUE(_xll.BDH(Z$4,"PX_LAST",$Q134,$Q134)),Z135)</f>
        <v>0</v>
      </c>
      <c r="AA134" s="4">
        <f ca="1">IFERROR(VALUE(_xll.BDH(AA$4,"PX_LAST",$Q134,$Q134)),AA135)</f>
        <v>0</v>
      </c>
      <c r="AB134" s="4">
        <f ca="1">IFERROR(VALUE(_xll.BDH(AB$4,"PX_LAST",$Q134,$Q134)),AB135)</f>
        <v>0</v>
      </c>
      <c r="AC134" s="4">
        <f ca="1">IFERROR(VALUE(_xll.BDH(AC$4,"PX_LAST",$Q134,$Q134)),AC135)</f>
        <v>0</v>
      </c>
      <c r="AD134" s="4">
        <f ca="1">IFERROR(VALUE(_xll.BDH(AD$4,"PX_LAST",$Q134,$Q134)),AD135)</f>
        <v>0</v>
      </c>
      <c r="AF134" s="4">
        <f t="shared" si="48"/>
        <v>0.8983974888485049</v>
      </c>
      <c r="AG134" s="4" t="e">
        <f t="shared" ca="1" si="49"/>
        <v>#DIV/0!</v>
      </c>
      <c r="AH134" s="4" t="e">
        <f t="shared" ca="1" si="50"/>
        <v>#DIV/0!</v>
      </c>
      <c r="AI134" s="4" t="e">
        <f t="shared" ca="1" si="51"/>
        <v>#DIV/0!</v>
      </c>
      <c r="AJ134" s="4" t="e">
        <f t="shared" ca="1" si="52"/>
        <v>#DIV/0!</v>
      </c>
      <c r="AK134" s="4" t="e">
        <f t="shared" ca="1" si="53"/>
        <v>#DIV/0!</v>
      </c>
      <c r="AM134" s="563">
        <f t="shared" ca="1" si="54"/>
        <v>45810</v>
      </c>
      <c r="AN134" s="564">
        <v>92.91</v>
      </c>
      <c r="AO134" s="564">
        <v>748683</v>
      </c>
      <c r="AP134" s="564">
        <v>44245.955000000002</v>
      </c>
      <c r="AQ134" s="564">
        <v>4110891.6790499999</v>
      </c>
      <c r="AR134" s="564">
        <v>1.1929000000000001</v>
      </c>
    </row>
    <row r="135" spans="2:44">
      <c r="B135" s="565">
        <f t="shared" ca="1" si="55"/>
        <v>45030</v>
      </c>
      <c r="C135" s="561">
        <f ca="1">(IFERROR(IFERROR(VALUE(_xll.BDH(C$4,"CURRENT_EV_TO_T12M_EBITDA",$B135,$B135)),VALUE(_xll.BDH(C$4,"CURRENT_EV_TO_T12M_EBITDA",$B135+1,$B135+1))),C136))</f>
        <v>0</v>
      </c>
      <c r="D135" s="561">
        <f ca="1">(IFERROR(IFERROR(VALUE(_xll.BDH(D$4,"CURRENT_EV_TO_T12M_EBITDA",$B135,$B135)),VALUE(_xll.BDH(D$4,"CURRENT_EV_TO_T12M_EBITDA",$B135+1,$B135+1))),D136))</f>
        <v>0</v>
      </c>
      <c r="E135" s="561">
        <f ca="1">(IFERROR(IFERROR(VALUE(_xll.BDH(E$4,"CURRENT_EV_TO_T12M_EBITDA",$B135,$B135)),VALUE(_xll.BDH(E$4,"CURRENT_EV_TO_T12M_EBITDA",$B135+1,$B135+1))),E136))</f>
        <v>0</v>
      </c>
      <c r="F135" s="561">
        <f ca="1">(IFERROR(IFERROR(VALUE(_xll.BDH(F$4,"CURRENT_EV_TO_T12M_EBITDA",$B135,$B135)),VALUE(_xll.BDH(F$4,"CURRENT_EV_TO_T12M_EBITDA",$B135+1,$B135+1))),F136))</f>
        <v>0</v>
      </c>
      <c r="G135" s="561">
        <f ca="1">(IFERROR(IFERROR(VALUE(_xll.BDH(G$4,"CURRENT_EV_TO_T12M_EBITDA",$B135,$B135)),VALUE(_xll.BDH(G$4,"CURRENT_EV_TO_T12M_EBITDA",$B135+1,$B135+1))),G136))</f>
        <v>0</v>
      </c>
      <c r="H135" s="561">
        <f ca="1">(IFERROR(IFERROR(VALUE(_xll.BDH(H$4,"CURRENT_EV_TO_T12M_EBITDA",$B135,$B135)),VALUE(_xll.BDH(H$4,"CURRENT_EV_TO_T12M_EBITDA",$B135+1,$B135+1))),H136))</f>
        <v>0</v>
      </c>
      <c r="I135" s="565">
        <f t="shared" ca="1" si="45"/>
        <v>45030</v>
      </c>
      <c r="J135" s="561">
        <f ca="1">(IFERROR(IFERROR(VALUE(_xll.BDH(J$4,"PE_RATIO",$B135,$B135)),VALUE(_xll.BDH(J$4,"PE_RATIO",$B135+1,$B135+1))),J136))</f>
        <v>0</v>
      </c>
      <c r="K135" s="561">
        <f ca="1">(IFERROR(IFERROR(VALUE(_xll.BDH(K$4,"PE_RATIO",$B135,$B135)),VALUE(_xll.BDH(K$4,"PE_RATIO",$B135+1,$B135+1))),K136))</f>
        <v>0</v>
      </c>
      <c r="L135" s="561">
        <f ca="1">(IFERROR(IFERROR(VALUE(_xll.BDH(L$4,"PE_RATIO",$B135,$B135)),VALUE(_xll.BDH(L$4,"PE_RATIO",$B135+1,$B135+1))),L136))</f>
        <v>0</v>
      </c>
      <c r="M135" s="561">
        <f ca="1">(IFERROR(IFERROR(VALUE(_xll.BDH(M$4,"PE_RATIO",$B135,$B135)),VALUE(_xll.BDH(M$4,"PE_RATIO",$B135+1,$B135+1))),M136))</f>
        <v>0</v>
      </c>
      <c r="N135" s="561">
        <f ca="1">(IFERROR(IFERROR(VALUE(_xll.BDH(N$4,"PE_RATIO",$B135,$B135)),VALUE(_xll.BDH(N$4,"PE_RATIO",$B135+1,$B135+1))),N136))</f>
        <v>0</v>
      </c>
      <c r="O135" s="561">
        <f ca="1">(IFERROR(IFERROR(VALUE(_xll.BDH(O$4,"PE_RATIO",$B135,$B135)),VALUE(_xll.BDH(O$4,"PE_RATIO",$B135+1,$B135+1))),O136))</f>
        <v>0</v>
      </c>
      <c r="P135" s="561"/>
      <c r="Q135" s="565">
        <f t="shared" ca="1" si="46"/>
        <v>45030</v>
      </c>
      <c r="R135" s="4">
        <v>55.27</v>
      </c>
      <c r="S135" s="4">
        <v>3919.29</v>
      </c>
      <c r="T135" s="4">
        <v>277.49200000000002</v>
      </c>
      <c r="U135" s="4">
        <v>0.91310094168181066</v>
      </c>
      <c r="V135" s="4">
        <v>1.0745759180103585</v>
      </c>
      <c r="W135" s="4" t="e">
        <v>#DIV/0!</v>
      </c>
      <c r="Y135" s="561">
        <f t="shared" si="47"/>
        <v>55.27</v>
      </c>
      <c r="Z135" s="4">
        <f ca="1">IFERROR(VALUE(_xll.BDH(Z$4,"PX_LAST",$Q135,$Q135)),Z136)</f>
        <v>0</v>
      </c>
      <c r="AA135" s="4">
        <f ca="1">IFERROR(VALUE(_xll.BDH(AA$4,"PX_LAST",$Q135,$Q135)),AA136)</f>
        <v>0</v>
      </c>
      <c r="AB135" s="4">
        <f ca="1">IFERROR(VALUE(_xll.BDH(AB$4,"PX_LAST",$Q135,$Q135)),AB136)</f>
        <v>0</v>
      </c>
      <c r="AC135" s="4">
        <f ca="1">IFERROR(VALUE(_xll.BDH(AC$4,"PX_LAST",$Q135,$Q135)),AC136)</f>
        <v>0</v>
      </c>
      <c r="AD135" s="4">
        <f ca="1">IFERROR(VALUE(_xll.BDH(AD$4,"PX_LAST",$Q135,$Q135)),AD136)</f>
        <v>0</v>
      </c>
      <c r="AF135" s="4">
        <f t="shared" si="48"/>
        <v>0.91310094168181066</v>
      </c>
      <c r="AG135" s="4" t="e">
        <f t="shared" ca="1" si="49"/>
        <v>#DIV/0!</v>
      </c>
      <c r="AH135" s="4" t="e">
        <f t="shared" ca="1" si="50"/>
        <v>#DIV/0!</v>
      </c>
      <c r="AI135" s="4" t="e">
        <f t="shared" ca="1" si="51"/>
        <v>#DIV/0!</v>
      </c>
      <c r="AJ135" s="4" t="e">
        <f t="shared" ca="1" si="52"/>
        <v>#DIV/0!</v>
      </c>
      <c r="AK135" s="4" t="e">
        <f t="shared" ca="1" si="53"/>
        <v>#DIV/0!</v>
      </c>
      <c r="AM135" s="563">
        <f t="shared" ca="1" si="54"/>
        <v>45809</v>
      </c>
      <c r="AN135" s="564">
        <v>92.48</v>
      </c>
      <c r="AO135" s="564">
        <v>998456</v>
      </c>
      <c r="AP135" s="564">
        <v>44245.955000000002</v>
      </c>
      <c r="AQ135" s="564">
        <v>4091865.9184000003</v>
      </c>
      <c r="AR135" s="564">
        <v>1.1874</v>
      </c>
    </row>
    <row r="136" spans="2:44">
      <c r="B136" s="565">
        <f t="shared" ca="1" si="55"/>
        <v>45023</v>
      </c>
      <c r="C136" s="561">
        <f ca="1">(IFERROR(IFERROR(VALUE(_xll.BDH(C$4,"CURRENT_EV_TO_T12M_EBITDA",$B136,$B136)),VALUE(_xll.BDH(C$4,"CURRENT_EV_TO_T12M_EBITDA",$B136+1,$B136+1))),C137))</f>
        <v>0</v>
      </c>
      <c r="D136" s="561">
        <f ca="1">(IFERROR(IFERROR(VALUE(_xll.BDH(D$4,"CURRENT_EV_TO_T12M_EBITDA",$B136,$B136)),VALUE(_xll.BDH(D$4,"CURRENT_EV_TO_T12M_EBITDA",$B136+1,$B136+1))),D137))</f>
        <v>0</v>
      </c>
      <c r="E136" s="561">
        <f ca="1">(IFERROR(IFERROR(VALUE(_xll.BDH(E$4,"CURRENT_EV_TO_T12M_EBITDA",$B136,$B136)),VALUE(_xll.BDH(E$4,"CURRENT_EV_TO_T12M_EBITDA",$B136+1,$B136+1))),E137))</f>
        <v>0</v>
      </c>
      <c r="F136" s="561">
        <f ca="1">(IFERROR(IFERROR(VALUE(_xll.BDH(F$4,"CURRENT_EV_TO_T12M_EBITDA",$B136,$B136)),VALUE(_xll.BDH(F$4,"CURRENT_EV_TO_T12M_EBITDA",$B136+1,$B136+1))),F137))</f>
        <v>0</v>
      </c>
      <c r="G136" s="561">
        <f ca="1">(IFERROR(IFERROR(VALUE(_xll.BDH(G$4,"CURRENT_EV_TO_T12M_EBITDA",$B136,$B136)),VALUE(_xll.BDH(G$4,"CURRENT_EV_TO_T12M_EBITDA",$B136+1,$B136+1))),G137))</f>
        <v>0</v>
      </c>
      <c r="H136" s="561">
        <f ca="1">(IFERROR(IFERROR(VALUE(_xll.BDH(H$4,"CURRENT_EV_TO_T12M_EBITDA",$B136,$B136)),VALUE(_xll.BDH(H$4,"CURRENT_EV_TO_T12M_EBITDA",$B136+1,$B136+1))),H137))</f>
        <v>0</v>
      </c>
      <c r="I136" s="565">
        <f t="shared" ca="1" si="45"/>
        <v>45023</v>
      </c>
      <c r="J136" s="561">
        <f ca="1">(IFERROR(IFERROR(VALUE(_xll.BDH(J$4,"PE_RATIO",$B136,$B136)),VALUE(_xll.BDH(J$4,"PE_RATIO",$B136+1,$B136+1))),J137))</f>
        <v>0</v>
      </c>
      <c r="K136" s="561">
        <f ca="1">(IFERROR(IFERROR(VALUE(_xll.BDH(K$4,"PE_RATIO",$B136,$B136)),VALUE(_xll.BDH(K$4,"PE_RATIO",$B136+1,$B136+1))),K137))</f>
        <v>0</v>
      </c>
      <c r="L136" s="561">
        <f ca="1">(IFERROR(IFERROR(VALUE(_xll.BDH(L$4,"PE_RATIO",$B136,$B136)),VALUE(_xll.BDH(L$4,"PE_RATIO",$B136+1,$B136+1))),L137))</f>
        <v>0</v>
      </c>
      <c r="M136" s="561">
        <f ca="1">(IFERROR(IFERROR(VALUE(_xll.BDH(M$4,"PE_RATIO",$B136,$B136)),VALUE(_xll.BDH(M$4,"PE_RATIO",$B136+1,$B136+1))),M137))</f>
        <v>0</v>
      </c>
      <c r="N136" s="561">
        <f ca="1">(IFERROR(IFERROR(VALUE(_xll.BDH(N$4,"PE_RATIO",$B136,$B136)),VALUE(_xll.BDH(N$4,"PE_RATIO",$B136+1,$B136+1))),N137))</f>
        <v>0</v>
      </c>
      <c r="O136" s="561">
        <f ca="1">(IFERROR(IFERROR(VALUE(_xll.BDH(O$4,"PE_RATIO",$B136,$B136)),VALUE(_xll.BDH(O$4,"PE_RATIO",$B136+1,$B136+1))),O137))</f>
        <v>0</v>
      </c>
      <c r="P136" s="561"/>
      <c r="Q136" s="565">
        <f t="shared" ca="1" si="46"/>
        <v>45023</v>
      </c>
      <c r="R136" s="4">
        <v>56.26</v>
      </c>
      <c r="S136" s="4">
        <v>3986.37</v>
      </c>
      <c r="T136" s="4">
        <v>277.49200000000002</v>
      </c>
      <c r="U136" s="4">
        <v>0.92945646786717329</v>
      </c>
      <c r="V136" s="4">
        <v>1.0929676554373247</v>
      </c>
      <c r="W136" s="4" t="e">
        <v>#DIV/0!</v>
      </c>
      <c r="Y136" s="561">
        <f t="shared" si="47"/>
        <v>56.26</v>
      </c>
      <c r="Z136" s="4">
        <f ca="1">IFERROR(VALUE(_xll.BDH(Z$4,"PX_LAST",$Q136,$Q136)),Z137)</f>
        <v>0</v>
      </c>
      <c r="AA136" s="4">
        <f ca="1">IFERROR(VALUE(_xll.BDH(AA$4,"PX_LAST",$Q136,$Q136)),AA137)</f>
        <v>0</v>
      </c>
      <c r="AB136" s="4">
        <f ca="1">IFERROR(VALUE(_xll.BDH(AB$4,"PX_LAST",$Q136,$Q136)),AB137)</f>
        <v>0</v>
      </c>
      <c r="AC136" s="4">
        <f ca="1">IFERROR(VALUE(_xll.BDH(AC$4,"PX_LAST",$Q136,$Q136)),AC137)</f>
        <v>0</v>
      </c>
      <c r="AD136" s="4">
        <f ca="1">IFERROR(VALUE(_xll.BDH(AD$4,"PX_LAST",$Q136,$Q136)),AD137)</f>
        <v>0</v>
      </c>
      <c r="AF136" s="4">
        <f t="shared" si="48"/>
        <v>0.92945646786717329</v>
      </c>
      <c r="AG136" s="4" t="e">
        <f t="shared" ca="1" si="49"/>
        <v>#DIV/0!</v>
      </c>
      <c r="AH136" s="4" t="e">
        <f t="shared" ca="1" si="50"/>
        <v>#DIV/0!</v>
      </c>
      <c r="AI136" s="4" t="e">
        <f t="shared" ca="1" si="51"/>
        <v>#DIV/0!</v>
      </c>
      <c r="AJ136" s="4" t="e">
        <f t="shared" ca="1" si="52"/>
        <v>#DIV/0!</v>
      </c>
      <c r="AK136" s="4" t="e">
        <f t="shared" ca="1" si="53"/>
        <v>#DIV/0!</v>
      </c>
      <c r="AM136" s="563">
        <f t="shared" ca="1" si="54"/>
        <v>45808</v>
      </c>
      <c r="AN136" s="564">
        <v>93.37</v>
      </c>
      <c r="AO136" s="564">
        <v>1209155</v>
      </c>
      <c r="AP136" s="564">
        <v>44245.955000000002</v>
      </c>
      <c r="AQ136" s="564">
        <v>4131244.8183500003</v>
      </c>
      <c r="AR136" s="564">
        <v>1.1988000000000001</v>
      </c>
    </row>
    <row r="137" spans="2:44">
      <c r="B137" s="565">
        <f t="shared" ca="1" si="55"/>
        <v>45016</v>
      </c>
      <c r="C137" s="561">
        <f ca="1">(IFERROR(IFERROR(VALUE(_xll.BDH(C$4,"CURRENT_EV_TO_T12M_EBITDA",$B137,$B137)),VALUE(_xll.BDH(C$4,"CURRENT_EV_TO_T12M_EBITDA",$B137+1,$B137+1))),C138))</f>
        <v>0</v>
      </c>
      <c r="D137" s="561">
        <f ca="1">(IFERROR(IFERROR(VALUE(_xll.BDH(D$4,"CURRENT_EV_TO_T12M_EBITDA",$B137,$B137)),VALUE(_xll.BDH(D$4,"CURRENT_EV_TO_T12M_EBITDA",$B137+1,$B137+1))),D138))</f>
        <v>0</v>
      </c>
      <c r="E137" s="561">
        <f ca="1">(IFERROR(IFERROR(VALUE(_xll.BDH(E$4,"CURRENT_EV_TO_T12M_EBITDA",$B137,$B137)),VALUE(_xll.BDH(E$4,"CURRENT_EV_TO_T12M_EBITDA",$B137+1,$B137+1))),E138))</f>
        <v>0</v>
      </c>
      <c r="F137" s="561">
        <f ca="1">(IFERROR(IFERROR(VALUE(_xll.BDH(F$4,"CURRENT_EV_TO_T12M_EBITDA",$B137,$B137)),VALUE(_xll.BDH(F$4,"CURRENT_EV_TO_T12M_EBITDA",$B137+1,$B137+1))),F138))</f>
        <v>0</v>
      </c>
      <c r="G137" s="561">
        <f ca="1">(IFERROR(IFERROR(VALUE(_xll.BDH(G$4,"CURRENT_EV_TO_T12M_EBITDA",$B137,$B137)),VALUE(_xll.BDH(G$4,"CURRENT_EV_TO_T12M_EBITDA",$B137+1,$B137+1))),G138))</f>
        <v>0</v>
      </c>
      <c r="H137" s="561">
        <f ca="1">(IFERROR(IFERROR(VALUE(_xll.BDH(H$4,"CURRENT_EV_TO_T12M_EBITDA",$B137,$B137)),VALUE(_xll.BDH(H$4,"CURRENT_EV_TO_T12M_EBITDA",$B137+1,$B137+1))),H138))</f>
        <v>0</v>
      </c>
      <c r="I137" s="565">
        <f t="shared" ca="1" si="45"/>
        <v>45016</v>
      </c>
      <c r="J137" s="561">
        <f ca="1">(IFERROR(IFERROR(VALUE(_xll.BDH(J$4,"PE_RATIO",$B137,$B137)),VALUE(_xll.BDH(J$4,"PE_RATIO",$B137+1,$B137+1))),J138))</f>
        <v>0</v>
      </c>
      <c r="K137" s="561">
        <f ca="1">(IFERROR(IFERROR(VALUE(_xll.BDH(K$4,"PE_RATIO",$B137,$B137)),VALUE(_xll.BDH(K$4,"PE_RATIO",$B137+1,$B137+1))),K138))</f>
        <v>0</v>
      </c>
      <c r="L137" s="561">
        <f ca="1">(IFERROR(IFERROR(VALUE(_xll.BDH(L$4,"PE_RATIO",$B137,$B137)),VALUE(_xll.BDH(L$4,"PE_RATIO",$B137+1,$B137+1))),L138))</f>
        <v>0</v>
      </c>
      <c r="M137" s="561">
        <f ca="1">(IFERROR(IFERROR(VALUE(_xll.BDH(M$4,"PE_RATIO",$B137,$B137)),VALUE(_xll.BDH(M$4,"PE_RATIO",$B137+1,$B137+1))),M138))</f>
        <v>0</v>
      </c>
      <c r="N137" s="561">
        <f ca="1">(IFERROR(IFERROR(VALUE(_xll.BDH(N$4,"PE_RATIO",$B137,$B137)),VALUE(_xll.BDH(N$4,"PE_RATIO",$B137+1,$B137+1))),N138))</f>
        <v>0</v>
      </c>
      <c r="O137" s="561">
        <f ca="1">(IFERROR(IFERROR(VALUE(_xll.BDH(O$4,"PE_RATIO",$B137,$B137)),VALUE(_xll.BDH(O$4,"PE_RATIO",$B137+1,$B137+1))),O138))</f>
        <v>0</v>
      </c>
      <c r="P137" s="561"/>
      <c r="Q137" s="565">
        <f t="shared" ca="1" si="46"/>
        <v>45016</v>
      </c>
      <c r="R137" s="4">
        <v>56.8</v>
      </c>
      <c r="S137" s="4">
        <v>3970.15</v>
      </c>
      <c r="T137" s="4">
        <v>277.49200000000002</v>
      </c>
      <c r="U137" s="4">
        <v>0.93837766396828015</v>
      </c>
      <c r="V137" s="4">
        <v>1.0885205179736188</v>
      </c>
      <c r="W137" s="4" t="e">
        <v>#DIV/0!</v>
      </c>
      <c r="Y137" s="561">
        <f t="shared" si="47"/>
        <v>56.8</v>
      </c>
      <c r="Z137" s="4">
        <f ca="1">IFERROR(VALUE(_xll.BDH(Z$4,"PX_LAST",$Q137,$Q137)),Z138)</f>
        <v>0</v>
      </c>
      <c r="AA137" s="4">
        <f ca="1">IFERROR(VALUE(_xll.BDH(AA$4,"PX_LAST",$Q137,$Q137)),AA138)</f>
        <v>0</v>
      </c>
      <c r="AB137" s="4">
        <f ca="1">IFERROR(VALUE(_xll.BDH(AB$4,"PX_LAST",$Q137,$Q137)),AB138)</f>
        <v>0</v>
      </c>
      <c r="AC137" s="4">
        <f ca="1">IFERROR(VALUE(_xll.BDH(AC$4,"PX_LAST",$Q137,$Q137)),AC138)</f>
        <v>0</v>
      </c>
      <c r="AD137" s="4">
        <f ca="1">IFERROR(VALUE(_xll.BDH(AD$4,"PX_LAST",$Q137,$Q137)),AD138)</f>
        <v>0</v>
      </c>
      <c r="AF137" s="4">
        <f t="shared" si="48"/>
        <v>0.93837766396828015</v>
      </c>
      <c r="AG137" s="4" t="e">
        <f t="shared" ca="1" si="49"/>
        <v>#DIV/0!</v>
      </c>
      <c r="AH137" s="4" t="e">
        <f t="shared" ca="1" si="50"/>
        <v>#DIV/0!</v>
      </c>
      <c r="AI137" s="4" t="e">
        <f t="shared" ca="1" si="51"/>
        <v>#DIV/0!</v>
      </c>
      <c r="AJ137" s="4" t="e">
        <f t="shared" ca="1" si="52"/>
        <v>#DIV/0!</v>
      </c>
      <c r="AK137" s="4" t="e">
        <f t="shared" ca="1" si="53"/>
        <v>#DIV/0!</v>
      </c>
      <c r="AM137" s="563">
        <f t="shared" ca="1" si="54"/>
        <v>45807</v>
      </c>
      <c r="AN137" s="564">
        <v>96.84</v>
      </c>
      <c r="AO137" s="564">
        <v>936915</v>
      </c>
      <c r="AP137" s="564">
        <v>44245.955000000002</v>
      </c>
      <c r="AQ137" s="564">
        <v>4284778.2822000002</v>
      </c>
      <c r="AR137" s="564">
        <v>1.2433000000000001</v>
      </c>
    </row>
    <row r="138" spans="2:44">
      <c r="B138" s="565">
        <f t="shared" ca="1" si="55"/>
        <v>45009</v>
      </c>
      <c r="C138" s="561">
        <f ca="1">(IFERROR(IFERROR(VALUE(_xll.BDH(C$4,"CURRENT_EV_TO_T12M_EBITDA",$B138,$B138)),VALUE(_xll.BDH(C$4,"CURRENT_EV_TO_T12M_EBITDA",$B138+1,$B138+1))),C139))</f>
        <v>0</v>
      </c>
      <c r="D138" s="561">
        <f ca="1">(IFERROR(IFERROR(VALUE(_xll.BDH(D$4,"CURRENT_EV_TO_T12M_EBITDA",$B138,$B138)),VALUE(_xll.BDH(D$4,"CURRENT_EV_TO_T12M_EBITDA",$B138+1,$B138+1))),D139))</f>
        <v>0</v>
      </c>
      <c r="E138" s="561">
        <f ca="1">(IFERROR(IFERROR(VALUE(_xll.BDH(E$4,"CURRENT_EV_TO_T12M_EBITDA",$B138,$B138)),VALUE(_xll.BDH(E$4,"CURRENT_EV_TO_T12M_EBITDA",$B138+1,$B138+1))),E139))</f>
        <v>0</v>
      </c>
      <c r="F138" s="561">
        <f ca="1">(IFERROR(IFERROR(VALUE(_xll.BDH(F$4,"CURRENT_EV_TO_T12M_EBITDA",$B138,$B138)),VALUE(_xll.BDH(F$4,"CURRENT_EV_TO_T12M_EBITDA",$B138+1,$B138+1))),F139))</f>
        <v>0</v>
      </c>
      <c r="G138" s="561">
        <f ca="1">(IFERROR(IFERROR(VALUE(_xll.BDH(G$4,"CURRENT_EV_TO_T12M_EBITDA",$B138,$B138)),VALUE(_xll.BDH(G$4,"CURRENT_EV_TO_T12M_EBITDA",$B138+1,$B138+1))),G139))</f>
        <v>0</v>
      </c>
      <c r="H138" s="561">
        <f ca="1">(IFERROR(IFERROR(VALUE(_xll.BDH(H$4,"CURRENT_EV_TO_T12M_EBITDA",$B138,$B138)),VALUE(_xll.BDH(H$4,"CURRENT_EV_TO_T12M_EBITDA",$B138+1,$B138+1))),H139))</f>
        <v>0</v>
      </c>
      <c r="I138" s="565">
        <f t="shared" ca="1" si="45"/>
        <v>45009</v>
      </c>
      <c r="J138" s="561">
        <f ca="1">(IFERROR(IFERROR(VALUE(_xll.BDH(J$4,"PE_RATIO",$B138,$B138)),VALUE(_xll.BDH(J$4,"PE_RATIO",$B138+1,$B138+1))),J139))</f>
        <v>0</v>
      </c>
      <c r="K138" s="561">
        <f ca="1">(IFERROR(IFERROR(VALUE(_xll.BDH(K$4,"PE_RATIO",$B138,$B138)),VALUE(_xll.BDH(K$4,"PE_RATIO",$B138+1,$B138+1))),K139))</f>
        <v>0</v>
      </c>
      <c r="L138" s="561">
        <f ca="1">(IFERROR(IFERROR(VALUE(_xll.BDH(L$4,"PE_RATIO",$B138,$B138)),VALUE(_xll.BDH(L$4,"PE_RATIO",$B138+1,$B138+1))),L139))</f>
        <v>0</v>
      </c>
      <c r="M138" s="561">
        <f ca="1">(IFERROR(IFERROR(VALUE(_xll.BDH(M$4,"PE_RATIO",$B138,$B138)),VALUE(_xll.BDH(M$4,"PE_RATIO",$B138+1,$B138+1))),M139))</f>
        <v>0</v>
      </c>
      <c r="N138" s="561">
        <f ca="1">(IFERROR(IFERROR(VALUE(_xll.BDH(N$4,"PE_RATIO",$B138,$B138)),VALUE(_xll.BDH(N$4,"PE_RATIO",$B138+1,$B138+1))),N139))</f>
        <v>0</v>
      </c>
      <c r="O138" s="561">
        <f ca="1">(IFERROR(IFERROR(VALUE(_xll.BDH(O$4,"PE_RATIO",$B138,$B138)),VALUE(_xll.BDH(O$4,"PE_RATIO",$B138+1,$B138+1))),O139))</f>
        <v>0</v>
      </c>
      <c r="P138" s="561"/>
      <c r="Q138" s="565">
        <f t="shared" ca="1" si="46"/>
        <v>45009</v>
      </c>
      <c r="R138" s="4">
        <v>59.5</v>
      </c>
      <c r="S138" s="4">
        <v>3997.34</v>
      </c>
      <c r="T138" s="4">
        <v>352.88400000000001</v>
      </c>
      <c r="U138" s="4">
        <v>0.98298364447381459</v>
      </c>
      <c r="V138" s="4">
        <v>1.0959753680129631</v>
      </c>
      <c r="W138" s="4" t="e">
        <v>#DIV/0!</v>
      </c>
      <c r="Y138" s="561">
        <f t="shared" si="47"/>
        <v>59.5</v>
      </c>
      <c r="Z138" s="4">
        <f ca="1">IFERROR(VALUE(_xll.BDH(Z$4,"PX_LAST",$Q138,$Q138)),Z139)</f>
        <v>0</v>
      </c>
      <c r="AA138" s="4">
        <f ca="1">IFERROR(VALUE(_xll.BDH(AA$4,"PX_LAST",$Q138,$Q138)),AA139)</f>
        <v>0</v>
      </c>
      <c r="AB138" s="4">
        <f ca="1">IFERROR(VALUE(_xll.BDH(AB$4,"PX_LAST",$Q138,$Q138)),AB139)</f>
        <v>0</v>
      </c>
      <c r="AC138" s="4">
        <f ca="1">IFERROR(VALUE(_xll.BDH(AC$4,"PX_LAST",$Q138,$Q138)),AC139)</f>
        <v>0</v>
      </c>
      <c r="AD138" s="4">
        <f ca="1">IFERROR(VALUE(_xll.BDH(AD$4,"PX_LAST",$Q138,$Q138)),AD139)</f>
        <v>0</v>
      </c>
      <c r="AF138" s="4">
        <f t="shared" si="48"/>
        <v>0.98298364447381459</v>
      </c>
      <c r="AG138" s="4" t="e">
        <f t="shared" ca="1" si="49"/>
        <v>#DIV/0!</v>
      </c>
      <c r="AH138" s="4" t="e">
        <f t="shared" ca="1" si="50"/>
        <v>#DIV/0!</v>
      </c>
      <c r="AI138" s="4" t="e">
        <f t="shared" ca="1" si="51"/>
        <v>#DIV/0!</v>
      </c>
      <c r="AJ138" s="4" t="e">
        <f t="shared" ca="1" si="52"/>
        <v>#DIV/0!</v>
      </c>
      <c r="AK138" s="4" t="e">
        <f t="shared" ca="1" si="53"/>
        <v>#DIV/0!</v>
      </c>
      <c r="AM138" s="563">
        <f t="shared" ca="1" si="54"/>
        <v>45806</v>
      </c>
      <c r="AN138" s="564">
        <v>95.5</v>
      </c>
      <c r="AO138" s="564">
        <v>982706</v>
      </c>
      <c r="AP138" s="564">
        <v>44245.955000000002</v>
      </c>
      <c r="AQ138" s="564">
        <v>4225488.7025000006</v>
      </c>
      <c r="AR138" s="564">
        <v>1.2261</v>
      </c>
    </row>
    <row r="139" spans="2:44">
      <c r="B139" s="565">
        <f t="shared" ca="1" si="55"/>
        <v>45002</v>
      </c>
      <c r="C139" s="561">
        <f ca="1">(IFERROR(IFERROR(VALUE(_xll.BDH(C$4,"CURRENT_EV_TO_T12M_EBITDA",$B139,$B139)),VALUE(_xll.BDH(C$4,"CURRENT_EV_TO_T12M_EBITDA",$B139+1,$B139+1))),C140))</f>
        <v>0</v>
      </c>
      <c r="D139" s="561">
        <f ca="1">(IFERROR(IFERROR(VALUE(_xll.BDH(D$4,"CURRENT_EV_TO_T12M_EBITDA",$B139,$B139)),VALUE(_xll.BDH(D$4,"CURRENT_EV_TO_T12M_EBITDA",$B139+1,$B139+1))),D140))</f>
        <v>0</v>
      </c>
      <c r="E139" s="561">
        <f ca="1">(IFERROR(IFERROR(VALUE(_xll.BDH(E$4,"CURRENT_EV_TO_T12M_EBITDA",$B139,$B139)),VALUE(_xll.BDH(E$4,"CURRENT_EV_TO_T12M_EBITDA",$B139+1,$B139+1))),E140))</f>
        <v>0</v>
      </c>
      <c r="F139" s="561">
        <f ca="1">(IFERROR(IFERROR(VALUE(_xll.BDH(F$4,"CURRENT_EV_TO_T12M_EBITDA",$B139,$B139)),VALUE(_xll.BDH(F$4,"CURRENT_EV_TO_T12M_EBITDA",$B139+1,$B139+1))),F140))</f>
        <v>0</v>
      </c>
      <c r="G139" s="561">
        <f ca="1">(IFERROR(IFERROR(VALUE(_xll.BDH(G$4,"CURRENT_EV_TO_T12M_EBITDA",$B139,$B139)),VALUE(_xll.BDH(G$4,"CURRENT_EV_TO_T12M_EBITDA",$B139+1,$B139+1))),G140))</f>
        <v>0</v>
      </c>
      <c r="H139" s="561">
        <f ca="1">(IFERROR(IFERROR(VALUE(_xll.BDH(H$4,"CURRENT_EV_TO_T12M_EBITDA",$B139,$B139)),VALUE(_xll.BDH(H$4,"CURRENT_EV_TO_T12M_EBITDA",$B139+1,$B139+1))),H140))</f>
        <v>0</v>
      </c>
      <c r="I139" s="565">
        <f t="shared" ca="1" si="45"/>
        <v>45002</v>
      </c>
      <c r="J139" s="561">
        <f ca="1">(IFERROR(IFERROR(VALUE(_xll.BDH(J$4,"PE_RATIO",$B139,$B139)),VALUE(_xll.BDH(J$4,"PE_RATIO",$B139+1,$B139+1))),J140))</f>
        <v>0</v>
      </c>
      <c r="K139" s="561">
        <f ca="1">(IFERROR(IFERROR(VALUE(_xll.BDH(K$4,"PE_RATIO",$B139,$B139)),VALUE(_xll.BDH(K$4,"PE_RATIO",$B139+1,$B139+1))),K140))</f>
        <v>0</v>
      </c>
      <c r="L139" s="561">
        <f ca="1">(IFERROR(IFERROR(VALUE(_xll.BDH(L$4,"PE_RATIO",$B139,$B139)),VALUE(_xll.BDH(L$4,"PE_RATIO",$B139+1,$B139+1))),L140))</f>
        <v>0</v>
      </c>
      <c r="M139" s="561">
        <f ca="1">(IFERROR(IFERROR(VALUE(_xll.BDH(M$4,"PE_RATIO",$B139,$B139)),VALUE(_xll.BDH(M$4,"PE_RATIO",$B139+1,$B139+1))),M140))</f>
        <v>0</v>
      </c>
      <c r="N139" s="561">
        <f ca="1">(IFERROR(IFERROR(VALUE(_xll.BDH(N$4,"PE_RATIO",$B139,$B139)),VALUE(_xll.BDH(N$4,"PE_RATIO",$B139+1,$B139+1))),N140))</f>
        <v>0</v>
      </c>
      <c r="O139" s="561">
        <f ca="1">(IFERROR(IFERROR(VALUE(_xll.BDH(O$4,"PE_RATIO",$B139,$B139)),VALUE(_xll.BDH(O$4,"PE_RATIO",$B139+1,$B139+1))),O140))</f>
        <v>0</v>
      </c>
      <c r="P139" s="561"/>
      <c r="Q139" s="565">
        <f t="shared" ca="1" si="46"/>
        <v>45002</v>
      </c>
      <c r="R139" s="4">
        <v>54.96</v>
      </c>
      <c r="S139" s="4">
        <v>4136.13</v>
      </c>
      <c r="T139" s="4">
        <v>352.88400000000001</v>
      </c>
      <c r="U139" s="4">
        <v>0.90797951429043444</v>
      </c>
      <c r="V139" s="4">
        <v>1.1340282785300868</v>
      </c>
      <c r="W139" s="4" t="e">
        <v>#DIV/0!</v>
      </c>
      <c r="Y139" s="561">
        <f t="shared" si="47"/>
        <v>54.96</v>
      </c>
      <c r="Z139" s="4">
        <f ca="1">IFERROR(VALUE(_xll.BDH(Z$4,"PX_LAST",$Q139,$Q139)),Z140)</f>
        <v>0</v>
      </c>
      <c r="AA139" s="4">
        <f ca="1">IFERROR(VALUE(_xll.BDH(AA$4,"PX_LAST",$Q139,$Q139)),AA140)</f>
        <v>0</v>
      </c>
      <c r="AB139" s="4">
        <f ca="1">IFERROR(VALUE(_xll.BDH(AB$4,"PX_LAST",$Q139,$Q139)),AB140)</f>
        <v>0</v>
      </c>
      <c r="AC139" s="4">
        <f ca="1">IFERROR(VALUE(_xll.BDH(AC$4,"PX_LAST",$Q139,$Q139)),AC140)</f>
        <v>0</v>
      </c>
      <c r="AD139" s="4">
        <f ca="1">IFERROR(VALUE(_xll.BDH(AD$4,"PX_LAST",$Q139,$Q139)),AD140)</f>
        <v>0</v>
      </c>
      <c r="AF139" s="4">
        <f t="shared" si="48"/>
        <v>0.90797951429043444</v>
      </c>
      <c r="AG139" s="4" t="e">
        <f t="shared" ca="1" si="49"/>
        <v>#DIV/0!</v>
      </c>
      <c r="AH139" s="4" t="e">
        <f t="shared" ca="1" si="50"/>
        <v>#DIV/0!</v>
      </c>
      <c r="AI139" s="4" t="e">
        <f t="shared" ca="1" si="51"/>
        <v>#DIV/0!</v>
      </c>
      <c r="AJ139" s="4" t="e">
        <f t="shared" ca="1" si="52"/>
        <v>#DIV/0!</v>
      </c>
      <c r="AK139" s="4" t="e">
        <f t="shared" ca="1" si="53"/>
        <v>#DIV/0!</v>
      </c>
      <c r="AM139" s="563">
        <f t="shared" ca="1" si="54"/>
        <v>45805</v>
      </c>
      <c r="AN139" s="564">
        <v>94.81</v>
      </c>
      <c r="AO139" s="564">
        <v>775620</v>
      </c>
      <c r="AP139" s="564">
        <v>44245.955000000002</v>
      </c>
      <c r="AQ139" s="564">
        <v>4194958.9935500007</v>
      </c>
      <c r="AR139" s="564">
        <v>1.2173</v>
      </c>
    </row>
    <row r="140" spans="2:44">
      <c r="B140" s="565">
        <f t="shared" ca="1" si="55"/>
        <v>44995</v>
      </c>
      <c r="C140" s="561">
        <f ca="1">(IFERROR(IFERROR(VALUE(_xll.BDH(C$4,"CURRENT_EV_TO_T12M_EBITDA",$B140,$B140)),VALUE(_xll.BDH(C$4,"CURRENT_EV_TO_T12M_EBITDA",$B140+1,$B140+1))),C141))</f>
        <v>0</v>
      </c>
      <c r="D140" s="561">
        <f ca="1">(IFERROR(IFERROR(VALUE(_xll.BDH(D$4,"CURRENT_EV_TO_T12M_EBITDA",$B140,$B140)),VALUE(_xll.BDH(D$4,"CURRENT_EV_TO_T12M_EBITDA",$B140+1,$B140+1))),D141))</f>
        <v>0</v>
      </c>
      <c r="E140" s="561">
        <f ca="1">(IFERROR(IFERROR(VALUE(_xll.BDH(E$4,"CURRENT_EV_TO_T12M_EBITDA",$B140,$B140)),VALUE(_xll.BDH(E$4,"CURRENT_EV_TO_T12M_EBITDA",$B140+1,$B140+1))),E141))</f>
        <v>0</v>
      </c>
      <c r="F140" s="561">
        <f ca="1">(IFERROR(IFERROR(VALUE(_xll.BDH(F$4,"CURRENT_EV_TO_T12M_EBITDA",$B140,$B140)),VALUE(_xll.BDH(F$4,"CURRENT_EV_TO_T12M_EBITDA",$B140+1,$B140+1))),F141))</f>
        <v>0</v>
      </c>
      <c r="G140" s="561">
        <f ca="1">(IFERROR(IFERROR(VALUE(_xll.BDH(G$4,"CURRENT_EV_TO_T12M_EBITDA",$B140,$B140)),VALUE(_xll.BDH(G$4,"CURRENT_EV_TO_T12M_EBITDA",$B140+1,$B140+1))),G141))</f>
        <v>0</v>
      </c>
      <c r="H140" s="561">
        <f ca="1">(IFERROR(IFERROR(VALUE(_xll.BDH(H$4,"CURRENT_EV_TO_T12M_EBITDA",$B140,$B140)),VALUE(_xll.BDH(H$4,"CURRENT_EV_TO_T12M_EBITDA",$B140+1,$B140+1))),H141))</f>
        <v>0</v>
      </c>
      <c r="I140" s="565">
        <f t="shared" ca="1" si="45"/>
        <v>44995</v>
      </c>
      <c r="J140" s="561">
        <f ca="1">(IFERROR(IFERROR(VALUE(_xll.BDH(J$4,"PE_RATIO",$B140,$B140)),VALUE(_xll.BDH(J$4,"PE_RATIO",$B140+1,$B140+1))),J141))</f>
        <v>0</v>
      </c>
      <c r="K140" s="561">
        <f ca="1">(IFERROR(IFERROR(VALUE(_xll.BDH(K$4,"PE_RATIO",$B140,$B140)),VALUE(_xll.BDH(K$4,"PE_RATIO",$B140+1,$B140+1))),K141))</f>
        <v>0</v>
      </c>
      <c r="L140" s="561">
        <f ca="1">(IFERROR(IFERROR(VALUE(_xll.BDH(L$4,"PE_RATIO",$B140,$B140)),VALUE(_xll.BDH(L$4,"PE_RATIO",$B140+1,$B140+1))),L141))</f>
        <v>0</v>
      </c>
      <c r="M140" s="561">
        <f ca="1">(IFERROR(IFERROR(VALUE(_xll.BDH(M$4,"PE_RATIO",$B140,$B140)),VALUE(_xll.BDH(M$4,"PE_RATIO",$B140+1,$B140+1))),M141))</f>
        <v>0</v>
      </c>
      <c r="N140" s="561">
        <f ca="1">(IFERROR(IFERROR(VALUE(_xll.BDH(N$4,"PE_RATIO",$B140,$B140)),VALUE(_xll.BDH(N$4,"PE_RATIO",$B140+1,$B140+1))),N141))</f>
        <v>0</v>
      </c>
      <c r="O140" s="561">
        <f ca="1">(IFERROR(IFERROR(VALUE(_xll.BDH(O$4,"PE_RATIO",$B140,$B140)),VALUE(_xll.BDH(O$4,"PE_RATIO",$B140+1,$B140+1))),O141))</f>
        <v>0</v>
      </c>
      <c r="P140" s="561"/>
      <c r="Q140" s="565">
        <f t="shared" ca="1" si="46"/>
        <v>44995</v>
      </c>
      <c r="R140" s="4">
        <v>54.25</v>
      </c>
      <c r="S140" s="4">
        <v>4164</v>
      </c>
      <c r="T140" s="4">
        <v>352.88400000000001</v>
      </c>
      <c r="U140" s="4">
        <v>0.896249793490831</v>
      </c>
      <c r="V140" s="4">
        <v>1.1416695683644569</v>
      </c>
      <c r="W140" s="4" t="e">
        <v>#DIV/0!</v>
      </c>
      <c r="Y140" s="561">
        <f t="shared" si="47"/>
        <v>54.25</v>
      </c>
      <c r="Z140" s="4">
        <f ca="1">IFERROR(VALUE(_xll.BDH(Z$4,"PX_LAST",$Q140,$Q140)),Z141)</f>
        <v>0</v>
      </c>
      <c r="AA140" s="4">
        <f ca="1">IFERROR(VALUE(_xll.BDH(AA$4,"PX_LAST",$Q140,$Q140)),AA141)</f>
        <v>0</v>
      </c>
      <c r="AB140" s="4">
        <f ca="1">IFERROR(VALUE(_xll.BDH(AB$4,"PX_LAST",$Q140,$Q140)),AB141)</f>
        <v>0</v>
      </c>
      <c r="AC140" s="4">
        <f ca="1">IFERROR(VALUE(_xll.BDH(AC$4,"PX_LAST",$Q140,$Q140)),AC141)</f>
        <v>0</v>
      </c>
      <c r="AD140" s="4">
        <f ca="1">IFERROR(VALUE(_xll.BDH(AD$4,"PX_LAST",$Q140,$Q140)),AD141)</f>
        <v>0</v>
      </c>
      <c r="AF140" s="4">
        <f t="shared" si="48"/>
        <v>0.896249793490831</v>
      </c>
      <c r="AG140" s="4" t="e">
        <f t="shared" ca="1" si="49"/>
        <v>#DIV/0!</v>
      </c>
      <c r="AH140" s="4" t="e">
        <f t="shared" ca="1" si="50"/>
        <v>#DIV/0!</v>
      </c>
      <c r="AI140" s="4" t="e">
        <f t="shared" ca="1" si="51"/>
        <v>#DIV/0!</v>
      </c>
      <c r="AJ140" s="4" t="e">
        <f t="shared" ca="1" si="52"/>
        <v>#DIV/0!</v>
      </c>
      <c r="AK140" s="4" t="e">
        <f t="shared" ca="1" si="53"/>
        <v>#DIV/0!</v>
      </c>
      <c r="AM140" s="563">
        <f t="shared" ca="1" si="54"/>
        <v>45804</v>
      </c>
      <c r="AN140" s="564">
        <v>94.81</v>
      </c>
      <c r="AO140" s="564">
        <v>775620</v>
      </c>
      <c r="AP140" s="564">
        <v>44245.955000000002</v>
      </c>
      <c r="AQ140" s="564">
        <v>4194958.9935500007</v>
      </c>
      <c r="AR140" s="564">
        <v>1.2173</v>
      </c>
    </row>
    <row r="141" spans="2:44">
      <c r="B141" s="565">
        <f t="shared" ca="1" si="55"/>
        <v>44988</v>
      </c>
      <c r="C141" s="561">
        <f ca="1">(IFERROR(IFERROR(VALUE(_xll.BDH(C$4,"CURRENT_EV_TO_T12M_EBITDA",$B141,$B141)),VALUE(_xll.BDH(C$4,"CURRENT_EV_TO_T12M_EBITDA",$B141+1,$B141+1))),C142))</f>
        <v>0</v>
      </c>
      <c r="D141" s="561">
        <f ca="1">(IFERROR(IFERROR(VALUE(_xll.BDH(D$4,"CURRENT_EV_TO_T12M_EBITDA",$B141,$B141)),VALUE(_xll.BDH(D$4,"CURRENT_EV_TO_T12M_EBITDA",$B141+1,$B141+1))),D142))</f>
        <v>0</v>
      </c>
      <c r="E141" s="561">
        <f ca="1">(IFERROR(IFERROR(VALUE(_xll.BDH(E$4,"CURRENT_EV_TO_T12M_EBITDA",$B141,$B141)),VALUE(_xll.BDH(E$4,"CURRENT_EV_TO_T12M_EBITDA",$B141+1,$B141+1))),E142))</f>
        <v>0</v>
      </c>
      <c r="F141" s="561">
        <f ca="1">(IFERROR(IFERROR(VALUE(_xll.BDH(F$4,"CURRENT_EV_TO_T12M_EBITDA",$B141,$B141)),VALUE(_xll.BDH(F$4,"CURRENT_EV_TO_T12M_EBITDA",$B141+1,$B141+1))),F142))</f>
        <v>0</v>
      </c>
      <c r="G141" s="561">
        <f ca="1">(IFERROR(IFERROR(VALUE(_xll.BDH(G$4,"CURRENT_EV_TO_T12M_EBITDA",$B141,$B141)),VALUE(_xll.BDH(G$4,"CURRENT_EV_TO_T12M_EBITDA",$B141+1,$B141+1))),G142))</f>
        <v>0</v>
      </c>
      <c r="H141" s="561">
        <f ca="1">(IFERROR(IFERROR(VALUE(_xll.BDH(H$4,"CURRENT_EV_TO_T12M_EBITDA",$B141,$B141)),VALUE(_xll.BDH(H$4,"CURRENT_EV_TO_T12M_EBITDA",$B141+1,$B141+1))),H142))</f>
        <v>0</v>
      </c>
      <c r="I141" s="565">
        <f t="shared" ca="1" si="45"/>
        <v>44988</v>
      </c>
      <c r="J141" s="561">
        <f ca="1">(IFERROR(IFERROR(VALUE(_xll.BDH(J$4,"PE_RATIO",$B141,$B141)),VALUE(_xll.BDH(J$4,"PE_RATIO",$B141+1,$B141+1))),J142))</f>
        <v>0</v>
      </c>
      <c r="K141" s="561">
        <f ca="1">(IFERROR(IFERROR(VALUE(_xll.BDH(K$4,"PE_RATIO",$B141,$B141)),VALUE(_xll.BDH(K$4,"PE_RATIO",$B141+1,$B141+1))),K142))</f>
        <v>0</v>
      </c>
      <c r="L141" s="561">
        <f ca="1">(IFERROR(IFERROR(VALUE(_xll.BDH(L$4,"PE_RATIO",$B141,$B141)),VALUE(_xll.BDH(L$4,"PE_RATIO",$B141+1,$B141+1))),L142))</f>
        <v>0</v>
      </c>
      <c r="M141" s="561">
        <f ca="1">(IFERROR(IFERROR(VALUE(_xll.BDH(M$4,"PE_RATIO",$B141,$B141)),VALUE(_xll.BDH(M$4,"PE_RATIO",$B141+1,$B141+1))),M142))</f>
        <v>0</v>
      </c>
      <c r="N141" s="561">
        <f ca="1">(IFERROR(IFERROR(VALUE(_xll.BDH(N$4,"PE_RATIO",$B141,$B141)),VALUE(_xll.BDH(N$4,"PE_RATIO",$B141+1,$B141+1))),N142))</f>
        <v>0</v>
      </c>
      <c r="O141" s="561">
        <f ca="1">(IFERROR(IFERROR(VALUE(_xll.BDH(O$4,"PE_RATIO",$B141,$B141)),VALUE(_xll.BDH(O$4,"PE_RATIO",$B141+1,$B141+1))),O142))</f>
        <v>0</v>
      </c>
      <c r="P141" s="561"/>
      <c r="Q141" s="565">
        <f t="shared" ca="1" si="46"/>
        <v>44988</v>
      </c>
      <c r="R141" s="4">
        <v>57.22</v>
      </c>
      <c r="S141" s="4">
        <v>4076.6</v>
      </c>
      <c r="T141" s="4">
        <v>352.88400000000001</v>
      </c>
      <c r="U141" s="4">
        <v>0.94531637204691887</v>
      </c>
      <c r="V141" s="4">
        <v>1.1177065711802461</v>
      </c>
      <c r="W141" s="4" t="e">
        <v>#DIV/0!</v>
      </c>
      <c r="Y141" s="561">
        <f t="shared" si="47"/>
        <v>57.22</v>
      </c>
      <c r="Z141" s="4">
        <f ca="1">IFERROR(VALUE(_xll.BDH(Z$4,"PX_LAST",$Q141,$Q141)),Z142)</f>
        <v>0</v>
      </c>
      <c r="AA141" s="4">
        <f ca="1">IFERROR(VALUE(_xll.BDH(AA$4,"PX_LAST",$Q141,$Q141)),AA142)</f>
        <v>0</v>
      </c>
      <c r="AB141" s="4">
        <f ca="1">IFERROR(VALUE(_xll.BDH(AB$4,"PX_LAST",$Q141,$Q141)),AB142)</f>
        <v>0</v>
      </c>
      <c r="AC141" s="4">
        <f ca="1">IFERROR(VALUE(_xll.BDH(AC$4,"PX_LAST",$Q141,$Q141)),AC142)</f>
        <v>0</v>
      </c>
      <c r="AD141" s="4">
        <f ca="1">IFERROR(VALUE(_xll.BDH(AD$4,"PX_LAST",$Q141,$Q141)),AD142)</f>
        <v>0</v>
      </c>
      <c r="AF141" s="4">
        <f t="shared" si="48"/>
        <v>0.94531637204691887</v>
      </c>
      <c r="AG141" s="4" t="e">
        <f t="shared" ca="1" si="49"/>
        <v>#DIV/0!</v>
      </c>
      <c r="AH141" s="4" t="e">
        <f t="shared" ca="1" si="50"/>
        <v>#DIV/0!</v>
      </c>
      <c r="AI141" s="4" t="e">
        <f t="shared" ca="1" si="51"/>
        <v>#DIV/0!</v>
      </c>
      <c r="AJ141" s="4" t="e">
        <f t="shared" ca="1" si="52"/>
        <v>#DIV/0!</v>
      </c>
      <c r="AK141" s="4" t="e">
        <f t="shared" ca="1" si="53"/>
        <v>#DIV/0!</v>
      </c>
      <c r="AM141" s="563">
        <f t="shared" ca="1" si="54"/>
        <v>45803</v>
      </c>
      <c r="AN141" s="564">
        <v>94.81</v>
      </c>
      <c r="AO141" s="564">
        <v>775620</v>
      </c>
      <c r="AP141" s="564">
        <v>44245.955000000002</v>
      </c>
      <c r="AQ141" s="564">
        <v>4194958.9935500007</v>
      </c>
      <c r="AR141" s="564">
        <v>1.2173</v>
      </c>
    </row>
    <row r="142" spans="2:44">
      <c r="B142" s="565">
        <f t="shared" ca="1" si="55"/>
        <v>44981</v>
      </c>
      <c r="C142" s="561">
        <f ca="1">(IFERROR(IFERROR(VALUE(_xll.BDH(C$4,"CURRENT_EV_TO_T12M_EBITDA",$B142,$B142)),VALUE(_xll.BDH(C$4,"CURRENT_EV_TO_T12M_EBITDA",$B142+1,$B142+1))),C143))</f>
        <v>0</v>
      </c>
      <c r="D142" s="561">
        <f ca="1">(IFERROR(IFERROR(VALUE(_xll.BDH(D$4,"CURRENT_EV_TO_T12M_EBITDA",$B142,$B142)),VALUE(_xll.BDH(D$4,"CURRENT_EV_TO_T12M_EBITDA",$B142+1,$B142+1))),D143))</f>
        <v>0</v>
      </c>
      <c r="E142" s="561">
        <f ca="1">(IFERROR(IFERROR(VALUE(_xll.BDH(E$4,"CURRENT_EV_TO_T12M_EBITDA",$B142,$B142)),VALUE(_xll.BDH(E$4,"CURRENT_EV_TO_T12M_EBITDA",$B142+1,$B142+1))),E143))</f>
        <v>0</v>
      </c>
      <c r="F142" s="561">
        <f ca="1">(IFERROR(IFERROR(VALUE(_xll.BDH(F$4,"CURRENT_EV_TO_T12M_EBITDA",$B142,$B142)),VALUE(_xll.BDH(F$4,"CURRENT_EV_TO_T12M_EBITDA",$B142+1,$B142+1))),F143))</f>
        <v>0</v>
      </c>
      <c r="G142" s="561">
        <f ca="1">(IFERROR(IFERROR(VALUE(_xll.BDH(G$4,"CURRENT_EV_TO_T12M_EBITDA",$B142,$B142)),VALUE(_xll.BDH(G$4,"CURRENT_EV_TO_T12M_EBITDA",$B142+1,$B142+1))),G143))</f>
        <v>0</v>
      </c>
      <c r="H142" s="561">
        <f ca="1">(IFERROR(IFERROR(VALUE(_xll.BDH(H$4,"CURRENT_EV_TO_T12M_EBITDA",$B142,$B142)),VALUE(_xll.BDH(H$4,"CURRENT_EV_TO_T12M_EBITDA",$B142+1,$B142+1))),H143))</f>
        <v>0</v>
      </c>
      <c r="I142" s="565">
        <f t="shared" ca="1" si="45"/>
        <v>44981</v>
      </c>
      <c r="J142" s="561">
        <f ca="1">(IFERROR(IFERROR(VALUE(_xll.BDH(J$4,"PE_RATIO",$B142,$B142)),VALUE(_xll.BDH(J$4,"PE_RATIO",$B142+1,$B142+1))),J143))</f>
        <v>0</v>
      </c>
      <c r="K142" s="561">
        <f ca="1">(IFERROR(IFERROR(VALUE(_xll.BDH(K$4,"PE_RATIO",$B142,$B142)),VALUE(_xll.BDH(K$4,"PE_RATIO",$B142+1,$B142+1))),K143))</f>
        <v>0</v>
      </c>
      <c r="L142" s="561">
        <f ca="1">(IFERROR(IFERROR(VALUE(_xll.BDH(L$4,"PE_RATIO",$B142,$B142)),VALUE(_xll.BDH(L$4,"PE_RATIO",$B142+1,$B142+1))),L143))</f>
        <v>0</v>
      </c>
      <c r="M142" s="561">
        <f ca="1">(IFERROR(IFERROR(VALUE(_xll.BDH(M$4,"PE_RATIO",$B142,$B142)),VALUE(_xll.BDH(M$4,"PE_RATIO",$B142+1,$B142+1))),M143))</f>
        <v>0</v>
      </c>
      <c r="N142" s="561">
        <f ca="1">(IFERROR(IFERROR(VALUE(_xll.BDH(N$4,"PE_RATIO",$B142,$B142)),VALUE(_xll.BDH(N$4,"PE_RATIO",$B142+1,$B142+1))),N143))</f>
        <v>0</v>
      </c>
      <c r="O142" s="561">
        <f ca="1">(IFERROR(IFERROR(VALUE(_xll.BDH(O$4,"PE_RATIO",$B142,$B142)),VALUE(_xll.BDH(O$4,"PE_RATIO",$B142+1,$B142+1))),O143))</f>
        <v>0</v>
      </c>
      <c r="P142" s="561"/>
      <c r="Q142" s="565">
        <f t="shared" ca="1" si="46"/>
        <v>44981</v>
      </c>
      <c r="R142" s="4">
        <v>53.73</v>
      </c>
      <c r="S142" s="4">
        <v>4016.95</v>
      </c>
      <c r="T142" s="4">
        <v>0</v>
      </c>
      <c r="U142" s="4">
        <v>0.88765901206013542</v>
      </c>
      <c r="V142" s="4">
        <v>1.1013519626901069</v>
      </c>
      <c r="W142" s="4" t="e">
        <v>#DIV/0!</v>
      </c>
      <c r="Y142" s="561">
        <f t="shared" si="47"/>
        <v>53.73</v>
      </c>
      <c r="Z142" s="4">
        <f ca="1">IFERROR(VALUE(_xll.BDH(Z$4,"PX_LAST",$Q142,$Q142)),Z143)</f>
        <v>0</v>
      </c>
      <c r="AA142" s="4">
        <f ca="1">IFERROR(VALUE(_xll.BDH(AA$4,"PX_LAST",$Q142,$Q142)),AA143)</f>
        <v>0</v>
      </c>
      <c r="AB142" s="4">
        <f ca="1">IFERROR(VALUE(_xll.BDH(AB$4,"PX_LAST",$Q142,$Q142)),AB143)</f>
        <v>0</v>
      </c>
      <c r="AC142" s="4">
        <f ca="1">IFERROR(VALUE(_xll.BDH(AC$4,"PX_LAST",$Q142,$Q142)),AC143)</f>
        <v>0</v>
      </c>
      <c r="AD142" s="4">
        <f ca="1">IFERROR(VALUE(_xll.BDH(AD$4,"PX_LAST",$Q142,$Q142)),AD143)</f>
        <v>0</v>
      </c>
      <c r="AF142" s="4">
        <f t="shared" si="48"/>
        <v>0.88765901206013542</v>
      </c>
      <c r="AG142" s="4" t="e">
        <f t="shared" ca="1" si="49"/>
        <v>#DIV/0!</v>
      </c>
      <c r="AH142" s="4" t="e">
        <f t="shared" ca="1" si="50"/>
        <v>#DIV/0!</v>
      </c>
      <c r="AI142" s="4" t="e">
        <f t="shared" ca="1" si="51"/>
        <v>#DIV/0!</v>
      </c>
      <c r="AJ142" s="4" t="e">
        <f t="shared" ca="1" si="52"/>
        <v>#DIV/0!</v>
      </c>
      <c r="AK142" s="4" t="e">
        <f t="shared" ca="1" si="53"/>
        <v>#DIV/0!</v>
      </c>
      <c r="AM142" s="563">
        <f t="shared" ca="1" si="54"/>
        <v>45802</v>
      </c>
      <c r="AN142" s="564">
        <v>92.68</v>
      </c>
      <c r="AO142" s="564">
        <v>844748</v>
      </c>
      <c r="AP142" s="564">
        <v>44245.955000000002</v>
      </c>
      <c r="AQ142" s="564">
        <v>4100715.1094000004</v>
      </c>
      <c r="AR142" s="564">
        <v>1.1899</v>
      </c>
    </row>
    <row r="143" spans="2:44">
      <c r="B143" s="565">
        <f t="shared" ca="1" si="55"/>
        <v>44974</v>
      </c>
      <c r="C143" s="561">
        <f ca="1">(IFERROR(IFERROR(VALUE(_xll.BDH(C$4,"CURRENT_EV_TO_T12M_EBITDA",$B143,$B143)),VALUE(_xll.BDH(C$4,"CURRENT_EV_TO_T12M_EBITDA",$B143+1,$B143+1))),C144))</f>
        <v>0</v>
      </c>
      <c r="D143" s="561">
        <f ca="1">(IFERROR(IFERROR(VALUE(_xll.BDH(D$4,"CURRENT_EV_TO_T12M_EBITDA",$B143,$B143)),VALUE(_xll.BDH(D$4,"CURRENT_EV_TO_T12M_EBITDA",$B143+1,$B143+1))),D144))</f>
        <v>0</v>
      </c>
      <c r="E143" s="561">
        <f ca="1">(IFERROR(IFERROR(VALUE(_xll.BDH(E$4,"CURRENT_EV_TO_T12M_EBITDA",$B143,$B143)),VALUE(_xll.BDH(E$4,"CURRENT_EV_TO_T12M_EBITDA",$B143+1,$B143+1))),E144))</f>
        <v>0</v>
      </c>
      <c r="F143" s="561">
        <f ca="1">(IFERROR(IFERROR(VALUE(_xll.BDH(F$4,"CURRENT_EV_TO_T12M_EBITDA",$B143,$B143)),VALUE(_xll.BDH(F$4,"CURRENT_EV_TO_T12M_EBITDA",$B143+1,$B143+1))),F144))</f>
        <v>0</v>
      </c>
      <c r="G143" s="561">
        <f ca="1">(IFERROR(IFERROR(VALUE(_xll.BDH(G$4,"CURRENT_EV_TO_T12M_EBITDA",$B143,$B143)),VALUE(_xll.BDH(G$4,"CURRENT_EV_TO_T12M_EBITDA",$B143+1,$B143+1))),G144))</f>
        <v>0</v>
      </c>
      <c r="H143" s="561">
        <f ca="1">(IFERROR(IFERROR(VALUE(_xll.BDH(H$4,"CURRENT_EV_TO_T12M_EBITDA",$B143,$B143)),VALUE(_xll.BDH(H$4,"CURRENT_EV_TO_T12M_EBITDA",$B143+1,$B143+1))),H144))</f>
        <v>0</v>
      </c>
      <c r="I143" s="565">
        <f t="shared" ca="1" si="45"/>
        <v>44974</v>
      </c>
      <c r="J143" s="561">
        <f ca="1">(IFERROR(IFERROR(VALUE(_xll.BDH(J$4,"PE_RATIO",$B143,$B143)),VALUE(_xll.BDH(J$4,"PE_RATIO",$B143+1,$B143+1))),J144))</f>
        <v>0</v>
      </c>
      <c r="K143" s="561">
        <f ca="1">(IFERROR(IFERROR(VALUE(_xll.BDH(K$4,"PE_RATIO",$B143,$B143)),VALUE(_xll.BDH(K$4,"PE_RATIO",$B143+1,$B143+1))),K144))</f>
        <v>0</v>
      </c>
      <c r="L143" s="561">
        <f ca="1">(IFERROR(IFERROR(VALUE(_xll.BDH(L$4,"PE_RATIO",$B143,$B143)),VALUE(_xll.BDH(L$4,"PE_RATIO",$B143+1,$B143+1))),L144))</f>
        <v>0</v>
      </c>
      <c r="M143" s="561">
        <f ca="1">(IFERROR(IFERROR(VALUE(_xll.BDH(M$4,"PE_RATIO",$B143,$B143)),VALUE(_xll.BDH(M$4,"PE_RATIO",$B143+1,$B143+1))),M144))</f>
        <v>0</v>
      </c>
      <c r="N143" s="561">
        <f ca="1">(IFERROR(IFERROR(VALUE(_xll.BDH(N$4,"PE_RATIO",$B143,$B143)),VALUE(_xll.BDH(N$4,"PE_RATIO",$B143+1,$B143+1))),N144))</f>
        <v>0</v>
      </c>
      <c r="O143" s="561">
        <f ca="1">(IFERROR(IFERROR(VALUE(_xll.BDH(O$4,"PE_RATIO",$B143,$B143)),VALUE(_xll.BDH(O$4,"PE_RATIO",$B143+1,$B143+1))),O144))</f>
        <v>0</v>
      </c>
      <c r="P143" s="561"/>
      <c r="Q143" s="565">
        <f t="shared" ca="1" si="46"/>
        <v>44974</v>
      </c>
      <c r="R143" s="4">
        <v>56.36</v>
      </c>
      <c r="S143" s="4">
        <v>3990.97</v>
      </c>
      <c r="T143" s="4">
        <v>0</v>
      </c>
      <c r="U143" s="4">
        <v>0.93110854121923015</v>
      </c>
      <c r="V143" s="4">
        <v>1.0942288658154411</v>
      </c>
      <c r="W143" s="4" t="e">
        <v>#DIV/0!</v>
      </c>
      <c r="Y143" s="561">
        <f t="shared" si="47"/>
        <v>56.36</v>
      </c>
      <c r="Z143" s="4">
        <f ca="1">IFERROR(VALUE(_xll.BDH(Z$4,"PX_LAST",$Q143,$Q143)),Z144)</f>
        <v>0</v>
      </c>
      <c r="AA143" s="4">
        <f ca="1">IFERROR(VALUE(_xll.BDH(AA$4,"PX_LAST",$Q143,$Q143)),AA144)</f>
        <v>0</v>
      </c>
      <c r="AB143" s="4">
        <f ca="1">IFERROR(VALUE(_xll.BDH(AB$4,"PX_LAST",$Q143,$Q143)),AB144)</f>
        <v>0</v>
      </c>
      <c r="AC143" s="4">
        <f ca="1">IFERROR(VALUE(_xll.BDH(AC$4,"PX_LAST",$Q143,$Q143)),AC144)</f>
        <v>0</v>
      </c>
      <c r="AD143" s="4">
        <f ca="1">IFERROR(VALUE(_xll.BDH(AD$4,"PX_LAST",$Q143,$Q143)),AD144)</f>
        <v>0</v>
      </c>
      <c r="AF143" s="4">
        <f t="shared" si="48"/>
        <v>0.93110854121923015</v>
      </c>
      <c r="AG143" s="4" t="e">
        <f t="shared" ca="1" si="49"/>
        <v>#DIV/0!</v>
      </c>
      <c r="AH143" s="4" t="e">
        <f t="shared" ca="1" si="50"/>
        <v>#DIV/0!</v>
      </c>
      <c r="AI143" s="4" t="e">
        <f t="shared" ca="1" si="51"/>
        <v>#DIV/0!</v>
      </c>
      <c r="AJ143" s="4" t="e">
        <f t="shared" ca="1" si="52"/>
        <v>#DIV/0!</v>
      </c>
      <c r="AK143" s="4" t="e">
        <f t="shared" ca="1" si="53"/>
        <v>#DIV/0!</v>
      </c>
      <c r="AM143" s="563">
        <f t="shared" ca="1" si="54"/>
        <v>45801</v>
      </c>
      <c r="AN143" s="564">
        <v>93.3</v>
      </c>
      <c r="AO143" s="564">
        <v>1363855</v>
      </c>
      <c r="AP143" s="564">
        <v>44245.955000000002</v>
      </c>
      <c r="AQ143" s="564">
        <v>4128147.6014999999</v>
      </c>
      <c r="AR143" s="564">
        <v>1.1979</v>
      </c>
    </row>
    <row r="144" spans="2:44">
      <c r="B144" s="565">
        <f t="shared" ca="1" si="55"/>
        <v>44967</v>
      </c>
      <c r="C144" s="561">
        <f ca="1">(IFERROR(IFERROR(VALUE(_xll.BDH(C$4,"CURRENT_EV_TO_T12M_EBITDA",$B144,$B144)),VALUE(_xll.BDH(C$4,"CURRENT_EV_TO_T12M_EBITDA",$B144+1,$B144+1))),C145))</f>
        <v>0</v>
      </c>
      <c r="D144" s="561">
        <f ca="1">(IFERROR(IFERROR(VALUE(_xll.BDH(D$4,"CURRENT_EV_TO_T12M_EBITDA",$B144,$B144)),VALUE(_xll.BDH(D$4,"CURRENT_EV_TO_T12M_EBITDA",$B144+1,$B144+1))),D145))</f>
        <v>0</v>
      </c>
      <c r="E144" s="561">
        <f ca="1">(IFERROR(IFERROR(VALUE(_xll.BDH(E$4,"CURRENT_EV_TO_T12M_EBITDA",$B144,$B144)),VALUE(_xll.BDH(E$4,"CURRENT_EV_TO_T12M_EBITDA",$B144+1,$B144+1))),E145))</f>
        <v>0</v>
      </c>
      <c r="F144" s="561">
        <f ca="1">(IFERROR(IFERROR(VALUE(_xll.BDH(F$4,"CURRENT_EV_TO_T12M_EBITDA",$B144,$B144)),VALUE(_xll.BDH(F$4,"CURRENT_EV_TO_T12M_EBITDA",$B144+1,$B144+1))),F145))</f>
        <v>0</v>
      </c>
      <c r="G144" s="561">
        <f ca="1">(IFERROR(IFERROR(VALUE(_xll.BDH(G$4,"CURRENT_EV_TO_T12M_EBITDA",$B144,$B144)),VALUE(_xll.BDH(G$4,"CURRENT_EV_TO_T12M_EBITDA",$B144+1,$B144+1))),G145))</f>
        <v>0</v>
      </c>
      <c r="H144" s="561">
        <f ca="1">(IFERROR(IFERROR(VALUE(_xll.BDH(H$4,"CURRENT_EV_TO_T12M_EBITDA",$B144,$B144)),VALUE(_xll.BDH(H$4,"CURRENT_EV_TO_T12M_EBITDA",$B144+1,$B144+1))),H145))</f>
        <v>0</v>
      </c>
      <c r="I144" s="565">
        <f t="shared" ca="1" si="45"/>
        <v>44967</v>
      </c>
      <c r="J144" s="561">
        <f ca="1">(IFERROR(IFERROR(VALUE(_xll.BDH(J$4,"PE_RATIO",$B144,$B144)),VALUE(_xll.BDH(J$4,"PE_RATIO",$B144+1,$B144+1))),J145))</f>
        <v>0</v>
      </c>
      <c r="K144" s="561">
        <f ca="1">(IFERROR(IFERROR(VALUE(_xll.BDH(K$4,"PE_RATIO",$B144,$B144)),VALUE(_xll.BDH(K$4,"PE_RATIO",$B144+1,$B144+1))),K145))</f>
        <v>0</v>
      </c>
      <c r="L144" s="561">
        <f ca="1">(IFERROR(IFERROR(VALUE(_xll.BDH(L$4,"PE_RATIO",$B144,$B144)),VALUE(_xll.BDH(L$4,"PE_RATIO",$B144+1,$B144+1))),L145))</f>
        <v>0</v>
      </c>
      <c r="M144" s="561">
        <f ca="1">(IFERROR(IFERROR(VALUE(_xll.BDH(M$4,"PE_RATIO",$B144,$B144)),VALUE(_xll.BDH(M$4,"PE_RATIO",$B144+1,$B144+1))),M145))</f>
        <v>0</v>
      </c>
      <c r="N144" s="561">
        <f ca="1">(IFERROR(IFERROR(VALUE(_xll.BDH(N$4,"PE_RATIO",$B144,$B144)),VALUE(_xll.BDH(N$4,"PE_RATIO",$B144+1,$B144+1))),N145))</f>
        <v>0</v>
      </c>
      <c r="O144" s="561">
        <f ca="1">(IFERROR(IFERROR(VALUE(_xll.BDH(O$4,"PE_RATIO",$B144,$B144)),VALUE(_xll.BDH(O$4,"PE_RATIO",$B144+1,$B144+1))),O145))</f>
        <v>0</v>
      </c>
      <c r="P144" s="561"/>
      <c r="Q144" s="565">
        <f t="shared" ca="1" si="46"/>
        <v>44967</v>
      </c>
      <c r="R144" s="4">
        <v>53.61</v>
      </c>
      <c r="S144" s="4">
        <v>3919.25</v>
      </c>
      <c r="T144" s="4">
        <v>0</v>
      </c>
      <c r="U144" s="4">
        <v>0.88567652403766728</v>
      </c>
      <c r="V144" s="4">
        <v>1.0745649509635922</v>
      </c>
      <c r="W144" s="4" t="e">
        <v>#DIV/0!</v>
      </c>
      <c r="Y144" s="561">
        <f t="shared" si="47"/>
        <v>53.61</v>
      </c>
      <c r="Z144" s="4">
        <f ca="1">IFERROR(VALUE(_xll.BDH(Z$4,"PX_LAST",$Q144,$Q144)),Z145)</f>
        <v>0</v>
      </c>
      <c r="AA144" s="4">
        <f ca="1">IFERROR(VALUE(_xll.BDH(AA$4,"PX_LAST",$Q144,$Q144)),AA145)</f>
        <v>0</v>
      </c>
      <c r="AB144" s="4">
        <f ca="1">IFERROR(VALUE(_xll.BDH(AB$4,"PX_LAST",$Q144,$Q144)),AB145)</f>
        <v>0</v>
      </c>
      <c r="AC144" s="4">
        <f ca="1">IFERROR(VALUE(_xll.BDH(AC$4,"PX_LAST",$Q144,$Q144)),AC145)</f>
        <v>0</v>
      </c>
      <c r="AD144" s="4">
        <f ca="1">IFERROR(VALUE(_xll.BDH(AD$4,"PX_LAST",$Q144,$Q144)),AD145)</f>
        <v>0</v>
      </c>
      <c r="AF144" s="4">
        <f t="shared" si="48"/>
        <v>0.88567652403766728</v>
      </c>
      <c r="AG144" s="4" t="e">
        <f t="shared" ca="1" si="49"/>
        <v>#DIV/0!</v>
      </c>
      <c r="AH144" s="4" t="e">
        <f t="shared" ca="1" si="50"/>
        <v>#DIV/0!</v>
      </c>
      <c r="AI144" s="4" t="e">
        <f t="shared" ca="1" si="51"/>
        <v>#DIV/0!</v>
      </c>
      <c r="AJ144" s="4" t="e">
        <f t="shared" ca="1" si="52"/>
        <v>#DIV/0!</v>
      </c>
      <c r="AK144" s="4" t="e">
        <f t="shared" ca="1" si="53"/>
        <v>#DIV/0!</v>
      </c>
      <c r="AM144" s="563">
        <f t="shared" ca="1" si="54"/>
        <v>45800</v>
      </c>
      <c r="AN144" s="564">
        <v>93.1</v>
      </c>
      <c r="AO144" s="564">
        <v>1240133</v>
      </c>
      <c r="AP144" s="564">
        <v>44245.955000000002</v>
      </c>
      <c r="AQ144" s="564">
        <v>4119298.4104999998</v>
      </c>
      <c r="AR144" s="564">
        <v>1.1953</v>
      </c>
    </row>
    <row r="145" spans="2:44">
      <c r="B145" s="565">
        <f t="shared" ca="1" si="55"/>
        <v>44960</v>
      </c>
      <c r="C145" s="561">
        <f ca="1">(IFERROR(IFERROR(VALUE(_xll.BDH(C$4,"CURRENT_EV_TO_T12M_EBITDA",$B145,$B145)),VALUE(_xll.BDH(C$4,"CURRENT_EV_TO_T12M_EBITDA",$B145+1,$B145+1))),C146))</f>
        <v>0</v>
      </c>
      <c r="D145" s="561">
        <f ca="1">(IFERROR(IFERROR(VALUE(_xll.BDH(D$4,"CURRENT_EV_TO_T12M_EBITDA",$B145,$B145)),VALUE(_xll.BDH(D$4,"CURRENT_EV_TO_T12M_EBITDA",$B145+1,$B145+1))),D146))</f>
        <v>0</v>
      </c>
      <c r="E145" s="561">
        <f ca="1">(IFERROR(IFERROR(VALUE(_xll.BDH(E$4,"CURRENT_EV_TO_T12M_EBITDA",$B145,$B145)),VALUE(_xll.BDH(E$4,"CURRENT_EV_TO_T12M_EBITDA",$B145+1,$B145+1))),E146))</f>
        <v>0</v>
      </c>
      <c r="F145" s="561">
        <f ca="1">(IFERROR(IFERROR(VALUE(_xll.BDH(F$4,"CURRENT_EV_TO_T12M_EBITDA",$B145,$B145)),VALUE(_xll.BDH(F$4,"CURRENT_EV_TO_T12M_EBITDA",$B145+1,$B145+1))),F146))</f>
        <v>0</v>
      </c>
      <c r="G145" s="561">
        <f ca="1">(IFERROR(IFERROR(VALUE(_xll.BDH(G$4,"CURRENT_EV_TO_T12M_EBITDA",$B145,$B145)),VALUE(_xll.BDH(G$4,"CURRENT_EV_TO_T12M_EBITDA",$B145+1,$B145+1))),G146))</f>
        <v>0</v>
      </c>
      <c r="H145" s="561">
        <f ca="1">(IFERROR(IFERROR(VALUE(_xll.BDH(H$4,"CURRENT_EV_TO_T12M_EBITDA",$B145,$B145)),VALUE(_xll.BDH(H$4,"CURRENT_EV_TO_T12M_EBITDA",$B145+1,$B145+1))),H146))</f>
        <v>0</v>
      </c>
      <c r="I145" s="565">
        <f t="shared" ca="1" si="45"/>
        <v>44960</v>
      </c>
      <c r="J145" s="561">
        <f ca="1">(IFERROR(IFERROR(VALUE(_xll.BDH(J$4,"PE_RATIO",$B145,$B145)),VALUE(_xll.BDH(J$4,"PE_RATIO",$B145+1,$B145+1))),J146))</f>
        <v>0</v>
      </c>
      <c r="K145" s="561">
        <f ca="1">(IFERROR(IFERROR(VALUE(_xll.BDH(K$4,"PE_RATIO",$B145,$B145)),VALUE(_xll.BDH(K$4,"PE_RATIO",$B145+1,$B145+1))),K146))</f>
        <v>0</v>
      </c>
      <c r="L145" s="561">
        <f ca="1">(IFERROR(IFERROR(VALUE(_xll.BDH(L$4,"PE_RATIO",$B145,$B145)),VALUE(_xll.BDH(L$4,"PE_RATIO",$B145+1,$B145+1))),L146))</f>
        <v>0</v>
      </c>
      <c r="M145" s="561">
        <f ca="1">(IFERROR(IFERROR(VALUE(_xll.BDH(M$4,"PE_RATIO",$B145,$B145)),VALUE(_xll.BDH(M$4,"PE_RATIO",$B145+1,$B145+1))),M146))</f>
        <v>0</v>
      </c>
      <c r="N145" s="561">
        <f ca="1">(IFERROR(IFERROR(VALUE(_xll.BDH(N$4,"PE_RATIO",$B145,$B145)),VALUE(_xll.BDH(N$4,"PE_RATIO",$B145+1,$B145+1))),N146))</f>
        <v>0</v>
      </c>
      <c r="O145" s="561">
        <f ca="1">(IFERROR(IFERROR(VALUE(_xll.BDH(O$4,"PE_RATIO",$B145,$B145)),VALUE(_xll.BDH(O$4,"PE_RATIO",$B145+1,$B145+1))),O146))</f>
        <v>0</v>
      </c>
      <c r="P145" s="561"/>
      <c r="Q145" s="565">
        <f t="shared" ca="1" si="46"/>
        <v>44960</v>
      </c>
      <c r="R145" s="4">
        <v>55.49</v>
      </c>
      <c r="S145" s="4">
        <v>3824.14</v>
      </c>
      <c r="T145" s="4">
        <v>0</v>
      </c>
      <c r="U145" s="4">
        <v>0.91673550305633567</v>
      </c>
      <c r="V145" s="4">
        <v>1.0484880555151908</v>
      </c>
      <c r="W145" s="4" t="e">
        <v>#DIV/0!</v>
      </c>
      <c r="Y145" s="561">
        <f t="shared" si="47"/>
        <v>55.49</v>
      </c>
      <c r="Z145" s="4">
        <f ca="1">IFERROR(VALUE(_xll.BDH(Z$4,"PX_LAST",$Q145,$Q145)),Z146)</f>
        <v>0</v>
      </c>
      <c r="AA145" s="4">
        <f ca="1">IFERROR(VALUE(_xll.BDH(AA$4,"PX_LAST",$Q145,$Q145)),AA146)</f>
        <v>0</v>
      </c>
      <c r="AB145" s="4">
        <f ca="1">IFERROR(VALUE(_xll.BDH(AB$4,"PX_LAST",$Q145,$Q145)),AB146)</f>
        <v>0</v>
      </c>
      <c r="AC145" s="4">
        <f ca="1">IFERROR(VALUE(_xll.BDH(AC$4,"PX_LAST",$Q145,$Q145)),AC146)</f>
        <v>0</v>
      </c>
      <c r="AD145" s="4">
        <f ca="1">IFERROR(VALUE(_xll.BDH(AD$4,"PX_LAST",$Q145,$Q145)),AD146)</f>
        <v>0</v>
      </c>
      <c r="AF145" s="4">
        <f t="shared" si="48"/>
        <v>0.91673550305633567</v>
      </c>
      <c r="AG145" s="4" t="e">
        <f t="shared" ca="1" si="49"/>
        <v>#DIV/0!</v>
      </c>
      <c r="AH145" s="4" t="e">
        <f t="shared" ca="1" si="50"/>
        <v>#DIV/0!</v>
      </c>
      <c r="AI145" s="4" t="e">
        <f t="shared" ca="1" si="51"/>
        <v>#DIV/0!</v>
      </c>
      <c r="AJ145" s="4" t="e">
        <f t="shared" ca="1" si="52"/>
        <v>#DIV/0!</v>
      </c>
      <c r="AK145" s="4" t="e">
        <f t="shared" ca="1" si="53"/>
        <v>#DIV/0!</v>
      </c>
      <c r="AM145" s="563">
        <f t="shared" ca="1" si="54"/>
        <v>45799</v>
      </c>
      <c r="AN145" s="564">
        <v>90.17</v>
      </c>
      <c r="AO145" s="564">
        <v>1130211</v>
      </c>
      <c r="AP145" s="564">
        <v>44245.955000000002</v>
      </c>
      <c r="AQ145" s="564">
        <v>3989657.7623500004</v>
      </c>
      <c r="AR145" s="564">
        <v>1.1577</v>
      </c>
    </row>
    <row r="146" spans="2:44">
      <c r="B146" s="565">
        <f t="shared" ca="1" si="55"/>
        <v>44953</v>
      </c>
      <c r="C146" s="561">
        <f ca="1">(IFERROR(IFERROR(VALUE(_xll.BDH(C$4,"CURRENT_EV_TO_T12M_EBITDA",$B146,$B146)),VALUE(_xll.BDH(C$4,"CURRENT_EV_TO_T12M_EBITDA",$B146+1,$B146+1))),C147))</f>
        <v>0</v>
      </c>
      <c r="D146" s="561">
        <f ca="1">(IFERROR(IFERROR(VALUE(_xll.BDH(D$4,"CURRENT_EV_TO_T12M_EBITDA",$B146,$B146)),VALUE(_xll.BDH(D$4,"CURRENT_EV_TO_T12M_EBITDA",$B146+1,$B146+1))),D147))</f>
        <v>0</v>
      </c>
      <c r="E146" s="561">
        <f ca="1">(IFERROR(IFERROR(VALUE(_xll.BDH(E$4,"CURRENT_EV_TO_T12M_EBITDA",$B146,$B146)),VALUE(_xll.BDH(E$4,"CURRENT_EV_TO_T12M_EBITDA",$B146+1,$B146+1))),E147))</f>
        <v>0</v>
      </c>
      <c r="F146" s="561">
        <f ca="1">(IFERROR(IFERROR(VALUE(_xll.BDH(F$4,"CURRENT_EV_TO_T12M_EBITDA",$B146,$B146)),VALUE(_xll.BDH(F$4,"CURRENT_EV_TO_T12M_EBITDA",$B146+1,$B146+1))),F147))</f>
        <v>0</v>
      </c>
      <c r="G146" s="561">
        <f ca="1">(IFERROR(IFERROR(VALUE(_xll.BDH(G$4,"CURRENT_EV_TO_T12M_EBITDA",$B146,$B146)),VALUE(_xll.BDH(G$4,"CURRENT_EV_TO_T12M_EBITDA",$B146+1,$B146+1))),G147))</f>
        <v>0</v>
      </c>
      <c r="H146" s="561">
        <f ca="1">(IFERROR(IFERROR(VALUE(_xll.BDH(H$4,"CURRENT_EV_TO_T12M_EBITDA",$B146,$B146)),VALUE(_xll.BDH(H$4,"CURRENT_EV_TO_T12M_EBITDA",$B146+1,$B146+1))),H147))</f>
        <v>0</v>
      </c>
      <c r="I146" s="565">
        <f t="shared" ca="1" si="45"/>
        <v>44953</v>
      </c>
      <c r="J146" s="561">
        <f ca="1">(IFERROR(IFERROR(VALUE(_xll.BDH(J$4,"PE_RATIO",$B146,$B146)),VALUE(_xll.BDH(J$4,"PE_RATIO",$B146+1,$B146+1))),J147))</f>
        <v>0</v>
      </c>
      <c r="K146" s="561">
        <f ca="1">(IFERROR(IFERROR(VALUE(_xll.BDH(K$4,"PE_RATIO",$B146,$B146)),VALUE(_xll.BDH(K$4,"PE_RATIO",$B146+1,$B146+1))),K147))</f>
        <v>0</v>
      </c>
      <c r="L146" s="561">
        <f ca="1">(IFERROR(IFERROR(VALUE(_xll.BDH(L$4,"PE_RATIO",$B146,$B146)),VALUE(_xll.BDH(L$4,"PE_RATIO",$B146+1,$B146+1))),L147))</f>
        <v>0</v>
      </c>
      <c r="M146" s="561">
        <f ca="1">(IFERROR(IFERROR(VALUE(_xll.BDH(M$4,"PE_RATIO",$B146,$B146)),VALUE(_xll.BDH(M$4,"PE_RATIO",$B146+1,$B146+1))),M147))</f>
        <v>0</v>
      </c>
      <c r="N146" s="561">
        <f ca="1">(IFERROR(IFERROR(VALUE(_xll.BDH(N$4,"PE_RATIO",$B146,$B146)),VALUE(_xll.BDH(N$4,"PE_RATIO",$B146+1,$B146+1))),N147))</f>
        <v>0</v>
      </c>
      <c r="O146" s="561">
        <f ca="1">(IFERROR(IFERROR(VALUE(_xll.BDH(O$4,"PE_RATIO",$B146,$B146)),VALUE(_xll.BDH(O$4,"PE_RATIO",$B146+1,$B146+1))),O147))</f>
        <v>0</v>
      </c>
      <c r="P146" s="561"/>
      <c r="Q146" s="565">
        <f t="shared" ca="1" si="46"/>
        <v>44953</v>
      </c>
      <c r="R146" s="4">
        <v>63.78</v>
      </c>
      <c r="S146" s="4">
        <v>3829.25</v>
      </c>
      <c r="T146" s="4">
        <v>0</v>
      </c>
      <c r="U146" s="4">
        <v>1.0536923839418471</v>
      </c>
      <c r="V146" s="4">
        <v>1.0498890957395766</v>
      </c>
      <c r="W146" s="4" t="e">
        <v>#DIV/0!</v>
      </c>
      <c r="Y146" s="561">
        <f t="shared" si="47"/>
        <v>63.78</v>
      </c>
      <c r="Z146" s="4">
        <f ca="1">IFERROR(VALUE(_xll.BDH(Z$4,"PX_LAST",$Q146,$Q146)),Z147)</f>
        <v>0</v>
      </c>
      <c r="AA146" s="4">
        <f ca="1">IFERROR(VALUE(_xll.BDH(AA$4,"PX_LAST",$Q146,$Q146)),AA147)</f>
        <v>0</v>
      </c>
      <c r="AB146" s="4">
        <f ca="1">IFERROR(VALUE(_xll.BDH(AB$4,"PX_LAST",$Q146,$Q146)),AB147)</f>
        <v>0</v>
      </c>
      <c r="AC146" s="4">
        <f ca="1">IFERROR(VALUE(_xll.BDH(AC$4,"PX_LAST",$Q146,$Q146)),AC147)</f>
        <v>0</v>
      </c>
      <c r="AD146" s="4">
        <f ca="1">IFERROR(VALUE(_xll.BDH(AD$4,"PX_LAST",$Q146,$Q146)),AD147)</f>
        <v>0</v>
      </c>
      <c r="AF146" s="4">
        <f t="shared" si="48"/>
        <v>1.0536923839418471</v>
      </c>
      <c r="AG146" s="4" t="e">
        <f t="shared" ca="1" si="49"/>
        <v>#DIV/0!</v>
      </c>
      <c r="AH146" s="4" t="e">
        <f t="shared" ca="1" si="50"/>
        <v>#DIV/0!</v>
      </c>
      <c r="AI146" s="4" t="e">
        <f t="shared" ca="1" si="51"/>
        <v>#DIV/0!</v>
      </c>
      <c r="AJ146" s="4" t="e">
        <f t="shared" ca="1" si="52"/>
        <v>#DIV/0!</v>
      </c>
      <c r="AK146" s="4" t="e">
        <f t="shared" ca="1" si="53"/>
        <v>#DIV/0!</v>
      </c>
      <c r="AM146" s="563">
        <f t="shared" ca="1" si="54"/>
        <v>45798</v>
      </c>
      <c r="AN146" s="564">
        <v>91.49</v>
      </c>
      <c r="AO146" s="564">
        <v>1949090</v>
      </c>
      <c r="AP146" s="564">
        <v>44245.955000000002</v>
      </c>
      <c r="AQ146" s="564">
        <v>4048062.42295</v>
      </c>
      <c r="AR146" s="564">
        <v>1.1746000000000001</v>
      </c>
    </row>
    <row r="147" spans="2:44">
      <c r="B147" s="565">
        <f t="shared" ca="1" si="55"/>
        <v>44946</v>
      </c>
      <c r="C147" s="561">
        <f ca="1">(IFERROR(IFERROR(VALUE(_xll.BDH(C$4,"CURRENT_EV_TO_T12M_EBITDA",$B147,$B147)),VALUE(_xll.BDH(C$4,"CURRENT_EV_TO_T12M_EBITDA",$B147+1,$B147+1))),C148))</f>
        <v>0</v>
      </c>
      <c r="D147" s="561">
        <f ca="1">(IFERROR(IFERROR(VALUE(_xll.BDH(D$4,"CURRENT_EV_TO_T12M_EBITDA",$B147,$B147)),VALUE(_xll.BDH(D$4,"CURRENT_EV_TO_T12M_EBITDA",$B147+1,$B147+1))),D148))</f>
        <v>0</v>
      </c>
      <c r="E147" s="561">
        <f ca="1">(IFERROR(IFERROR(VALUE(_xll.BDH(E$4,"CURRENT_EV_TO_T12M_EBITDA",$B147,$B147)),VALUE(_xll.BDH(E$4,"CURRENT_EV_TO_T12M_EBITDA",$B147+1,$B147+1))),E148))</f>
        <v>0</v>
      </c>
      <c r="F147" s="561">
        <f ca="1">(IFERROR(IFERROR(VALUE(_xll.BDH(F$4,"CURRENT_EV_TO_T12M_EBITDA",$B147,$B147)),VALUE(_xll.BDH(F$4,"CURRENT_EV_TO_T12M_EBITDA",$B147+1,$B147+1))),F148))</f>
        <v>0</v>
      </c>
      <c r="G147" s="561">
        <f ca="1">(IFERROR(IFERROR(VALUE(_xll.BDH(G$4,"CURRENT_EV_TO_T12M_EBITDA",$B147,$B147)),VALUE(_xll.BDH(G$4,"CURRENT_EV_TO_T12M_EBITDA",$B147+1,$B147+1))),G148))</f>
        <v>0</v>
      </c>
      <c r="H147" s="561">
        <f ca="1">(IFERROR(IFERROR(VALUE(_xll.BDH(H$4,"CURRENT_EV_TO_T12M_EBITDA",$B147,$B147)),VALUE(_xll.BDH(H$4,"CURRENT_EV_TO_T12M_EBITDA",$B147+1,$B147+1))),H148))</f>
        <v>0</v>
      </c>
      <c r="I147" s="565">
        <f t="shared" ca="1" si="45"/>
        <v>44946</v>
      </c>
      <c r="J147" s="561">
        <f ca="1">(IFERROR(IFERROR(VALUE(_xll.BDH(J$4,"PE_RATIO",$B147,$B147)),VALUE(_xll.BDH(J$4,"PE_RATIO",$B147+1,$B147+1))),J148))</f>
        <v>0</v>
      </c>
      <c r="K147" s="561">
        <f ca="1">(IFERROR(IFERROR(VALUE(_xll.BDH(K$4,"PE_RATIO",$B147,$B147)),VALUE(_xll.BDH(K$4,"PE_RATIO",$B147+1,$B147+1))),K148))</f>
        <v>0</v>
      </c>
      <c r="L147" s="561">
        <f ca="1">(IFERROR(IFERROR(VALUE(_xll.BDH(L$4,"PE_RATIO",$B147,$B147)),VALUE(_xll.BDH(L$4,"PE_RATIO",$B147+1,$B147+1))),L148))</f>
        <v>0</v>
      </c>
      <c r="M147" s="561">
        <f ca="1">(IFERROR(IFERROR(VALUE(_xll.BDH(M$4,"PE_RATIO",$B147,$B147)),VALUE(_xll.BDH(M$4,"PE_RATIO",$B147+1,$B147+1))),M148))</f>
        <v>0</v>
      </c>
      <c r="N147" s="561">
        <f ca="1">(IFERROR(IFERROR(VALUE(_xll.BDH(N$4,"PE_RATIO",$B147,$B147)),VALUE(_xll.BDH(N$4,"PE_RATIO",$B147+1,$B147+1))),N148))</f>
        <v>0</v>
      </c>
      <c r="O147" s="561">
        <f ca="1">(IFERROR(IFERROR(VALUE(_xll.BDH(O$4,"PE_RATIO",$B147,$B147)),VALUE(_xll.BDH(O$4,"PE_RATIO",$B147+1,$B147+1))),O148))</f>
        <v>0</v>
      </c>
      <c r="P147" s="561"/>
      <c r="Q147" s="565">
        <f t="shared" ca="1" si="46"/>
        <v>44946</v>
      </c>
      <c r="R147" s="4">
        <v>62.19</v>
      </c>
      <c r="S147" s="4">
        <v>3821.62</v>
      </c>
      <c r="T147" s="4">
        <v>0</v>
      </c>
      <c r="U147" s="4">
        <v>1.0274244176441434</v>
      </c>
      <c r="V147" s="4">
        <v>1.0477971315689183</v>
      </c>
      <c r="W147" s="4" t="e">
        <v>#DIV/0!</v>
      </c>
      <c r="Y147" s="561">
        <f t="shared" si="47"/>
        <v>62.19</v>
      </c>
      <c r="Z147" s="4">
        <f ca="1">IFERROR(VALUE(_xll.BDH(Z$4,"PX_LAST",$Q147,$Q147)),Z148)</f>
        <v>0</v>
      </c>
      <c r="AA147" s="4">
        <f ca="1">IFERROR(VALUE(_xll.BDH(AA$4,"PX_LAST",$Q147,$Q147)),AA148)</f>
        <v>0</v>
      </c>
      <c r="AB147" s="4">
        <f ca="1">IFERROR(VALUE(_xll.BDH(AB$4,"PX_LAST",$Q147,$Q147)),AB148)</f>
        <v>0</v>
      </c>
      <c r="AC147" s="4">
        <f ca="1">IFERROR(VALUE(_xll.BDH(AC$4,"PX_LAST",$Q147,$Q147)),AC148)</f>
        <v>0</v>
      </c>
      <c r="AD147" s="4">
        <f ca="1">IFERROR(VALUE(_xll.BDH(AD$4,"PX_LAST",$Q147,$Q147)),AD148)</f>
        <v>0</v>
      </c>
      <c r="AF147" s="4">
        <f t="shared" si="48"/>
        <v>1.0274244176441434</v>
      </c>
      <c r="AG147" s="4" t="e">
        <f t="shared" ca="1" si="49"/>
        <v>#DIV/0!</v>
      </c>
      <c r="AH147" s="4" t="e">
        <f t="shared" ca="1" si="50"/>
        <v>#DIV/0!</v>
      </c>
      <c r="AI147" s="4" t="e">
        <f t="shared" ca="1" si="51"/>
        <v>#DIV/0!</v>
      </c>
      <c r="AJ147" s="4" t="e">
        <f t="shared" ca="1" si="52"/>
        <v>#DIV/0!</v>
      </c>
      <c r="AK147" s="4" t="e">
        <f t="shared" ca="1" si="53"/>
        <v>#DIV/0!</v>
      </c>
      <c r="AM147" s="563">
        <f t="shared" ca="1" si="54"/>
        <v>45797</v>
      </c>
      <c r="AN147" s="564">
        <v>91.49</v>
      </c>
      <c r="AO147" s="564">
        <v>1949090</v>
      </c>
      <c r="AP147" s="564">
        <v>44245.955000000002</v>
      </c>
      <c r="AQ147" s="564">
        <v>4048062.42295</v>
      </c>
      <c r="AR147" s="564">
        <v>1.1746000000000001</v>
      </c>
    </row>
    <row r="148" spans="2:44">
      <c r="B148" s="565">
        <f t="shared" ca="1" si="55"/>
        <v>44939</v>
      </c>
      <c r="C148" s="561">
        <f ca="1">(IFERROR(IFERROR(VALUE(_xll.BDH(C$4,"CURRENT_EV_TO_T12M_EBITDA",$B148,$B148)),VALUE(_xll.BDH(C$4,"CURRENT_EV_TO_T12M_EBITDA",$B148+1,$B148+1))),C149))</f>
        <v>0</v>
      </c>
      <c r="D148" s="561">
        <f ca="1">(IFERROR(IFERROR(VALUE(_xll.BDH(D$4,"CURRENT_EV_TO_T12M_EBITDA",$B148,$B148)),VALUE(_xll.BDH(D$4,"CURRENT_EV_TO_T12M_EBITDA",$B148+1,$B148+1))),D149))</f>
        <v>0</v>
      </c>
      <c r="E148" s="561">
        <f ca="1">(IFERROR(IFERROR(VALUE(_xll.BDH(E$4,"CURRENT_EV_TO_T12M_EBITDA",$B148,$B148)),VALUE(_xll.BDH(E$4,"CURRENT_EV_TO_T12M_EBITDA",$B148+1,$B148+1))),E149))</f>
        <v>0</v>
      </c>
      <c r="F148" s="561">
        <f ca="1">(IFERROR(IFERROR(VALUE(_xll.BDH(F$4,"CURRENT_EV_TO_T12M_EBITDA",$B148,$B148)),VALUE(_xll.BDH(F$4,"CURRENT_EV_TO_T12M_EBITDA",$B148+1,$B148+1))),F149))</f>
        <v>0</v>
      </c>
      <c r="G148" s="561">
        <f ca="1">(IFERROR(IFERROR(VALUE(_xll.BDH(G$4,"CURRENT_EV_TO_T12M_EBITDA",$B148,$B148)),VALUE(_xll.BDH(G$4,"CURRENT_EV_TO_T12M_EBITDA",$B148+1,$B148+1))),G149))</f>
        <v>0</v>
      </c>
      <c r="H148" s="561">
        <f ca="1">(IFERROR(IFERROR(VALUE(_xll.BDH(H$4,"CURRENT_EV_TO_T12M_EBITDA",$B148,$B148)),VALUE(_xll.BDH(H$4,"CURRENT_EV_TO_T12M_EBITDA",$B148+1,$B148+1))),H149))</f>
        <v>0</v>
      </c>
      <c r="I148" s="565">
        <f t="shared" ca="1" si="45"/>
        <v>44939</v>
      </c>
      <c r="J148" s="561">
        <f ca="1">(IFERROR(IFERROR(VALUE(_xll.BDH(J$4,"PE_RATIO",$B148,$B148)),VALUE(_xll.BDH(J$4,"PE_RATIO",$B148+1,$B148+1))),J149))</f>
        <v>0</v>
      </c>
      <c r="K148" s="561">
        <f ca="1">(IFERROR(IFERROR(VALUE(_xll.BDH(K$4,"PE_RATIO",$B148,$B148)),VALUE(_xll.BDH(K$4,"PE_RATIO",$B148+1,$B148+1))),K149))</f>
        <v>0</v>
      </c>
      <c r="L148" s="561">
        <f ca="1">(IFERROR(IFERROR(VALUE(_xll.BDH(L$4,"PE_RATIO",$B148,$B148)),VALUE(_xll.BDH(L$4,"PE_RATIO",$B148+1,$B148+1))),L149))</f>
        <v>0</v>
      </c>
      <c r="M148" s="561">
        <f ca="1">(IFERROR(IFERROR(VALUE(_xll.BDH(M$4,"PE_RATIO",$B148,$B148)),VALUE(_xll.BDH(M$4,"PE_RATIO",$B148+1,$B148+1))),M149))</f>
        <v>0</v>
      </c>
      <c r="N148" s="561">
        <f ca="1">(IFERROR(IFERROR(VALUE(_xll.BDH(N$4,"PE_RATIO",$B148,$B148)),VALUE(_xll.BDH(N$4,"PE_RATIO",$B148+1,$B148+1))),N149))</f>
        <v>0</v>
      </c>
      <c r="O148" s="561">
        <f ca="1">(IFERROR(IFERROR(VALUE(_xll.BDH(O$4,"PE_RATIO",$B148,$B148)),VALUE(_xll.BDH(O$4,"PE_RATIO",$B148+1,$B148+1))),O149))</f>
        <v>0</v>
      </c>
      <c r="P148" s="561"/>
      <c r="Q148" s="565">
        <f t="shared" ca="1" si="46"/>
        <v>44939</v>
      </c>
      <c r="R148" s="4">
        <v>57.26</v>
      </c>
      <c r="S148" s="4">
        <v>4019.65</v>
      </c>
      <c r="T148" s="4">
        <v>0</v>
      </c>
      <c r="U148" s="4">
        <v>0.94597720138774155</v>
      </c>
      <c r="V148" s="4">
        <v>1.1020922383468275</v>
      </c>
      <c r="W148" s="4" t="e">
        <v>#DIV/0!</v>
      </c>
      <c r="Y148" s="561">
        <f t="shared" si="47"/>
        <v>57.26</v>
      </c>
      <c r="Z148" s="4">
        <f ca="1">IFERROR(VALUE(_xll.BDH(Z$4,"PX_LAST",$Q148,$Q148)),Z149)</f>
        <v>0</v>
      </c>
      <c r="AA148" s="4">
        <f ca="1">IFERROR(VALUE(_xll.BDH(AA$4,"PX_LAST",$Q148,$Q148)),AA149)</f>
        <v>0</v>
      </c>
      <c r="AB148" s="4">
        <f ca="1">IFERROR(VALUE(_xll.BDH(AB$4,"PX_LAST",$Q148,$Q148)),AB149)</f>
        <v>0</v>
      </c>
      <c r="AC148" s="4">
        <f ca="1">IFERROR(VALUE(_xll.BDH(AC$4,"PX_LAST",$Q148,$Q148)),AC149)</f>
        <v>0</v>
      </c>
      <c r="AD148" s="4">
        <f ca="1">IFERROR(VALUE(_xll.BDH(AD$4,"PX_LAST",$Q148,$Q148)),AD149)</f>
        <v>0</v>
      </c>
      <c r="AF148" s="4">
        <f t="shared" si="48"/>
        <v>0.94597720138774155</v>
      </c>
      <c r="AG148" s="4" t="e">
        <f t="shared" ca="1" si="49"/>
        <v>#DIV/0!</v>
      </c>
      <c r="AH148" s="4" t="e">
        <f t="shared" ca="1" si="50"/>
        <v>#DIV/0!</v>
      </c>
      <c r="AI148" s="4" t="e">
        <f t="shared" ca="1" si="51"/>
        <v>#DIV/0!</v>
      </c>
      <c r="AJ148" s="4" t="e">
        <f t="shared" ca="1" si="52"/>
        <v>#DIV/0!</v>
      </c>
      <c r="AK148" s="4" t="e">
        <f t="shared" ca="1" si="53"/>
        <v>#DIV/0!</v>
      </c>
      <c r="AM148" s="563">
        <f t="shared" ca="1" si="54"/>
        <v>45796</v>
      </c>
      <c r="AN148" s="564">
        <v>91.49</v>
      </c>
      <c r="AO148" s="564">
        <v>1949090</v>
      </c>
      <c r="AP148" s="564">
        <v>44245.955000000002</v>
      </c>
      <c r="AQ148" s="564">
        <v>4048062.42295</v>
      </c>
      <c r="AR148" s="564">
        <v>1.1746000000000001</v>
      </c>
    </row>
    <row r="149" spans="2:44">
      <c r="B149" s="565">
        <f t="shared" ca="1" si="55"/>
        <v>44932</v>
      </c>
      <c r="C149" s="561">
        <f ca="1">(IFERROR(IFERROR(VALUE(_xll.BDH(C$4,"CURRENT_EV_TO_T12M_EBITDA",$B149,$B149)),VALUE(_xll.BDH(C$4,"CURRENT_EV_TO_T12M_EBITDA",$B149+1,$B149+1))),C150))</f>
        <v>0</v>
      </c>
      <c r="D149" s="561">
        <f ca="1">(IFERROR(IFERROR(VALUE(_xll.BDH(D$4,"CURRENT_EV_TO_T12M_EBITDA",$B149,$B149)),VALUE(_xll.BDH(D$4,"CURRENT_EV_TO_T12M_EBITDA",$B149+1,$B149+1))),D150))</f>
        <v>0</v>
      </c>
      <c r="E149" s="561">
        <f ca="1">(IFERROR(IFERROR(VALUE(_xll.BDH(E$4,"CURRENT_EV_TO_T12M_EBITDA",$B149,$B149)),VALUE(_xll.BDH(E$4,"CURRENT_EV_TO_T12M_EBITDA",$B149+1,$B149+1))),E150))</f>
        <v>0</v>
      </c>
      <c r="F149" s="561">
        <f ca="1">(IFERROR(IFERROR(VALUE(_xll.BDH(F$4,"CURRENT_EV_TO_T12M_EBITDA",$B149,$B149)),VALUE(_xll.BDH(F$4,"CURRENT_EV_TO_T12M_EBITDA",$B149+1,$B149+1))),F150))</f>
        <v>0</v>
      </c>
      <c r="G149" s="561">
        <f ca="1">(IFERROR(IFERROR(VALUE(_xll.BDH(G$4,"CURRENT_EV_TO_T12M_EBITDA",$B149,$B149)),VALUE(_xll.BDH(G$4,"CURRENT_EV_TO_T12M_EBITDA",$B149+1,$B149+1))),G150))</f>
        <v>0</v>
      </c>
      <c r="H149" s="561">
        <f ca="1">(IFERROR(IFERROR(VALUE(_xll.BDH(H$4,"CURRENT_EV_TO_T12M_EBITDA",$B149,$B149)),VALUE(_xll.BDH(H$4,"CURRENT_EV_TO_T12M_EBITDA",$B149+1,$B149+1))),H150))</f>
        <v>0</v>
      </c>
      <c r="I149" s="565">
        <f t="shared" ca="1" si="45"/>
        <v>44932</v>
      </c>
      <c r="J149" s="561">
        <f ca="1">(IFERROR(IFERROR(VALUE(_xll.BDH(J$4,"PE_RATIO",$B149,$B149)),VALUE(_xll.BDH(J$4,"PE_RATIO",$B149+1,$B149+1))),J150))</f>
        <v>0</v>
      </c>
      <c r="K149" s="561">
        <f ca="1">(IFERROR(IFERROR(VALUE(_xll.BDH(K$4,"PE_RATIO",$B149,$B149)),VALUE(_xll.BDH(K$4,"PE_RATIO",$B149+1,$B149+1))),K150))</f>
        <v>0</v>
      </c>
      <c r="L149" s="561">
        <f ca="1">(IFERROR(IFERROR(VALUE(_xll.BDH(L$4,"PE_RATIO",$B149,$B149)),VALUE(_xll.BDH(L$4,"PE_RATIO",$B149+1,$B149+1))),L150))</f>
        <v>0</v>
      </c>
      <c r="M149" s="561">
        <f ca="1">(IFERROR(IFERROR(VALUE(_xll.BDH(M$4,"PE_RATIO",$B149,$B149)),VALUE(_xll.BDH(M$4,"PE_RATIO",$B149+1,$B149+1))),M150))</f>
        <v>0</v>
      </c>
      <c r="N149" s="561">
        <f ca="1">(IFERROR(IFERROR(VALUE(_xll.BDH(N$4,"PE_RATIO",$B149,$B149)),VALUE(_xll.BDH(N$4,"PE_RATIO",$B149+1,$B149+1))),N150))</f>
        <v>0</v>
      </c>
      <c r="O149" s="561">
        <f ca="1">(IFERROR(IFERROR(VALUE(_xll.BDH(O$4,"PE_RATIO",$B149,$B149)),VALUE(_xll.BDH(O$4,"PE_RATIO",$B149+1,$B149+1))),O150))</f>
        <v>0</v>
      </c>
      <c r="P149" s="561"/>
      <c r="Q149" s="565">
        <f t="shared" ca="1" si="46"/>
        <v>44932</v>
      </c>
      <c r="R149" s="4">
        <v>59.07</v>
      </c>
      <c r="S149" s="4">
        <v>3941.26</v>
      </c>
      <c r="T149" s="4">
        <v>0</v>
      </c>
      <c r="U149" s="4">
        <v>0.97587972905997022</v>
      </c>
      <c r="V149" s="4">
        <v>1.0805995684467098</v>
      </c>
      <c r="W149" s="4" t="e">
        <v>#DIV/0!</v>
      </c>
      <c r="Y149" s="561">
        <f t="shared" si="47"/>
        <v>59.07</v>
      </c>
      <c r="Z149" s="4">
        <f ca="1">IFERROR(VALUE(_xll.BDH(Z$4,"PX_LAST",$Q149,$Q149)),Z150)</f>
        <v>0</v>
      </c>
      <c r="AA149" s="4">
        <f ca="1">IFERROR(VALUE(_xll.BDH(AA$4,"PX_LAST",$Q149,$Q149)),AA150)</f>
        <v>0</v>
      </c>
      <c r="AB149" s="4">
        <f ca="1">IFERROR(VALUE(_xll.BDH(AB$4,"PX_LAST",$Q149,$Q149)),AB150)</f>
        <v>0</v>
      </c>
      <c r="AC149" s="4">
        <f ca="1">IFERROR(VALUE(_xll.BDH(AC$4,"PX_LAST",$Q149,$Q149)),AC150)</f>
        <v>0</v>
      </c>
      <c r="AD149" s="4">
        <f ca="1">IFERROR(VALUE(_xll.BDH(AD$4,"PX_LAST",$Q149,$Q149)),AD150)</f>
        <v>0</v>
      </c>
      <c r="AF149" s="4">
        <f t="shared" si="48"/>
        <v>0.97587972905997022</v>
      </c>
      <c r="AG149" s="4" t="e">
        <f t="shared" ca="1" si="49"/>
        <v>#DIV/0!</v>
      </c>
      <c r="AH149" s="4" t="e">
        <f t="shared" ca="1" si="50"/>
        <v>#DIV/0!</v>
      </c>
      <c r="AI149" s="4" t="e">
        <f t="shared" ca="1" si="51"/>
        <v>#DIV/0!</v>
      </c>
      <c r="AJ149" s="4" t="e">
        <f t="shared" ca="1" si="52"/>
        <v>#DIV/0!</v>
      </c>
      <c r="AK149" s="4" t="e">
        <f t="shared" ca="1" si="53"/>
        <v>#DIV/0!</v>
      </c>
      <c r="AM149" s="563">
        <f t="shared" ca="1" si="54"/>
        <v>45795</v>
      </c>
      <c r="AN149" s="564">
        <v>91.49</v>
      </c>
      <c r="AO149" s="564">
        <v>1949090</v>
      </c>
      <c r="AP149" s="564">
        <v>44245.955000000002</v>
      </c>
      <c r="AQ149" s="564">
        <v>4048062.42295</v>
      </c>
      <c r="AR149" s="564">
        <v>1.1746000000000001</v>
      </c>
    </row>
    <row r="150" spans="2:44">
      <c r="B150" s="565">
        <f t="shared" ca="1" si="55"/>
        <v>44925</v>
      </c>
      <c r="C150" s="561">
        <f ca="1">(IFERROR(IFERROR(VALUE(_xll.BDH(C$4,"CURRENT_EV_TO_T12M_EBITDA",$B150,$B150)),VALUE(_xll.BDH(C$4,"CURRENT_EV_TO_T12M_EBITDA",$B150+1,$B150+1))),C151))</f>
        <v>0</v>
      </c>
      <c r="D150" s="561">
        <f ca="1">(IFERROR(IFERROR(VALUE(_xll.BDH(D$4,"CURRENT_EV_TO_T12M_EBITDA",$B150,$B150)),VALUE(_xll.BDH(D$4,"CURRENT_EV_TO_T12M_EBITDA",$B150+1,$B150+1))),D151))</f>
        <v>0</v>
      </c>
      <c r="E150" s="561">
        <f ca="1">(IFERROR(IFERROR(VALUE(_xll.BDH(E$4,"CURRENT_EV_TO_T12M_EBITDA",$B150,$B150)),VALUE(_xll.BDH(E$4,"CURRENT_EV_TO_T12M_EBITDA",$B150+1,$B150+1))),E151))</f>
        <v>0</v>
      </c>
      <c r="F150" s="561">
        <f ca="1">(IFERROR(IFERROR(VALUE(_xll.BDH(F$4,"CURRENT_EV_TO_T12M_EBITDA",$B150,$B150)),VALUE(_xll.BDH(F$4,"CURRENT_EV_TO_T12M_EBITDA",$B150+1,$B150+1))),F151))</f>
        <v>0</v>
      </c>
      <c r="G150" s="561">
        <f ca="1">(IFERROR(IFERROR(VALUE(_xll.BDH(G$4,"CURRENT_EV_TO_T12M_EBITDA",$B150,$B150)),VALUE(_xll.BDH(G$4,"CURRENT_EV_TO_T12M_EBITDA",$B150+1,$B150+1))),G151))</f>
        <v>0</v>
      </c>
      <c r="H150" s="561">
        <f ca="1">(IFERROR(IFERROR(VALUE(_xll.BDH(H$4,"CURRENT_EV_TO_T12M_EBITDA",$B150,$B150)),VALUE(_xll.BDH(H$4,"CURRENT_EV_TO_T12M_EBITDA",$B150+1,$B150+1))),H151))</f>
        <v>0</v>
      </c>
      <c r="I150" s="565">
        <f t="shared" ca="1" si="45"/>
        <v>44925</v>
      </c>
      <c r="J150" s="561">
        <f ca="1">(IFERROR(IFERROR(VALUE(_xll.BDH(J$4,"PE_RATIO",$B150,$B150)),VALUE(_xll.BDH(J$4,"PE_RATIO",$B150+1,$B150+1))),J151))</f>
        <v>0</v>
      </c>
      <c r="K150" s="561">
        <f ca="1">(IFERROR(IFERROR(VALUE(_xll.BDH(K$4,"PE_RATIO",$B150,$B150)),VALUE(_xll.BDH(K$4,"PE_RATIO",$B150+1,$B150+1))),K151))</f>
        <v>0</v>
      </c>
      <c r="L150" s="561">
        <f ca="1">(IFERROR(IFERROR(VALUE(_xll.BDH(L$4,"PE_RATIO",$B150,$B150)),VALUE(_xll.BDH(L$4,"PE_RATIO",$B150+1,$B150+1))),L151))</f>
        <v>0</v>
      </c>
      <c r="M150" s="561">
        <f ca="1">(IFERROR(IFERROR(VALUE(_xll.BDH(M$4,"PE_RATIO",$B150,$B150)),VALUE(_xll.BDH(M$4,"PE_RATIO",$B150+1,$B150+1))),M151))</f>
        <v>0</v>
      </c>
      <c r="N150" s="561">
        <f ca="1">(IFERROR(IFERROR(VALUE(_xll.BDH(N$4,"PE_RATIO",$B150,$B150)),VALUE(_xll.BDH(N$4,"PE_RATIO",$B150+1,$B150+1))),N151))</f>
        <v>0</v>
      </c>
      <c r="O150" s="561">
        <f ca="1">(IFERROR(IFERROR(VALUE(_xll.BDH(O$4,"PE_RATIO",$B150,$B150)),VALUE(_xll.BDH(O$4,"PE_RATIO",$B150+1,$B150+1))),O151))</f>
        <v>0</v>
      </c>
      <c r="P150" s="561"/>
      <c r="Q150" s="565">
        <f t="shared" ca="1" si="46"/>
        <v>44925</v>
      </c>
      <c r="R150" s="4">
        <v>57.51</v>
      </c>
      <c r="S150" s="4">
        <v>3957.63</v>
      </c>
      <c r="T150" s="4">
        <v>0</v>
      </c>
      <c r="U150" s="4">
        <v>0.95010738476788359</v>
      </c>
      <c r="V150" s="4">
        <v>1.0850878323357891</v>
      </c>
      <c r="W150" s="4" t="e">
        <v>#DIV/0!</v>
      </c>
      <c r="Y150" s="561">
        <f t="shared" si="47"/>
        <v>57.51</v>
      </c>
      <c r="Z150" s="4">
        <f ca="1">IFERROR(VALUE(_xll.BDH(Z$4,"PX_LAST",$Q150,$Q150)),Z151)</f>
        <v>0</v>
      </c>
      <c r="AA150" s="4">
        <f ca="1">IFERROR(VALUE(_xll.BDH(AA$4,"PX_LAST",$Q150,$Q150)),AA151)</f>
        <v>0</v>
      </c>
      <c r="AB150" s="4">
        <f ca="1">IFERROR(VALUE(_xll.BDH(AB$4,"PX_LAST",$Q150,$Q150)),AB151)</f>
        <v>0</v>
      </c>
      <c r="AC150" s="4">
        <f ca="1">IFERROR(VALUE(_xll.BDH(AC$4,"PX_LAST",$Q150,$Q150)),AC151)</f>
        <v>0</v>
      </c>
      <c r="AD150" s="4">
        <f ca="1">IFERROR(VALUE(_xll.BDH(AD$4,"PX_LAST",$Q150,$Q150)),AD151)</f>
        <v>0</v>
      </c>
      <c r="AF150" s="4">
        <f t="shared" si="48"/>
        <v>0.95010738476788359</v>
      </c>
      <c r="AG150" s="4" t="e">
        <f t="shared" ca="1" si="49"/>
        <v>#DIV/0!</v>
      </c>
      <c r="AH150" s="4" t="e">
        <f t="shared" ca="1" si="50"/>
        <v>#DIV/0!</v>
      </c>
      <c r="AI150" s="4" t="e">
        <f t="shared" ca="1" si="51"/>
        <v>#DIV/0!</v>
      </c>
      <c r="AJ150" s="4" t="e">
        <f t="shared" ca="1" si="52"/>
        <v>#DIV/0!</v>
      </c>
      <c r="AK150" s="4" t="e">
        <f t="shared" ca="1" si="53"/>
        <v>#DIV/0!</v>
      </c>
      <c r="AM150" s="563">
        <f t="shared" ca="1" si="54"/>
        <v>45794</v>
      </c>
      <c r="AN150" s="564">
        <v>92.5</v>
      </c>
      <c r="AO150" s="564">
        <v>3306710</v>
      </c>
      <c r="AP150" s="564">
        <v>44245.955000000002</v>
      </c>
      <c r="AQ150" s="564">
        <v>4092750.8375000004</v>
      </c>
      <c r="AR150" s="564">
        <v>1.1876</v>
      </c>
    </row>
    <row r="151" spans="2:44">
      <c r="B151" s="565">
        <f t="shared" ca="1" si="55"/>
        <v>44918</v>
      </c>
      <c r="C151" s="561">
        <f ca="1">(IFERROR(IFERROR(VALUE(_xll.BDH(C$4,"CURRENT_EV_TO_T12M_EBITDA",$B151,$B151)),VALUE(_xll.BDH(C$4,"CURRENT_EV_TO_T12M_EBITDA",$B151+1,$B151+1))),C152))</f>
        <v>0</v>
      </c>
      <c r="D151" s="561">
        <f ca="1">(IFERROR(IFERROR(VALUE(_xll.BDH(D$4,"CURRENT_EV_TO_T12M_EBITDA",$B151,$B151)),VALUE(_xll.BDH(D$4,"CURRENT_EV_TO_T12M_EBITDA",$B151+1,$B151+1))),D152))</f>
        <v>0</v>
      </c>
      <c r="E151" s="561">
        <f ca="1">(IFERROR(IFERROR(VALUE(_xll.BDH(E$4,"CURRENT_EV_TO_T12M_EBITDA",$B151,$B151)),VALUE(_xll.BDH(E$4,"CURRENT_EV_TO_T12M_EBITDA",$B151+1,$B151+1))),E152))</f>
        <v>0</v>
      </c>
      <c r="F151" s="561">
        <f ca="1">(IFERROR(IFERROR(VALUE(_xll.BDH(F$4,"CURRENT_EV_TO_T12M_EBITDA",$B151,$B151)),VALUE(_xll.BDH(F$4,"CURRENT_EV_TO_T12M_EBITDA",$B151+1,$B151+1))),F152))</f>
        <v>0</v>
      </c>
      <c r="G151" s="561">
        <f ca="1">(IFERROR(IFERROR(VALUE(_xll.BDH(G$4,"CURRENT_EV_TO_T12M_EBITDA",$B151,$B151)),VALUE(_xll.BDH(G$4,"CURRENT_EV_TO_T12M_EBITDA",$B151+1,$B151+1))),G152))</f>
        <v>0</v>
      </c>
      <c r="H151" s="561">
        <f ca="1">(IFERROR(IFERROR(VALUE(_xll.BDH(H$4,"CURRENT_EV_TO_T12M_EBITDA",$B151,$B151)),VALUE(_xll.BDH(H$4,"CURRENT_EV_TO_T12M_EBITDA",$B151+1,$B151+1))),H152))</f>
        <v>0</v>
      </c>
      <c r="I151" s="565">
        <f t="shared" ca="1" si="45"/>
        <v>44918</v>
      </c>
      <c r="J151" s="561">
        <f ca="1">(IFERROR(IFERROR(VALUE(_xll.BDH(J$4,"PE_RATIO",$B151,$B151)),VALUE(_xll.BDH(J$4,"PE_RATIO",$B151+1,$B151+1))),J152))</f>
        <v>0</v>
      </c>
      <c r="K151" s="561">
        <f ca="1">(IFERROR(IFERROR(VALUE(_xll.BDH(K$4,"PE_RATIO",$B151,$B151)),VALUE(_xll.BDH(K$4,"PE_RATIO",$B151+1,$B151+1))),K152))</f>
        <v>0</v>
      </c>
      <c r="L151" s="561">
        <f ca="1">(IFERROR(IFERROR(VALUE(_xll.BDH(L$4,"PE_RATIO",$B151,$B151)),VALUE(_xll.BDH(L$4,"PE_RATIO",$B151+1,$B151+1))),L152))</f>
        <v>0</v>
      </c>
      <c r="M151" s="561">
        <f ca="1">(IFERROR(IFERROR(VALUE(_xll.BDH(M$4,"PE_RATIO",$B151,$B151)),VALUE(_xll.BDH(M$4,"PE_RATIO",$B151+1,$B151+1))),M152))</f>
        <v>0</v>
      </c>
      <c r="N151" s="561">
        <f ca="1">(IFERROR(IFERROR(VALUE(_xll.BDH(N$4,"PE_RATIO",$B151,$B151)),VALUE(_xll.BDH(N$4,"PE_RATIO",$B151+1,$B151+1))),N152))</f>
        <v>0</v>
      </c>
      <c r="O151" s="561">
        <f ca="1">(IFERROR(IFERROR(VALUE(_xll.BDH(O$4,"PE_RATIO",$B151,$B151)),VALUE(_xll.BDH(O$4,"PE_RATIO",$B151+1,$B151+1))),O152))</f>
        <v>0</v>
      </c>
      <c r="P151" s="561"/>
      <c r="Q151" s="565">
        <f t="shared" ca="1" si="46"/>
        <v>44918</v>
      </c>
      <c r="R151" s="4">
        <v>56.98</v>
      </c>
      <c r="S151" s="4">
        <v>4003.58</v>
      </c>
      <c r="T151" s="4">
        <v>0</v>
      </c>
      <c r="U151" s="4">
        <v>0.94135139600198237</v>
      </c>
      <c r="V151" s="4">
        <v>1.0976862273084949</v>
      </c>
      <c r="W151" s="4" t="e">
        <v>#DIV/0!</v>
      </c>
      <c r="Y151" s="561">
        <f t="shared" si="47"/>
        <v>56.98</v>
      </c>
      <c r="Z151" s="4">
        <f ca="1">IFERROR(VALUE(_xll.BDH(Z$4,"PX_LAST",$Q151,$Q151)),Z152)</f>
        <v>0</v>
      </c>
      <c r="AA151" s="4">
        <f ca="1">IFERROR(VALUE(_xll.BDH(AA$4,"PX_LAST",$Q151,$Q151)),AA152)</f>
        <v>0</v>
      </c>
      <c r="AB151" s="4">
        <f ca="1">IFERROR(VALUE(_xll.BDH(AB$4,"PX_LAST",$Q151,$Q151)),AB152)</f>
        <v>0</v>
      </c>
      <c r="AC151" s="4">
        <f ca="1">IFERROR(VALUE(_xll.BDH(AC$4,"PX_LAST",$Q151,$Q151)),AC152)</f>
        <v>0</v>
      </c>
      <c r="AD151" s="4">
        <f ca="1">IFERROR(VALUE(_xll.BDH(AD$4,"PX_LAST",$Q151,$Q151)),AD152)</f>
        <v>0</v>
      </c>
      <c r="AF151" s="4">
        <f t="shared" si="48"/>
        <v>0.94135139600198237</v>
      </c>
      <c r="AG151" s="4" t="e">
        <f t="shared" ca="1" si="49"/>
        <v>#DIV/0!</v>
      </c>
      <c r="AH151" s="4" t="e">
        <f t="shared" ca="1" si="50"/>
        <v>#DIV/0!</v>
      </c>
      <c r="AI151" s="4" t="e">
        <f t="shared" ca="1" si="51"/>
        <v>#DIV/0!</v>
      </c>
      <c r="AJ151" s="4" t="e">
        <f t="shared" ca="1" si="52"/>
        <v>#DIV/0!</v>
      </c>
      <c r="AK151" s="4" t="e">
        <f t="shared" ca="1" si="53"/>
        <v>#DIV/0!</v>
      </c>
      <c r="AM151" s="563">
        <f t="shared" ca="1" si="54"/>
        <v>45793</v>
      </c>
      <c r="AN151" s="564">
        <v>96.55</v>
      </c>
      <c r="AO151" s="564">
        <v>621989</v>
      </c>
      <c r="AP151" s="564">
        <v>44245.955000000002</v>
      </c>
      <c r="AQ151" s="564">
        <v>4271946.9552499996</v>
      </c>
      <c r="AR151" s="564">
        <v>1.2396</v>
      </c>
    </row>
    <row r="152" spans="2:44">
      <c r="B152" s="565">
        <f t="shared" ca="1" si="55"/>
        <v>44911</v>
      </c>
      <c r="C152" s="561">
        <f ca="1">(IFERROR(IFERROR(VALUE(_xll.BDH(C$4,"CURRENT_EV_TO_T12M_EBITDA",$B152,$B152)),VALUE(_xll.BDH(C$4,"CURRENT_EV_TO_T12M_EBITDA",$B152+1,$B152+1))),C153))</f>
        <v>0</v>
      </c>
      <c r="D152" s="561">
        <f ca="1">(IFERROR(IFERROR(VALUE(_xll.BDH(D$4,"CURRENT_EV_TO_T12M_EBITDA",$B152,$B152)),VALUE(_xll.BDH(D$4,"CURRENT_EV_TO_T12M_EBITDA",$B152+1,$B152+1))),D153))</f>
        <v>0</v>
      </c>
      <c r="E152" s="561">
        <f ca="1">(IFERROR(IFERROR(VALUE(_xll.BDH(E$4,"CURRENT_EV_TO_T12M_EBITDA",$B152,$B152)),VALUE(_xll.BDH(E$4,"CURRENT_EV_TO_T12M_EBITDA",$B152+1,$B152+1))),E153))</f>
        <v>0</v>
      </c>
      <c r="F152" s="561">
        <f ca="1">(IFERROR(IFERROR(VALUE(_xll.BDH(F$4,"CURRENT_EV_TO_T12M_EBITDA",$B152,$B152)),VALUE(_xll.BDH(F$4,"CURRENT_EV_TO_T12M_EBITDA",$B152+1,$B152+1))),F153))</f>
        <v>0</v>
      </c>
      <c r="G152" s="561">
        <f ca="1">(IFERROR(IFERROR(VALUE(_xll.BDH(G$4,"CURRENT_EV_TO_T12M_EBITDA",$B152,$B152)),VALUE(_xll.BDH(G$4,"CURRENT_EV_TO_T12M_EBITDA",$B152+1,$B152+1))),G153))</f>
        <v>0</v>
      </c>
      <c r="H152" s="561">
        <f ca="1">(IFERROR(IFERROR(VALUE(_xll.BDH(H$4,"CURRENT_EV_TO_T12M_EBITDA",$B152,$B152)),VALUE(_xll.BDH(H$4,"CURRENT_EV_TO_T12M_EBITDA",$B152+1,$B152+1))),H153))</f>
        <v>0</v>
      </c>
      <c r="I152" s="565">
        <f t="shared" ca="1" si="45"/>
        <v>44911</v>
      </c>
      <c r="J152" s="561">
        <f ca="1">(IFERROR(IFERROR(VALUE(_xll.BDH(J$4,"PE_RATIO",$B152,$B152)),VALUE(_xll.BDH(J$4,"PE_RATIO",$B152+1,$B152+1))),J153))</f>
        <v>0</v>
      </c>
      <c r="K152" s="561">
        <f ca="1">(IFERROR(IFERROR(VALUE(_xll.BDH(K$4,"PE_RATIO",$B152,$B152)),VALUE(_xll.BDH(K$4,"PE_RATIO",$B152+1,$B152+1))),K153))</f>
        <v>0</v>
      </c>
      <c r="L152" s="561">
        <f ca="1">(IFERROR(IFERROR(VALUE(_xll.BDH(L$4,"PE_RATIO",$B152,$B152)),VALUE(_xll.BDH(L$4,"PE_RATIO",$B152+1,$B152+1))),L153))</f>
        <v>0</v>
      </c>
      <c r="M152" s="561">
        <f ca="1">(IFERROR(IFERROR(VALUE(_xll.BDH(M$4,"PE_RATIO",$B152,$B152)),VALUE(_xll.BDH(M$4,"PE_RATIO",$B152+1,$B152+1))),M153))</f>
        <v>0</v>
      </c>
      <c r="N152" s="561">
        <f ca="1">(IFERROR(IFERROR(VALUE(_xll.BDH(N$4,"PE_RATIO",$B152,$B152)),VALUE(_xll.BDH(N$4,"PE_RATIO",$B152+1,$B152+1))),N153))</f>
        <v>0</v>
      </c>
      <c r="O152" s="561">
        <f ca="1">(IFERROR(IFERROR(VALUE(_xll.BDH(O$4,"PE_RATIO",$B152,$B152)),VALUE(_xll.BDH(O$4,"PE_RATIO",$B152+1,$B152+1))),O153))</f>
        <v>0</v>
      </c>
      <c r="P152" s="561"/>
      <c r="Q152" s="565">
        <f t="shared" ca="1" si="46"/>
        <v>44911</v>
      </c>
      <c r="R152" s="4">
        <v>53.61</v>
      </c>
      <c r="S152" s="4">
        <v>3991.73</v>
      </c>
      <c r="T152" s="4">
        <v>0</v>
      </c>
      <c r="U152" s="4">
        <v>0.88567652403766728</v>
      </c>
      <c r="V152" s="4">
        <v>1.0944372397039994</v>
      </c>
      <c r="W152" s="4" t="e">
        <v>#DIV/0!</v>
      </c>
      <c r="Y152" s="561">
        <f t="shared" si="47"/>
        <v>53.61</v>
      </c>
      <c r="Z152" s="4">
        <f ca="1">IFERROR(VALUE(_xll.BDH(Z$4,"PX_LAST",$Q152,$Q152)),Z153)</f>
        <v>0</v>
      </c>
      <c r="AA152" s="4">
        <f ca="1">IFERROR(VALUE(_xll.BDH(AA$4,"PX_LAST",$Q152,$Q152)),AA153)</f>
        <v>0</v>
      </c>
      <c r="AB152" s="4">
        <f ca="1">IFERROR(VALUE(_xll.BDH(AB$4,"PX_LAST",$Q152,$Q152)),AB153)</f>
        <v>0</v>
      </c>
      <c r="AC152" s="4">
        <f ca="1">IFERROR(VALUE(_xll.BDH(AC$4,"PX_LAST",$Q152,$Q152)),AC153)</f>
        <v>0</v>
      </c>
      <c r="AD152" s="4">
        <f ca="1">IFERROR(VALUE(_xll.BDH(AD$4,"PX_LAST",$Q152,$Q152)),AD153)</f>
        <v>0</v>
      </c>
      <c r="AF152" s="4">
        <f t="shared" si="48"/>
        <v>0.88567652403766728</v>
      </c>
      <c r="AG152" s="4" t="e">
        <f t="shared" ca="1" si="49"/>
        <v>#DIV/0!</v>
      </c>
      <c r="AH152" s="4" t="e">
        <f t="shared" ca="1" si="50"/>
        <v>#DIV/0!</v>
      </c>
      <c r="AI152" s="4" t="e">
        <f t="shared" ca="1" si="51"/>
        <v>#DIV/0!</v>
      </c>
      <c r="AJ152" s="4" t="e">
        <f t="shared" ca="1" si="52"/>
        <v>#DIV/0!</v>
      </c>
      <c r="AK152" s="4" t="e">
        <f t="shared" ca="1" si="53"/>
        <v>#DIV/0!</v>
      </c>
      <c r="AM152" s="563">
        <f t="shared" ca="1" si="54"/>
        <v>45792</v>
      </c>
      <c r="AN152" s="564">
        <v>98.75</v>
      </c>
      <c r="AO152" s="564">
        <v>1035915</v>
      </c>
      <c r="AP152" s="564">
        <v>44245.955000000002</v>
      </c>
      <c r="AQ152" s="564">
        <v>4369288.0562500004</v>
      </c>
      <c r="AR152" s="564">
        <v>1.2679</v>
      </c>
    </row>
    <row r="153" spans="2:44">
      <c r="B153" s="565">
        <f t="shared" ca="1" si="55"/>
        <v>44904</v>
      </c>
      <c r="C153" s="561">
        <f ca="1">(IFERROR(IFERROR(VALUE(_xll.BDH(C$4,"CURRENT_EV_TO_T12M_EBITDA",$B153,$B153)),VALUE(_xll.BDH(C$4,"CURRENT_EV_TO_T12M_EBITDA",$B153+1,$B153+1))),C154))</f>
        <v>0</v>
      </c>
      <c r="D153" s="561">
        <f ca="1">(IFERROR(IFERROR(VALUE(_xll.BDH(D$4,"CURRENT_EV_TO_T12M_EBITDA",$B153,$B153)),VALUE(_xll.BDH(D$4,"CURRENT_EV_TO_T12M_EBITDA",$B153+1,$B153+1))),D154))</f>
        <v>0</v>
      </c>
      <c r="E153" s="561">
        <f ca="1">(IFERROR(IFERROR(VALUE(_xll.BDH(E$4,"CURRENT_EV_TO_T12M_EBITDA",$B153,$B153)),VALUE(_xll.BDH(E$4,"CURRENT_EV_TO_T12M_EBITDA",$B153+1,$B153+1))),E154))</f>
        <v>0</v>
      </c>
      <c r="F153" s="561">
        <f ca="1">(IFERROR(IFERROR(VALUE(_xll.BDH(F$4,"CURRENT_EV_TO_T12M_EBITDA",$B153,$B153)),VALUE(_xll.BDH(F$4,"CURRENT_EV_TO_T12M_EBITDA",$B153+1,$B153+1))),F154))</f>
        <v>0</v>
      </c>
      <c r="G153" s="561">
        <f ca="1">(IFERROR(IFERROR(VALUE(_xll.BDH(G$4,"CURRENT_EV_TO_T12M_EBITDA",$B153,$B153)),VALUE(_xll.BDH(G$4,"CURRENT_EV_TO_T12M_EBITDA",$B153+1,$B153+1))),G154))</f>
        <v>0</v>
      </c>
      <c r="H153" s="561">
        <f ca="1">(IFERROR(IFERROR(VALUE(_xll.BDH(H$4,"CURRENT_EV_TO_T12M_EBITDA",$B153,$B153)),VALUE(_xll.BDH(H$4,"CURRENT_EV_TO_T12M_EBITDA",$B153+1,$B153+1))),H154))</f>
        <v>0</v>
      </c>
      <c r="I153" s="565">
        <f t="shared" ca="1" si="45"/>
        <v>44904</v>
      </c>
      <c r="J153" s="561">
        <f ca="1">(IFERROR(IFERROR(VALUE(_xll.BDH(J$4,"PE_RATIO",$B153,$B153)),VALUE(_xll.BDH(J$4,"PE_RATIO",$B153+1,$B153+1))),J154))</f>
        <v>0</v>
      </c>
      <c r="K153" s="561">
        <f ca="1">(IFERROR(IFERROR(VALUE(_xll.BDH(K$4,"PE_RATIO",$B153,$B153)),VALUE(_xll.BDH(K$4,"PE_RATIO",$B153+1,$B153+1))),K154))</f>
        <v>0</v>
      </c>
      <c r="L153" s="561">
        <f ca="1">(IFERROR(IFERROR(VALUE(_xll.BDH(L$4,"PE_RATIO",$B153,$B153)),VALUE(_xll.BDH(L$4,"PE_RATIO",$B153+1,$B153+1))),L154))</f>
        <v>0</v>
      </c>
      <c r="M153" s="561">
        <f ca="1">(IFERROR(IFERROR(VALUE(_xll.BDH(M$4,"PE_RATIO",$B153,$B153)),VALUE(_xll.BDH(M$4,"PE_RATIO",$B153+1,$B153+1))),M154))</f>
        <v>0</v>
      </c>
      <c r="N153" s="561">
        <f ca="1">(IFERROR(IFERROR(VALUE(_xll.BDH(N$4,"PE_RATIO",$B153,$B153)),VALUE(_xll.BDH(N$4,"PE_RATIO",$B153+1,$B153+1))),N154))</f>
        <v>0</v>
      </c>
      <c r="O153" s="561">
        <f ca="1">(IFERROR(IFERROR(VALUE(_xll.BDH(O$4,"PE_RATIO",$B153,$B153)),VALUE(_xll.BDH(O$4,"PE_RATIO",$B153+1,$B153+1))),O154))</f>
        <v>0</v>
      </c>
      <c r="P153" s="561"/>
      <c r="Q153" s="565">
        <f t="shared" ca="1" si="46"/>
        <v>44904</v>
      </c>
      <c r="R153" s="4">
        <v>59.66</v>
      </c>
      <c r="S153" s="4">
        <v>3828.11</v>
      </c>
      <c r="T153" s="4">
        <v>0</v>
      </c>
      <c r="U153" s="4">
        <v>0.98562696183710552</v>
      </c>
      <c r="V153" s="4">
        <v>1.049576534906739</v>
      </c>
      <c r="W153" s="4" t="e">
        <v>#DIV/0!</v>
      </c>
      <c r="Y153" s="561">
        <f t="shared" si="47"/>
        <v>59.66</v>
      </c>
      <c r="Z153" s="4">
        <f ca="1">IFERROR(VALUE(_xll.BDH(Z$4,"PX_LAST",$Q153,$Q153)),Z154)</f>
        <v>0</v>
      </c>
      <c r="AA153" s="4">
        <f ca="1">IFERROR(VALUE(_xll.BDH(AA$4,"PX_LAST",$Q153,$Q153)),AA154)</f>
        <v>0</v>
      </c>
      <c r="AB153" s="4">
        <f ca="1">IFERROR(VALUE(_xll.BDH(AB$4,"PX_LAST",$Q153,$Q153)),AB154)</f>
        <v>0</v>
      </c>
      <c r="AC153" s="4">
        <f ca="1">IFERROR(VALUE(_xll.BDH(AC$4,"PX_LAST",$Q153,$Q153)),AC154)</f>
        <v>0</v>
      </c>
      <c r="AD153" s="4">
        <f ca="1">IFERROR(VALUE(_xll.BDH(AD$4,"PX_LAST",$Q153,$Q153)),AD154)</f>
        <v>0</v>
      </c>
      <c r="AF153" s="4">
        <f t="shared" si="48"/>
        <v>0.98562696183710552</v>
      </c>
      <c r="AG153" s="4" t="e">
        <f t="shared" ca="1" si="49"/>
        <v>#DIV/0!</v>
      </c>
      <c r="AH153" s="4" t="e">
        <f t="shared" ca="1" si="50"/>
        <v>#DIV/0!</v>
      </c>
      <c r="AI153" s="4" t="e">
        <f t="shared" ca="1" si="51"/>
        <v>#DIV/0!</v>
      </c>
      <c r="AJ153" s="4" t="e">
        <f t="shared" ca="1" si="52"/>
        <v>#DIV/0!</v>
      </c>
      <c r="AK153" s="4" t="e">
        <f t="shared" ca="1" si="53"/>
        <v>#DIV/0!</v>
      </c>
      <c r="AM153" s="563">
        <f t="shared" ca="1" si="54"/>
        <v>45791</v>
      </c>
      <c r="AN153" s="564">
        <v>98.99</v>
      </c>
      <c r="AO153" s="564">
        <v>1275280</v>
      </c>
      <c r="AP153" s="564">
        <v>44245.955000000002</v>
      </c>
      <c r="AQ153" s="564">
        <v>4379907.0854500001</v>
      </c>
      <c r="AR153" s="564">
        <v>1.2708999999999999</v>
      </c>
    </row>
    <row r="154" spans="2:44">
      <c r="B154" s="565">
        <f t="shared" ca="1" si="55"/>
        <v>44897</v>
      </c>
      <c r="C154" s="561">
        <f ca="1">(IFERROR(IFERROR(VALUE(_xll.BDH(C$4,"CURRENT_EV_TO_T12M_EBITDA",$B154,$B154)),VALUE(_xll.BDH(C$4,"CURRENT_EV_TO_T12M_EBITDA",$B154+1,$B154+1))),C155))</f>
        <v>0</v>
      </c>
      <c r="D154" s="561">
        <f ca="1">(IFERROR(IFERROR(VALUE(_xll.BDH(D$4,"CURRENT_EV_TO_T12M_EBITDA",$B154,$B154)),VALUE(_xll.BDH(D$4,"CURRENT_EV_TO_T12M_EBITDA",$B154+1,$B154+1))),D155))</f>
        <v>0</v>
      </c>
      <c r="E154" s="561">
        <f ca="1">(IFERROR(IFERROR(VALUE(_xll.BDH(E$4,"CURRENT_EV_TO_T12M_EBITDA",$B154,$B154)),VALUE(_xll.BDH(E$4,"CURRENT_EV_TO_T12M_EBITDA",$B154+1,$B154+1))),E155))</f>
        <v>0</v>
      </c>
      <c r="F154" s="561">
        <f ca="1">(IFERROR(IFERROR(VALUE(_xll.BDH(F$4,"CURRENT_EV_TO_T12M_EBITDA",$B154,$B154)),VALUE(_xll.BDH(F$4,"CURRENT_EV_TO_T12M_EBITDA",$B154+1,$B154+1))),F155))</f>
        <v>0</v>
      </c>
      <c r="G154" s="561">
        <f ca="1">(IFERROR(IFERROR(VALUE(_xll.BDH(G$4,"CURRENT_EV_TO_T12M_EBITDA",$B154,$B154)),VALUE(_xll.BDH(G$4,"CURRENT_EV_TO_T12M_EBITDA",$B154+1,$B154+1))),G155))</f>
        <v>0</v>
      </c>
      <c r="H154" s="561">
        <f ca="1">(IFERROR(IFERROR(VALUE(_xll.BDH(H$4,"CURRENT_EV_TO_T12M_EBITDA",$B154,$B154)),VALUE(_xll.BDH(H$4,"CURRENT_EV_TO_T12M_EBITDA",$B154+1,$B154+1))),H155))</f>
        <v>0</v>
      </c>
      <c r="I154" s="565">
        <f t="shared" ca="1" si="45"/>
        <v>44897</v>
      </c>
      <c r="J154" s="561">
        <f ca="1">(IFERROR(IFERROR(VALUE(_xll.BDH(J$4,"PE_RATIO",$B154,$B154)),VALUE(_xll.BDH(J$4,"PE_RATIO",$B154+1,$B154+1))),J155))</f>
        <v>0</v>
      </c>
      <c r="K154" s="561">
        <f ca="1">(IFERROR(IFERROR(VALUE(_xll.BDH(K$4,"PE_RATIO",$B154,$B154)),VALUE(_xll.BDH(K$4,"PE_RATIO",$B154+1,$B154+1))),K155))</f>
        <v>0</v>
      </c>
      <c r="L154" s="561">
        <f ca="1">(IFERROR(IFERROR(VALUE(_xll.BDH(L$4,"PE_RATIO",$B154,$B154)),VALUE(_xll.BDH(L$4,"PE_RATIO",$B154+1,$B154+1))),L155))</f>
        <v>0</v>
      </c>
      <c r="M154" s="561">
        <f ca="1">(IFERROR(IFERROR(VALUE(_xll.BDH(M$4,"PE_RATIO",$B154,$B154)),VALUE(_xll.BDH(M$4,"PE_RATIO",$B154+1,$B154+1))),M155))</f>
        <v>0</v>
      </c>
      <c r="N154" s="561">
        <f ca="1">(IFERROR(IFERROR(VALUE(_xll.BDH(N$4,"PE_RATIO",$B154,$B154)),VALUE(_xll.BDH(N$4,"PE_RATIO",$B154+1,$B154+1))),N155))</f>
        <v>0</v>
      </c>
      <c r="O154" s="561">
        <f ca="1">(IFERROR(IFERROR(VALUE(_xll.BDH(O$4,"PE_RATIO",$B154,$B154)),VALUE(_xll.BDH(O$4,"PE_RATIO",$B154+1,$B154+1))),O155))</f>
        <v>0</v>
      </c>
      <c r="P154" s="561"/>
      <c r="Q154" s="565">
        <f t="shared" ca="1" si="46"/>
        <v>44897</v>
      </c>
      <c r="R154" s="4">
        <v>57.26</v>
      </c>
      <c r="S154" s="4">
        <v>3856.1</v>
      </c>
      <c r="T154" s="4">
        <v>0</v>
      </c>
      <c r="U154" s="4">
        <v>0.94597720138774155</v>
      </c>
      <c r="V154" s="4">
        <v>1.0572507258814079</v>
      </c>
      <c r="W154" s="4" t="e">
        <v>#DIV/0!</v>
      </c>
      <c r="Y154" s="561">
        <f t="shared" si="47"/>
        <v>57.26</v>
      </c>
      <c r="Z154" s="4">
        <f ca="1">IFERROR(VALUE(_xll.BDH(Z$4,"PX_LAST",$Q154,$Q154)),Z155)</f>
        <v>0</v>
      </c>
      <c r="AA154" s="4">
        <f ca="1">IFERROR(VALUE(_xll.BDH(AA$4,"PX_LAST",$Q154,$Q154)),AA155)</f>
        <v>0</v>
      </c>
      <c r="AB154" s="4">
        <f ca="1">IFERROR(VALUE(_xll.BDH(AB$4,"PX_LAST",$Q154,$Q154)),AB155)</f>
        <v>0</v>
      </c>
      <c r="AC154" s="4">
        <f ca="1">IFERROR(VALUE(_xll.BDH(AC$4,"PX_LAST",$Q154,$Q154)),AC155)</f>
        <v>0</v>
      </c>
      <c r="AD154" s="4">
        <f ca="1">IFERROR(VALUE(_xll.BDH(AD$4,"PX_LAST",$Q154,$Q154)),AD155)</f>
        <v>0</v>
      </c>
      <c r="AF154" s="4">
        <f t="shared" si="48"/>
        <v>0.94597720138774155</v>
      </c>
      <c r="AG154" s="4" t="e">
        <f t="shared" ca="1" si="49"/>
        <v>#DIV/0!</v>
      </c>
      <c r="AH154" s="4" t="e">
        <f t="shared" ca="1" si="50"/>
        <v>#DIV/0!</v>
      </c>
      <c r="AI154" s="4" t="e">
        <f t="shared" ca="1" si="51"/>
        <v>#DIV/0!</v>
      </c>
      <c r="AJ154" s="4" t="e">
        <f t="shared" ca="1" si="52"/>
        <v>#DIV/0!</v>
      </c>
      <c r="AK154" s="4" t="e">
        <f t="shared" ca="1" si="53"/>
        <v>#DIV/0!</v>
      </c>
      <c r="AM154" s="563">
        <f t="shared" ca="1" si="54"/>
        <v>45790</v>
      </c>
      <c r="AN154" s="564">
        <v>98.99</v>
      </c>
      <c r="AO154" s="564">
        <v>1275280</v>
      </c>
      <c r="AP154" s="564">
        <v>44245.955000000002</v>
      </c>
      <c r="AQ154" s="564">
        <v>4379907.0854500001</v>
      </c>
      <c r="AR154" s="564">
        <v>1.2708999999999999</v>
      </c>
    </row>
    <row r="155" spans="2:44">
      <c r="B155" s="565">
        <f t="shared" ca="1" si="55"/>
        <v>44890</v>
      </c>
      <c r="C155" s="561">
        <f ca="1">(IFERROR(IFERROR(VALUE(_xll.BDH(C$4,"CURRENT_EV_TO_T12M_EBITDA",$B155,$B155)),VALUE(_xll.BDH(C$4,"CURRENT_EV_TO_T12M_EBITDA",$B155+1,$B155+1))),C156))</f>
        <v>0</v>
      </c>
      <c r="D155" s="561">
        <f ca="1">(IFERROR(IFERROR(VALUE(_xll.BDH(D$4,"CURRENT_EV_TO_T12M_EBITDA",$B155,$B155)),VALUE(_xll.BDH(D$4,"CURRENT_EV_TO_T12M_EBITDA",$B155+1,$B155+1))),D156))</f>
        <v>0</v>
      </c>
      <c r="E155" s="561">
        <f ca="1">(IFERROR(IFERROR(VALUE(_xll.BDH(E$4,"CURRENT_EV_TO_T12M_EBITDA",$B155,$B155)),VALUE(_xll.BDH(E$4,"CURRENT_EV_TO_T12M_EBITDA",$B155+1,$B155+1))),E156))</f>
        <v>0</v>
      </c>
      <c r="F155" s="561">
        <f ca="1">(IFERROR(IFERROR(VALUE(_xll.BDH(F$4,"CURRENT_EV_TO_T12M_EBITDA",$B155,$B155)),VALUE(_xll.BDH(F$4,"CURRENT_EV_TO_T12M_EBITDA",$B155+1,$B155+1))),F156))</f>
        <v>0</v>
      </c>
      <c r="G155" s="561">
        <f ca="1">(IFERROR(IFERROR(VALUE(_xll.BDH(G$4,"CURRENT_EV_TO_T12M_EBITDA",$B155,$B155)),VALUE(_xll.BDH(G$4,"CURRENT_EV_TO_T12M_EBITDA",$B155+1,$B155+1))),G156))</f>
        <v>0</v>
      </c>
      <c r="H155" s="561">
        <f ca="1">(IFERROR(IFERROR(VALUE(_xll.BDH(H$4,"CURRENT_EV_TO_T12M_EBITDA",$B155,$B155)),VALUE(_xll.BDH(H$4,"CURRENT_EV_TO_T12M_EBITDA",$B155+1,$B155+1))),H156))</f>
        <v>0</v>
      </c>
      <c r="I155" s="565">
        <f t="shared" ca="1" si="45"/>
        <v>44890</v>
      </c>
      <c r="J155" s="561">
        <f ca="1">(IFERROR(IFERROR(VALUE(_xll.BDH(J$4,"PE_RATIO",$B155,$B155)),VALUE(_xll.BDH(J$4,"PE_RATIO",$B155+1,$B155+1))),J156))</f>
        <v>0</v>
      </c>
      <c r="K155" s="561">
        <f ca="1">(IFERROR(IFERROR(VALUE(_xll.BDH(K$4,"PE_RATIO",$B155,$B155)),VALUE(_xll.BDH(K$4,"PE_RATIO",$B155+1,$B155+1))),K156))</f>
        <v>0</v>
      </c>
      <c r="L155" s="561">
        <f ca="1">(IFERROR(IFERROR(VALUE(_xll.BDH(L$4,"PE_RATIO",$B155,$B155)),VALUE(_xll.BDH(L$4,"PE_RATIO",$B155+1,$B155+1))),L156))</f>
        <v>0</v>
      </c>
      <c r="M155" s="561">
        <f ca="1">(IFERROR(IFERROR(VALUE(_xll.BDH(M$4,"PE_RATIO",$B155,$B155)),VALUE(_xll.BDH(M$4,"PE_RATIO",$B155+1,$B155+1))),M156))</f>
        <v>0</v>
      </c>
      <c r="N155" s="561">
        <f ca="1">(IFERROR(IFERROR(VALUE(_xll.BDH(N$4,"PE_RATIO",$B155,$B155)),VALUE(_xll.BDH(N$4,"PE_RATIO",$B155+1,$B155+1))),N156))</f>
        <v>0</v>
      </c>
      <c r="O155" s="561">
        <f ca="1">(IFERROR(IFERROR(VALUE(_xll.BDH(O$4,"PE_RATIO",$B155,$B155)),VALUE(_xll.BDH(O$4,"PE_RATIO",$B155+1,$B155+1))),O156))</f>
        <v>0</v>
      </c>
      <c r="P155" s="561"/>
      <c r="Q155" s="565">
        <f t="shared" ca="1" si="46"/>
        <v>44890</v>
      </c>
      <c r="R155" s="4">
        <v>59.32</v>
      </c>
      <c r="S155" s="4">
        <v>3859.11</v>
      </c>
      <c r="T155" s="4">
        <v>0</v>
      </c>
      <c r="U155" s="4">
        <v>0.98000991244011237</v>
      </c>
      <c r="V155" s="4">
        <v>1.0580759961505666</v>
      </c>
      <c r="W155" s="4" t="e">
        <v>#DIV/0!</v>
      </c>
      <c r="Y155" s="561">
        <f t="shared" si="47"/>
        <v>59.32</v>
      </c>
      <c r="Z155" s="4">
        <f ca="1">IFERROR(VALUE(_xll.BDH(Z$4,"PX_LAST",$Q155,$Q155)),Z156)</f>
        <v>0</v>
      </c>
      <c r="AA155" s="4">
        <f ca="1">IFERROR(VALUE(_xll.BDH(AA$4,"PX_LAST",$Q155,$Q155)),AA156)</f>
        <v>0</v>
      </c>
      <c r="AB155" s="4">
        <f ca="1">IFERROR(VALUE(_xll.BDH(AB$4,"PX_LAST",$Q155,$Q155)),AB156)</f>
        <v>0</v>
      </c>
      <c r="AC155" s="4">
        <f ca="1">IFERROR(VALUE(_xll.BDH(AC$4,"PX_LAST",$Q155,$Q155)),AC156)</f>
        <v>0</v>
      </c>
      <c r="AD155" s="4">
        <f ca="1">IFERROR(VALUE(_xll.BDH(AD$4,"PX_LAST",$Q155,$Q155)),AD156)</f>
        <v>0</v>
      </c>
      <c r="AF155" s="4">
        <f t="shared" si="48"/>
        <v>0.98000991244011237</v>
      </c>
      <c r="AG155" s="4" t="e">
        <f t="shared" ca="1" si="49"/>
        <v>#DIV/0!</v>
      </c>
      <c r="AH155" s="4" t="e">
        <f t="shared" ca="1" si="50"/>
        <v>#DIV/0!</v>
      </c>
      <c r="AI155" s="4" t="e">
        <f t="shared" ca="1" si="51"/>
        <v>#DIV/0!</v>
      </c>
      <c r="AJ155" s="4" t="e">
        <f t="shared" ca="1" si="52"/>
        <v>#DIV/0!</v>
      </c>
      <c r="AK155" s="4" t="e">
        <f t="shared" ca="1" si="53"/>
        <v>#DIV/0!</v>
      </c>
      <c r="AM155" s="563">
        <f t="shared" ca="1" si="54"/>
        <v>45789</v>
      </c>
      <c r="AN155" s="564">
        <v>98.99</v>
      </c>
      <c r="AO155" s="564">
        <v>1275280</v>
      </c>
      <c r="AP155" s="564">
        <v>44245.955000000002</v>
      </c>
      <c r="AQ155" s="564">
        <v>4379907.0854500001</v>
      </c>
      <c r="AR155" s="564">
        <v>1.2708999999999999</v>
      </c>
    </row>
    <row r="156" spans="2:44">
      <c r="B156" s="565">
        <f t="shared" ca="1" si="55"/>
        <v>44883</v>
      </c>
      <c r="C156" s="561">
        <f ca="1">(IFERROR(IFERROR(VALUE(_xll.BDH(C$4,"CURRENT_EV_TO_T12M_EBITDA",$B156,$B156)),VALUE(_xll.BDH(C$4,"CURRENT_EV_TO_T12M_EBITDA",$B156+1,$B156+1))),C157))</f>
        <v>0</v>
      </c>
      <c r="D156" s="561">
        <f ca="1">(IFERROR(IFERROR(VALUE(_xll.BDH(D$4,"CURRENT_EV_TO_T12M_EBITDA",$B156,$B156)),VALUE(_xll.BDH(D$4,"CURRENT_EV_TO_T12M_EBITDA",$B156+1,$B156+1))),D157))</f>
        <v>0</v>
      </c>
      <c r="E156" s="561">
        <f ca="1">(IFERROR(IFERROR(VALUE(_xll.BDH(E$4,"CURRENT_EV_TO_T12M_EBITDA",$B156,$B156)),VALUE(_xll.BDH(E$4,"CURRENT_EV_TO_T12M_EBITDA",$B156+1,$B156+1))),E157))</f>
        <v>0</v>
      </c>
      <c r="F156" s="561">
        <f ca="1">(IFERROR(IFERROR(VALUE(_xll.BDH(F$4,"CURRENT_EV_TO_T12M_EBITDA",$B156,$B156)),VALUE(_xll.BDH(F$4,"CURRENT_EV_TO_T12M_EBITDA",$B156+1,$B156+1))),F157))</f>
        <v>0</v>
      </c>
      <c r="G156" s="561">
        <f ca="1">(IFERROR(IFERROR(VALUE(_xll.BDH(G$4,"CURRENT_EV_TO_T12M_EBITDA",$B156,$B156)),VALUE(_xll.BDH(G$4,"CURRENT_EV_TO_T12M_EBITDA",$B156+1,$B156+1))),G157))</f>
        <v>0</v>
      </c>
      <c r="H156" s="561">
        <f ca="1">(IFERROR(IFERROR(VALUE(_xll.BDH(H$4,"CURRENT_EV_TO_T12M_EBITDA",$B156,$B156)),VALUE(_xll.BDH(H$4,"CURRENT_EV_TO_T12M_EBITDA",$B156+1,$B156+1))),H157))</f>
        <v>0</v>
      </c>
      <c r="I156" s="565">
        <f t="shared" ca="1" si="45"/>
        <v>44883</v>
      </c>
      <c r="J156" s="561">
        <f ca="1">(IFERROR(IFERROR(VALUE(_xll.BDH(J$4,"PE_RATIO",$B156,$B156)),VALUE(_xll.BDH(J$4,"PE_RATIO",$B156+1,$B156+1))),J157))</f>
        <v>0</v>
      </c>
      <c r="K156" s="561">
        <f ca="1">(IFERROR(IFERROR(VALUE(_xll.BDH(K$4,"PE_RATIO",$B156,$B156)),VALUE(_xll.BDH(K$4,"PE_RATIO",$B156+1,$B156+1))),K157))</f>
        <v>0</v>
      </c>
      <c r="L156" s="561">
        <f ca="1">(IFERROR(IFERROR(VALUE(_xll.BDH(L$4,"PE_RATIO",$B156,$B156)),VALUE(_xll.BDH(L$4,"PE_RATIO",$B156+1,$B156+1))),L157))</f>
        <v>0</v>
      </c>
      <c r="M156" s="561">
        <f ca="1">(IFERROR(IFERROR(VALUE(_xll.BDH(M$4,"PE_RATIO",$B156,$B156)),VALUE(_xll.BDH(M$4,"PE_RATIO",$B156+1,$B156+1))),M157))</f>
        <v>0</v>
      </c>
      <c r="N156" s="561">
        <f ca="1">(IFERROR(IFERROR(VALUE(_xll.BDH(N$4,"PE_RATIO",$B156,$B156)),VALUE(_xll.BDH(N$4,"PE_RATIO",$B156+1,$B156+1))),N157))</f>
        <v>0</v>
      </c>
      <c r="O156" s="561">
        <f ca="1">(IFERROR(IFERROR(VALUE(_xll.BDH(O$4,"PE_RATIO",$B156,$B156)),VALUE(_xll.BDH(O$4,"PE_RATIO",$B156+1,$B156+1))),O157))</f>
        <v>0</v>
      </c>
      <c r="P156" s="561"/>
      <c r="Q156" s="565">
        <f t="shared" ca="1" si="46"/>
        <v>44883</v>
      </c>
      <c r="R156" s="4">
        <v>59.61</v>
      </c>
      <c r="S156" s="4">
        <v>3719.98</v>
      </c>
      <c r="T156" s="4">
        <v>0</v>
      </c>
      <c r="U156" s="4">
        <v>0.98480092516107709</v>
      </c>
      <c r="V156" s="4">
        <v>1.0199298657359299</v>
      </c>
      <c r="W156" s="4" t="e">
        <v>#DIV/0!</v>
      </c>
      <c r="Y156" s="561">
        <f t="shared" si="47"/>
        <v>59.61</v>
      </c>
      <c r="Z156" s="4">
        <f ca="1">IFERROR(VALUE(_xll.BDH(Z$4,"PX_LAST",$Q156,$Q156)),Z157)</f>
        <v>0</v>
      </c>
      <c r="AA156" s="4">
        <f ca="1">IFERROR(VALUE(_xll.BDH(AA$4,"PX_LAST",$Q156,$Q156)),AA157)</f>
        <v>0</v>
      </c>
      <c r="AB156" s="4">
        <f ca="1">IFERROR(VALUE(_xll.BDH(AB$4,"PX_LAST",$Q156,$Q156)),AB157)</f>
        <v>0</v>
      </c>
      <c r="AC156" s="4">
        <f ca="1">IFERROR(VALUE(_xll.BDH(AC$4,"PX_LAST",$Q156,$Q156)),AC157)</f>
        <v>0</v>
      </c>
      <c r="AD156" s="4">
        <f ca="1">IFERROR(VALUE(_xll.BDH(AD$4,"PX_LAST",$Q156,$Q156)),AD157)</f>
        <v>0</v>
      </c>
      <c r="AF156" s="4">
        <f t="shared" si="48"/>
        <v>0.98480092516107709</v>
      </c>
      <c r="AG156" s="4" t="e">
        <f t="shared" ca="1" si="49"/>
        <v>#DIV/0!</v>
      </c>
      <c r="AH156" s="4" t="e">
        <f t="shared" ca="1" si="50"/>
        <v>#DIV/0!</v>
      </c>
      <c r="AI156" s="4" t="e">
        <f t="shared" ca="1" si="51"/>
        <v>#DIV/0!</v>
      </c>
      <c r="AJ156" s="4" t="e">
        <f t="shared" ca="1" si="52"/>
        <v>#DIV/0!</v>
      </c>
      <c r="AK156" s="4" t="e">
        <f t="shared" ca="1" si="53"/>
        <v>#DIV/0!</v>
      </c>
      <c r="AM156" s="563">
        <f t="shared" ca="1" si="54"/>
        <v>45788</v>
      </c>
      <c r="AN156" s="564">
        <v>94.68</v>
      </c>
      <c r="AO156" s="564">
        <v>1490730</v>
      </c>
      <c r="AP156" s="564">
        <v>44245.955000000002</v>
      </c>
      <c r="AQ156" s="564">
        <v>4189207.0194000006</v>
      </c>
      <c r="AR156" s="564">
        <v>1.2156</v>
      </c>
    </row>
    <row r="157" spans="2:44">
      <c r="B157" s="565">
        <f t="shared" ca="1" si="55"/>
        <v>44876</v>
      </c>
      <c r="C157" s="561">
        <f ca="1">(IFERROR(IFERROR(VALUE(_xll.BDH(C$4,"CURRENT_EV_TO_T12M_EBITDA",$B157,$B157)),VALUE(_xll.BDH(C$4,"CURRENT_EV_TO_T12M_EBITDA",$B157+1,$B157+1))),C158))</f>
        <v>0</v>
      </c>
      <c r="D157" s="561">
        <f ca="1">(IFERROR(IFERROR(VALUE(_xll.BDH(D$4,"CURRENT_EV_TO_T12M_EBITDA",$B157,$B157)),VALUE(_xll.BDH(D$4,"CURRENT_EV_TO_T12M_EBITDA",$B157+1,$B157+1))),D158))</f>
        <v>0</v>
      </c>
      <c r="E157" s="561">
        <f ca="1">(IFERROR(IFERROR(VALUE(_xll.BDH(E$4,"CURRENT_EV_TO_T12M_EBITDA",$B157,$B157)),VALUE(_xll.BDH(E$4,"CURRENT_EV_TO_T12M_EBITDA",$B157+1,$B157+1))),E158))</f>
        <v>0</v>
      </c>
      <c r="F157" s="561">
        <f ca="1">(IFERROR(IFERROR(VALUE(_xll.BDH(F$4,"CURRENT_EV_TO_T12M_EBITDA",$B157,$B157)),VALUE(_xll.BDH(F$4,"CURRENT_EV_TO_T12M_EBITDA",$B157+1,$B157+1))),F158))</f>
        <v>0</v>
      </c>
      <c r="G157" s="561">
        <f ca="1">(IFERROR(IFERROR(VALUE(_xll.BDH(G$4,"CURRENT_EV_TO_T12M_EBITDA",$B157,$B157)),VALUE(_xll.BDH(G$4,"CURRENT_EV_TO_T12M_EBITDA",$B157+1,$B157+1))),G158))</f>
        <v>0</v>
      </c>
      <c r="H157" s="561">
        <f ca="1">(IFERROR(IFERROR(VALUE(_xll.BDH(H$4,"CURRENT_EV_TO_T12M_EBITDA",$B157,$B157)),VALUE(_xll.BDH(H$4,"CURRENT_EV_TO_T12M_EBITDA",$B157+1,$B157+1))),H158))</f>
        <v>0</v>
      </c>
      <c r="I157" s="565">
        <f t="shared" ca="1" si="45"/>
        <v>44876</v>
      </c>
      <c r="J157" s="561">
        <f ca="1">(IFERROR(IFERROR(VALUE(_xll.BDH(J$4,"PE_RATIO",$B157,$B157)),VALUE(_xll.BDH(J$4,"PE_RATIO",$B157+1,$B157+1))),J158))</f>
        <v>0</v>
      </c>
      <c r="K157" s="561">
        <f ca="1">(IFERROR(IFERROR(VALUE(_xll.BDH(K$4,"PE_RATIO",$B157,$B157)),VALUE(_xll.BDH(K$4,"PE_RATIO",$B157+1,$B157+1))),K158))</f>
        <v>0</v>
      </c>
      <c r="L157" s="561">
        <f ca="1">(IFERROR(IFERROR(VALUE(_xll.BDH(L$4,"PE_RATIO",$B157,$B157)),VALUE(_xll.BDH(L$4,"PE_RATIO",$B157+1,$B157+1))),L158))</f>
        <v>0</v>
      </c>
      <c r="M157" s="561">
        <f ca="1">(IFERROR(IFERROR(VALUE(_xll.BDH(M$4,"PE_RATIO",$B157,$B157)),VALUE(_xll.BDH(M$4,"PE_RATIO",$B157+1,$B157+1))),M158))</f>
        <v>0</v>
      </c>
      <c r="N157" s="561">
        <f ca="1">(IFERROR(IFERROR(VALUE(_xll.BDH(N$4,"PE_RATIO",$B157,$B157)),VALUE(_xll.BDH(N$4,"PE_RATIO",$B157+1,$B157+1))),N158))</f>
        <v>0</v>
      </c>
      <c r="O157" s="561">
        <f ca="1">(IFERROR(IFERROR(VALUE(_xll.BDH(O$4,"PE_RATIO",$B157,$B157)),VALUE(_xll.BDH(O$4,"PE_RATIO",$B157+1,$B157+1))),O158))</f>
        <v>0</v>
      </c>
      <c r="P157" s="561"/>
      <c r="Q157" s="565">
        <f t="shared" ca="1" si="46"/>
        <v>44876</v>
      </c>
      <c r="R157" s="4">
        <v>55.26</v>
      </c>
      <c r="S157" s="4">
        <v>3588.84</v>
      </c>
      <c r="T157" s="4">
        <v>0</v>
      </c>
      <c r="U157" s="4">
        <v>0.91293573434660491</v>
      </c>
      <c r="V157" s="4">
        <v>0.98397440291284766</v>
      </c>
      <c r="W157" s="4" t="e">
        <v>#DIV/0!</v>
      </c>
      <c r="Y157" s="561">
        <f t="shared" si="47"/>
        <v>55.26</v>
      </c>
      <c r="Z157" s="4">
        <f ca="1">IFERROR(VALUE(_xll.BDH(Z$4,"PX_LAST",$Q157,$Q157)),Z158)</f>
        <v>0</v>
      </c>
      <c r="AA157" s="4">
        <f ca="1">IFERROR(VALUE(_xll.BDH(AA$4,"PX_LAST",$Q157,$Q157)),AA158)</f>
        <v>0</v>
      </c>
      <c r="AB157" s="4">
        <f ca="1">IFERROR(VALUE(_xll.BDH(AB$4,"PX_LAST",$Q157,$Q157)),AB158)</f>
        <v>0</v>
      </c>
      <c r="AC157" s="4">
        <f ca="1">IFERROR(VALUE(_xll.BDH(AC$4,"PX_LAST",$Q157,$Q157)),AC158)</f>
        <v>0</v>
      </c>
      <c r="AD157" s="4">
        <f ca="1">IFERROR(VALUE(_xll.BDH(AD$4,"PX_LAST",$Q157,$Q157)),AD158)</f>
        <v>0</v>
      </c>
      <c r="AF157" s="4">
        <f t="shared" si="48"/>
        <v>0.91293573434660491</v>
      </c>
      <c r="AG157" s="4" t="e">
        <f t="shared" ca="1" si="49"/>
        <v>#DIV/0!</v>
      </c>
      <c r="AH157" s="4" t="e">
        <f t="shared" ca="1" si="50"/>
        <v>#DIV/0!</v>
      </c>
      <c r="AI157" s="4" t="e">
        <f t="shared" ca="1" si="51"/>
        <v>#DIV/0!</v>
      </c>
      <c r="AJ157" s="4" t="e">
        <f t="shared" ca="1" si="52"/>
        <v>#DIV/0!</v>
      </c>
      <c r="AK157" s="4" t="e">
        <f t="shared" ca="1" si="53"/>
        <v>#DIV/0!</v>
      </c>
      <c r="AM157" s="563">
        <f t="shared" ca="1" si="54"/>
        <v>45787</v>
      </c>
      <c r="AN157" s="564">
        <v>92.58</v>
      </c>
      <c r="AO157" s="564">
        <v>2818256</v>
      </c>
      <c r="AP157" s="564">
        <v>44245.955000000002</v>
      </c>
      <c r="AQ157" s="564">
        <v>4096290.5139000001</v>
      </c>
      <c r="AR157" s="564">
        <v>1.1886000000000001</v>
      </c>
    </row>
    <row r="158" spans="2:44">
      <c r="B158" s="565">
        <f t="shared" ca="1" si="55"/>
        <v>44869</v>
      </c>
      <c r="C158" s="561">
        <f ca="1">(IFERROR(IFERROR(VALUE(_xll.BDH(C$4,"CURRENT_EV_TO_T12M_EBITDA",$B158,$B158)),VALUE(_xll.BDH(C$4,"CURRENT_EV_TO_T12M_EBITDA",$B158+1,$B158+1))),C159))</f>
        <v>0</v>
      </c>
      <c r="D158" s="561">
        <f ca="1">(IFERROR(IFERROR(VALUE(_xll.BDH(D$4,"CURRENT_EV_TO_T12M_EBITDA",$B158,$B158)),VALUE(_xll.BDH(D$4,"CURRENT_EV_TO_T12M_EBITDA",$B158+1,$B158+1))),D159))</f>
        <v>0</v>
      </c>
      <c r="E158" s="561">
        <f ca="1">(IFERROR(IFERROR(VALUE(_xll.BDH(E$4,"CURRENT_EV_TO_T12M_EBITDA",$B158,$B158)),VALUE(_xll.BDH(E$4,"CURRENT_EV_TO_T12M_EBITDA",$B158+1,$B158+1))),E159))</f>
        <v>0</v>
      </c>
      <c r="F158" s="561">
        <f ca="1">(IFERROR(IFERROR(VALUE(_xll.BDH(F$4,"CURRENT_EV_TO_T12M_EBITDA",$B158,$B158)),VALUE(_xll.BDH(F$4,"CURRENT_EV_TO_T12M_EBITDA",$B158+1,$B158+1))),F159))</f>
        <v>0</v>
      </c>
      <c r="G158" s="561">
        <f ca="1">(IFERROR(IFERROR(VALUE(_xll.BDH(G$4,"CURRENT_EV_TO_T12M_EBITDA",$B158,$B158)),VALUE(_xll.BDH(G$4,"CURRENT_EV_TO_T12M_EBITDA",$B158+1,$B158+1))),G159))</f>
        <v>0</v>
      </c>
      <c r="H158" s="561">
        <f ca="1">(IFERROR(IFERROR(VALUE(_xll.BDH(H$4,"CURRENT_EV_TO_T12M_EBITDA",$B158,$B158)),VALUE(_xll.BDH(H$4,"CURRENT_EV_TO_T12M_EBITDA",$B158+1,$B158+1))),H159))</f>
        <v>0</v>
      </c>
      <c r="I158" s="565">
        <f t="shared" ca="1" si="45"/>
        <v>44869</v>
      </c>
      <c r="J158" s="561">
        <f ca="1">(IFERROR(IFERROR(VALUE(_xll.BDH(J$4,"PE_RATIO",$B158,$B158)),VALUE(_xll.BDH(J$4,"PE_RATIO",$B158+1,$B158+1))),J159))</f>
        <v>0</v>
      </c>
      <c r="K158" s="561">
        <f ca="1">(IFERROR(IFERROR(VALUE(_xll.BDH(K$4,"PE_RATIO",$B158,$B158)),VALUE(_xll.BDH(K$4,"PE_RATIO",$B158+1,$B158+1))),K159))</f>
        <v>0</v>
      </c>
      <c r="L158" s="561">
        <f ca="1">(IFERROR(IFERROR(VALUE(_xll.BDH(L$4,"PE_RATIO",$B158,$B158)),VALUE(_xll.BDH(L$4,"PE_RATIO",$B158+1,$B158+1))),L159))</f>
        <v>0</v>
      </c>
      <c r="M158" s="561">
        <f ca="1">(IFERROR(IFERROR(VALUE(_xll.BDH(M$4,"PE_RATIO",$B158,$B158)),VALUE(_xll.BDH(M$4,"PE_RATIO",$B158+1,$B158+1))),M159))</f>
        <v>0</v>
      </c>
      <c r="N158" s="561">
        <f ca="1">(IFERROR(IFERROR(VALUE(_xll.BDH(N$4,"PE_RATIO",$B158,$B158)),VALUE(_xll.BDH(N$4,"PE_RATIO",$B158+1,$B158+1))),N159))</f>
        <v>0</v>
      </c>
      <c r="O158" s="561">
        <f ca="1">(IFERROR(IFERROR(VALUE(_xll.BDH(O$4,"PE_RATIO",$B158,$B158)),VALUE(_xll.BDH(O$4,"PE_RATIO",$B158+1,$B158+1))),O159))</f>
        <v>0</v>
      </c>
      <c r="P158" s="561"/>
      <c r="Q158" s="565">
        <f t="shared" ca="1" si="46"/>
        <v>44869</v>
      </c>
      <c r="R158" s="4">
        <v>55.23</v>
      </c>
      <c r="S158" s="4">
        <v>3790.93</v>
      </c>
      <c r="T158" s="4">
        <v>0</v>
      </c>
      <c r="U158" s="4">
        <v>0.91244011234098787</v>
      </c>
      <c r="V158" s="4">
        <v>1.0393826649375288</v>
      </c>
      <c r="W158" s="4" t="e">
        <v>#DIV/0!</v>
      </c>
      <c r="Y158" s="561">
        <f t="shared" si="47"/>
        <v>55.23</v>
      </c>
      <c r="Z158" s="4">
        <f ca="1">IFERROR(VALUE(_xll.BDH(Z$4,"PX_LAST",$Q158,$Q158)),Z159)</f>
        <v>0</v>
      </c>
      <c r="AA158" s="4">
        <f ca="1">IFERROR(VALUE(_xll.BDH(AA$4,"PX_LAST",$Q158,$Q158)),AA159)</f>
        <v>0</v>
      </c>
      <c r="AB158" s="4">
        <f ca="1">IFERROR(VALUE(_xll.BDH(AB$4,"PX_LAST",$Q158,$Q158)),AB159)</f>
        <v>0</v>
      </c>
      <c r="AC158" s="4">
        <f ca="1">IFERROR(VALUE(_xll.BDH(AC$4,"PX_LAST",$Q158,$Q158)),AC159)</f>
        <v>0</v>
      </c>
      <c r="AD158" s="4">
        <f ca="1">IFERROR(VALUE(_xll.BDH(AD$4,"PX_LAST",$Q158,$Q158)),AD159)</f>
        <v>0</v>
      </c>
      <c r="AF158" s="4">
        <f t="shared" si="48"/>
        <v>0.91244011234098787</v>
      </c>
      <c r="AG158" s="4" t="e">
        <f t="shared" ca="1" si="49"/>
        <v>#DIV/0!</v>
      </c>
      <c r="AH158" s="4" t="e">
        <f t="shared" ca="1" si="50"/>
        <v>#DIV/0!</v>
      </c>
      <c r="AI158" s="4" t="e">
        <f t="shared" ca="1" si="51"/>
        <v>#DIV/0!</v>
      </c>
      <c r="AJ158" s="4" t="e">
        <f t="shared" ca="1" si="52"/>
        <v>#DIV/0!</v>
      </c>
      <c r="AK158" s="4" t="e">
        <f t="shared" ca="1" si="53"/>
        <v>#DIV/0!</v>
      </c>
      <c r="AM158" s="563">
        <f t="shared" ca="1" si="54"/>
        <v>45786</v>
      </c>
      <c r="AN158" s="564">
        <v>90.33</v>
      </c>
      <c r="AO158" s="564">
        <v>2090841</v>
      </c>
      <c r="AP158" s="564">
        <v>44245.955000000002</v>
      </c>
      <c r="AQ158" s="564">
        <v>3996737.11515</v>
      </c>
      <c r="AR158" s="564">
        <v>1.1597999999999999</v>
      </c>
    </row>
    <row r="159" spans="2:44">
      <c r="B159" s="565">
        <f t="shared" ca="1" si="55"/>
        <v>44862</v>
      </c>
      <c r="C159" s="561">
        <f ca="1">(IFERROR(IFERROR(VALUE(_xll.BDH(C$4,"CURRENT_EV_TO_T12M_EBITDA",$B159,$B159)),VALUE(_xll.BDH(C$4,"CURRENT_EV_TO_T12M_EBITDA",$B159+1,$B159+1))),C160))</f>
        <v>0</v>
      </c>
      <c r="D159" s="561">
        <f ca="1">(IFERROR(IFERROR(VALUE(_xll.BDH(D$4,"CURRENT_EV_TO_T12M_EBITDA",$B159,$B159)),VALUE(_xll.BDH(D$4,"CURRENT_EV_TO_T12M_EBITDA",$B159+1,$B159+1))),D160))</f>
        <v>0</v>
      </c>
      <c r="E159" s="561">
        <f ca="1">(IFERROR(IFERROR(VALUE(_xll.BDH(E$4,"CURRENT_EV_TO_T12M_EBITDA",$B159,$B159)),VALUE(_xll.BDH(E$4,"CURRENT_EV_TO_T12M_EBITDA",$B159+1,$B159+1))),E160))</f>
        <v>0</v>
      </c>
      <c r="F159" s="561">
        <f ca="1">(IFERROR(IFERROR(VALUE(_xll.BDH(F$4,"CURRENT_EV_TO_T12M_EBITDA",$B159,$B159)),VALUE(_xll.BDH(F$4,"CURRENT_EV_TO_T12M_EBITDA",$B159+1,$B159+1))),F160))</f>
        <v>0</v>
      </c>
      <c r="G159" s="561">
        <f ca="1">(IFERROR(IFERROR(VALUE(_xll.BDH(G$4,"CURRENT_EV_TO_T12M_EBITDA",$B159,$B159)),VALUE(_xll.BDH(G$4,"CURRENT_EV_TO_T12M_EBITDA",$B159+1,$B159+1))),G160))</f>
        <v>0</v>
      </c>
      <c r="H159" s="561">
        <f ca="1">(IFERROR(IFERROR(VALUE(_xll.BDH(H$4,"CURRENT_EV_TO_T12M_EBITDA",$B159,$B159)),VALUE(_xll.BDH(H$4,"CURRENT_EV_TO_T12M_EBITDA",$B159+1,$B159+1))),H160))</f>
        <v>0</v>
      </c>
      <c r="I159" s="565">
        <f t="shared" ca="1" si="45"/>
        <v>44862</v>
      </c>
      <c r="J159" s="561">
        <f ca="1">(IFERROR(IFERROR(VALUE(_xll.BDH(J$4,"PE_RATIO",$B159,$B159)),VALUE(_xll.BDH(J$4,"PE_RATIO",$B159+1,$B159+1))),J160))</f>
        <v>0</v>
      </c>
      <c r="K159" s="561">
        <f ca="1">(IFERROR(IFERROR(VALUE(_xll.BDH(K$4,"PE_RATIO",$B159,$B159)),VALUE(_xll.BDH(K$4,"PE_RATIO",$B159+1,$B159+1))),K160))</f>
        <v>0</v>
      </c>
      <c r="L159" s="561">
        <f ca="1">(IFERROR(IFERROR(VALUE(_xll.BDH(L$4,"PE_RATIO",$B159,$B159)),VALUE(_xll.BDH(L$4,"PE_RATIO",$B159+1,$B159+1))),L160))</f>
        <v>0</v>
      </c>
      <c r="M159" s="561">
        <f ca="1">(IFERROR(IFERROR(VALUE(_xll.BDH(M$4,"PE_RATIO",$B159,$B159)),VALUE(_xll.BDH(M$4,"PE_RATIO",$B159+1,$B159+1))),M160))</f>
        <v>0</v>
      </c>
      <c r="N159" s="561">
        <f ca="1">(IFERROR(IFERROR(VALUE(_xll.BDH(N$4,"PE_RATIO",$B159,$B159)),VALUE(_xll.BDH(N$4,"PE_RATIO",$B159+1,$B159+1))),N160))</f>
        <v>0</v>
      </c>
      <c r="O159" s="561">
        <f ca="1">(IFERROR(IFERROR(VALUE(_xll.BDH(O$4,"PE_RATIO",$B159,$B159)),VALUE(_xll.BDH(O$4,"PE_RATIO",$B159+1,$B159+1))),O160))</f>
        <v>0</v>
      </c>
      <c r="P159" s="561"/>
      <c r="Q159" s="565">
        <f t="shared" ca="1" si="46"/>
        <v>44862</v>
      </c>
      <c r="R159" s="4">
        <v>60.53</v>
      </c>
      <c r="S159" s="4">
        <v>3647.29</v>
      </c>
      <c r="T159" s="4">
        <v>0</v>
      </c>
      <c r="U159" s="4">
        <v>1</v>
      </c>
      <c r="V159" s="4">
        <v>1</v>
      </c>
      <c r="W159" s="4" t="e">
        <v>#DIV/0!</v>
      </c>
      <c r="Y159" s="561">
        <f t="shared" si="47"/>
        <v>60.53</v>
      </c>
      <c r="Z159" s="4">
        <f ca="1">IFERROR(VALUE(_xll.BDH(Z$4,"PX_LAST",$Q159,$Q159)),Z160)</f>
        <v>0</v>
      </c>
      <c r="AA159" s="4">
        <f ca="1">IFERROR(VALUE(_xll.BDH(AA$4,"PX_LAST",$Q159,$Q159)),AA160)</f>
        <v>0</v>
      </c>
      <c r="AB159" s="4">
        <f ca="1">IFERROR(VALUE(_xll.BDH(AB$4,"PX_LAST",$Q159,$Q159)),AB160)</f>
        <v>0</v>
      </c>
      <c r="AC159" s="4">
        <f ca="1">IFERROR(VALUE(_xll.BDH(AC$4,"PX_LAST",$Q159,$Q159)),AC160)</f>
        <v>0</v>
      </c>
      <c r="AD159" s="4">
        <f ca="1">IFERROR(VALUE(_xll.BDH(AD$4,"PX_LAST",$Q159,$Q159)),AD160)</f>
        <v>0</v>
      </c>
      <c r="AF159" s="4">
        <f t="shared" si="48"/>
        <v>1</v>
      </c>
      <c r="AG159" s="4" t="e">
        <f t="shared" ca="1" si="49"/>
        <v>#DIV/0!</v>
      </c>
      <c r="AH159" s="4" t="e">
        <f t="shared" ca="1" si="50"/>
        <v>#DIV/0!</v>
      </c>
      <c r="AI159" s="4" t="e">
        <f t="shared" ca="1" si="51"/>
        <v>#DIV/0!</v>
      </c>
      <c r="AJ159" s="4" t="e">
        <f t="shared" ca="1" si="52"/>
        <v>#DIV/0!</v>
      </c>
      <c r="AK159" s="4" t="e">
        <f t="shared" ca="1" si="53"/>
        <v>#DIV/0!</v>
      </c>
      <c r="AM159" s="563">
        <f t="shared" ca="1" si="54"/>
        <v>45785</v>
      </c>
      <c r="AN159" s="564">
        <v>93.45</v>
      </c>
      <c r="AO159" s="564">
        <v>1515588</v>
      </c>
      <c r="AP159" s="564">
        <v>44245.955000000002</v>
      </c>
      <c r="AQ159" s="564">
        <v>4134784.4947500001</v>
      </c>
      <c r="AR159" s="564">
        <v>1.1998</v>
      </c>
    </row>
    <row r="160" spans="2:44">
      <c r="B160" s="565">
        <f t="shared" ca="1" si="55"/>
        <v>44855</v>
      </c>
      <c r="I160" s="565">
        <f t="shared" ca="1" si="45"/>
        <v>44855</v>
      </c>
      <c r="Q160" s="565">
        <f t="shared" ca="1" si="46"/>
        <v>44855</v>
      </c>
      <c r="R160" s="4">
        <v>58.22</v>
      </c>
      <c r="S160" s="4">
        <v>3855.93</v>
      </c>
      <c r="T160" s="4">
        <v>0</v>
      </c>
      <c r="AM160" s="563">
        <f t="shared" ca="1" si="54"/>
        <v>45784</v>
      </c>
      <c r="AN160" s="564">
        <v>92.29</v>
      </c>
      <c r="AO160" s="564">
        <v>1222513</v>
      </c>
      <c r="AP160" s="564">
        <v>44245.955000000002</v>
      </c>
      <c r="AQ160" s="564">
        <v>4083459.1869500005</v>
      </c>
      <c r="AR160" s="564">
        <v>1.1849000000000001</v>
      </c>
    </row>
    <row r="161" spans="2:44">
      <c r="B161" s="565">
        <f t="shared" ca="1" si="55"/>
        <v>44848</v>
      </c>
      <c r="I161" s="565">
        <f t="shared" ca="1" si="45"/>
        <v>44848</v>
      </c>
      <c r="Q161" s="565">
        <f t="shared" ca="1" si="46"/>
        <v>44848</v>
      </c>
      <c r="R161" s="4">
        <v>56.82</v>
      </c>
      <c r="S161" s="4">
        <v>3932.69</v>
      </c>
      <c r="T161" s="4">
        <v>0</v>
      </c>
      <c r="AM161" s="563">
        <f t="shared" ca="1" si="54"/>
        <v>45783</v>
      </c>
      <c r="AN161" s="564">
        <v>92.29</v>
      </c>
      <c r="AO161" s="564">
        <v>1222513</v>
      </c>
      <c r="AP161" s="564">
        <v>44245.955000000002</v>
      </c>
      <c r="AQ161" s="564">
        <v>4083459.1869500005</v>
      </c>
      <c r="AR161" s="564">
        <v>1.1849000000000001</v>
      </c>
    </row>
    <row r="162" spans="2:44">
      <c r="B162" s="565">
        <f t="shared" ca="1" si="55"/>
        <v>44841</v>
      </c>
      <c r="I162" s="565">
        <f t="shared" ca="1" si="45"/>
        <v>44841</v>
      </c>
      <c r="Q162" s="565">
        <f t="shared" ca="1" si="46"/>
        <v>44841</v>
      </c>
      <c r="R162" s="4">
        <v>52.76</v>
      </c>
      <c r="S162" s="4">
        <v>3908.19</v>
      </c>
      <c r="T162" s="4">
        <v>0</v>
      </c>
      <c r="AM162" s="563">
        <f t="shared" ca="1" si="54"/>
        <v>45782</v>
      </c>
      <c r="AN162" s="564">
        <v>92.29</v>
      </c>
      <c r="AO162" s="564">
        <v>1222513</v>
      </c>
      <c r="AP162" s="564">
        <v>44245.955000000002</v>
      </c>
      <c r="AQ162" s="564">
        <v>4083459.1869500005</v>
      </c>
      <c r="AR162" s="564">
        <v>1.1849000000000001</v>
      </c>
    </row>
    <row r="163" spans="2:44">
      <c r="AM163" s="563">
        <f t="shared" ca="1" si="54"/>
        <v>45781</v>
      </c>
      <c r="AN163" s="564">
        <v>92.97</v>
      </c>
      <c r="AO163" s="564">
        <v>833333</v>
      </c>
      <c r="AP163" s="564">
        <v>44245.955000000002</v>
      </c>
      <c r="AQ163" s="564">
        <v>4113546.4363500001</v>
      </c>
      <c r="AR163" s="564">
        <v>1.1936</v>
      </c>
    </row>
    <row r="164" spans="2:44">
      <c r="B164" s="378" t="s">
        <v>19</v>
      </c>
      <c r="C164" s="554"/>
      <c r="D164" s="23"/>
      <c r="E164" s="4" cm="1">
        <f t="array" ref="E164">_xll.BDP(Inputs!$D$15,F164)</f>
        <v>0.70151638984680176</v>
      </c>
      <c r="F164" s="4" t="s">
        <v>714</v>
      </c>
      <c r="AM164" s="563">
        <f t="shared" ca="1" si="54"/>
        <v>45780</v>
      </c>
      <c r="AN164" s="564">
        <v>93.08</v>
      </c>
      <c r="AO164" s="564">
        <v>713829</v>
      </c>
      <c r="AP164" s="564">
        <v>44245.955000000002</v>
      </c>
      <c r="AQ164" s="564">
        <v>4118413.4914000002</v>
      </c>
      <c r="AR164" s="564">
        <v>1.1951000000000001</v>
      </c>
    </row>
    <row r="165" spans="2:44">
      <c r="B165" s="378" t="s">
        <v>20</v>
      </c>
      <c r="C165" s="23"/>
      <c r="D165" s="23"/>
      <c r="E165" s="4" cm="1">
        <f t="array" ref="E165">_xll.BDP(Inputs!$D$15,F165)/100</f>
        <v>0.73278930664062503</v>
      </c>
      <c r="F165" s="4" t="s">
        <v>715</v>
      </c>
      <c r="AM165" s="563">
        <f t="shared" ca="1" si="54"/>
        <v>45779</v>
      </c>
      <c r="AN165" s="564">
        <v>91.4</v>
      </c>
      <c r="AO165" s="564">
        <v>955007</v>
      </c>
      <c r="AP165" s="564">
        <v>44245.955000000002</v>
      </c>
      <c r="AQ165" s="564">
        <v>4044080.2870000005</v>
      </c>
      <c r="AR165" s="564">
        <v>1.1735</v>
      </c>
    </row>
    <row r="166" spans="2:44">
      <c r="B166" s="378" t="s">
        <v>21</v>
      </c>
      <c r="C166" s="23"/>
      <c r="D166" s="23"/>
      <c r="E166" s="4" cm="1">
        <f t="array" ref="E166">_xll.BDP(Inputs!$D$15,F166)</f>
        <v>102.31285095214844</v>
      </c>
      <c r="F166" s="4" t="s">
        <v>716</v>
      </c>
      <c r="AM166" s="563">
        <f t="shared" ca="1" si="54"/>
        <v>45778</v>
      </c>
      <c r="AN166" s="564">
        <v>90.9</v>
      </c>
      <c r="AO166" s="564">
        <v>770128</v>
      </c>
      <c r="AP166" s="564">
        <v>44245.955000000002</v>
      </c>
      <c r="AQ166" s="564">
        <v>4021957.3095000004</v>
      </c>
      <c r="AR166" s="564">
        <v>1.1671</v>
      </c>
    </row>
    <row r="167" spans="2:44">
      <c r="B167" s="378"/>
      <c r="C167" s="23"/>
      <c r="D167" s="23"/>
      <c r="AM167" s="563">
        <f t="shared" ca="1" si="54"/>
        <v>45777</v>
      </c>
      <c r="AN167" s="564">
        <v>91.01</v>
      </c>
      <c r="AO167" s="564">
        <v>544201</v>
      </c>
      <c r="AP167" s="564">
        <v>44245.955000000002</v>
      </c>
      <c r="AQ167" s="564">
        <v>4026824.3645500005</v>
      </c>
      <c r="AR167" s="564">
        <v>1.1685000000000001</v>
      </c>
    </row>
    <row r="168" spans="2:44">
      <c r="B168" s="378" t="s">
        <v>23</v>
      </c>
      <c r="C168" s="23"/>
      <c r="D168" s="23"/>
      <c r="E168" s="4" cm="1">
        <f t="array" ref="E168">_xll.BDP(Inputs!$D$15,F168)</f>
        <v>724438.0625</v>
      </c>
      <c r="F168" s="4" t="s">
        <v>717</v>
      </c>
      <c r="AM168" s="563">
        <f t="shared" ca="1" si="54"/>
        <v>45776</v>
      </c>
      <c r="AN168" s="564">
        <v>91.01</v>
      </c>
      <c r="AO168" s="564">
        <v>544201</v>
      </c>
      <c r="AP168" s="564">
        <v>44245.955000000002</v>
      </c>
      <c r="AQ168" s="564">
        <v>4026824.3645500005</v>
      </c>
      <c r="AR168" s="564">
        <v>1.1685000000000001</v>
      </c>
    </row>
    <row r="169" spans="2:44">
      <c r="B169" s="378" t="s">
        <v>463</v>
      </c>
      <c r="C169" s="23"/>
      <c r="D169" s="23"/>
      <c r="E169" s="4" cm="1">
        <f t="array" ref="E169">_xll.BDP(Inputs!$D$15,F169)</f>
        <v>48.497479999999996</v>
      </c>
      <c r="F169" s="4" t="s">
        <v>718</v>
      </c>
      <c r="AM169" s="563">
        <f t="shared" ca="1" si="54"/>
        <v>45775</v>
      </c>
      <c r="AN169" s="564">
        <v>91.01</v>
      </c>
      <c r="AO169" s="564">
        <v>544201</v>
      </c>
      <c r="AP169" s="564">
        <v>44245.955000000002</v>
      </c>
      <c r="AQ169" s="564">
        <v>4026824.3645500005</v>
      </c>
      <c r="AR169" s="564">
        <v>1.1685000000000001</v>
      </c>
    </row>
    <row r="170" spans="2:44">
      <c r="B170" s="378" t="s">
        <v>25</v>
      </c>
      <c r="C170" s="23"/>
      <c r="D170" s="23"/>
      <c r="E170" s="586" cm="1">
        <f t="array" ref="E170">_xll.BDP(Inputs!$D$15,F170)/100</f>
        <v>0.86845600000000001</v>
      </c>
      <c r="F170" s="4" t="s">
        <v>719</v>
      </c>
      <c r="AM170" s="563">
        <f t="shared" ca="1" si="54"/>
        <v>45774</v>
      </c>
      <c r="AN170" s="564">
        <v>92.21</v>
      </c>
      <c r="AO170" s="564">
        <v>556391</v>
      </c>
      <c r="AP170" s="564">
        <v>44245.955000000002</v>
      </c>
      <c r="AQ170" s="564">
        <v>4079919.5105499998</v>
      </c>
      <c r="AR170" s="564">
        <v>1.1839</v>
      </c>
    </row>
    <row r="171" spans="2:44">
      <c r="B171" s="378" t="s">
        <v>26</v>
      </c>
      <c r="C171" s="23"/>
      <c r="D171" s="23"/>
      <c r="E171" s="586" cm="1">
        <f t="array" ref="E171">_xll.BDP(Inputs!$D$15,F171)/100</f>
        <v>0.1161959</v>
      </c>
      <c r="F171" s="4" t="s">
        <v>720</v>
      </c>
      <c r="AM171" s="563">
        <f ca="1">AM170-1</f>
        <v>45773</v>
      </c>
      <c r="AN171" s="564">
        <v>92.8</v>
      </c>
      <c r="AO171" s="564">
        <v>751635</v>
      </c>
      <c r="AP171" s="564">
        <v>44245.955000000002</v>
      </c>
      <c r="AQ171" s="564">
        <v>4106024.6239999998</v>
      </c>
      <c r="AR171" s="564">
        <v>1.1915</v>
      </c>
    </row>
    <row r="172" spans="2:44">
      <c r="B172" s="378"/>
      <c r="C172" s="23"/>
      <c r="D172" s="23"/>
      <c r="AM172" s="563">
        <f t="shared" ca="1" si="54"/>
        <v>45772</v>
      </c>
      <c r="AN172" s="564">
        <v>94.03</v>
      </c>
      <c r="AO172" s="564">
        <v>914105</v>
      </c>
      <c r="AP172" s="564">
        <v>44245.955000000002</v>
      </c>
      <c r="AQ172" s="564">
        <v>4160447.1486500003</v>
      </c>
      <c r="AR172" s="564">
        <v>1.2073</v>
      </c>
    </row>
    <row r="173" spans="2:44">
      <c r="B173" s="378" t="s">
        <v>721</v>
      </c>
      <c r="C173" s="23"/>
      <c r="D173" s="23"/>
      <c r="E173" s="586" cm="1">
        <f t="array" ref="E173">_xll.BDP(Inputs!$D$15,F173)/100</f>
        <v>3.5214592593264642E-2</v>
      </c>
      <c r="F173" s="4" t="s">
        <v>722</v>
      </c>
      <c r="AM173" s="563">
        <f t="shared" ca="1" si="54"/>
        <v>45771</v>
      </c>
      <c r="AN173" s="564">
        <v>93.2</v>
      </c>
      <c r="AO173" s="564">
        <v>766530</v>
      </c>
      <c r="AP173" s="564">
        <v>44245.955000000002</v>
      </c>
      <c r="AQ173" s="564">
        <v>4123723.0060000005</v>
      </c>
      <c r="AR173" s="564">
        <v>1.1966000000000001</v>
      </c>
    </row>
    <row r="174" spans="2:44">
      <c r="B174" s="378" t="s">
        <v>30</v>
      </c>
      <c r="C174" s="23"/>
      <c r="D174" s="23"/>
      <c r="E174" s="586" cm="1">
        <f t="array" ref="E174">_xll.BDP(Inputs!$D$15,F174)/100</f>
        <v>1.1210906013971489</v>
      </c>
      <c r="F174" s="4" t="s">
        <v>723</v>
      </c>
      <c r="AM174" s="563">
        <f t="shared" ca="1" si="54"/>
        <v>45770</v>
      </c>
      <c r="AN174" s="564">
        <v>89.2</v>
      </c>
      <c r="AO174" s="564">
        <v>1669303</v>
      </c>
      <c r="AP174" s="564">
        <v>44245.955000000002</v>
      </c>
      <c r="AQ174" s="564">
        <v>3946739.1860000002</v>
      </c>
      <c r="AR174" s="564">
        <v>1.1452</v>
      </c>
    </row>
    <row r="175" spans="2:44">
      <c r="AM175" s="563">
        <f t="shared" ca="1" si="54"/>
        <v>45769</v>
      </c>
      <c r="AN175" s="564">
        <v>89.2</v>
      </c>
      <c r="AO175" s="564">
        <v>1669303</v>
      </c>
      <c r="AP175" s="564">
        <v>44245.955000000002</v>
      </c>
      <c r="AQ175" s="564">
        <v>3946739.1860000002</v>
      </c>
      <c r="AR175" s="564">
        <v>1.1452</v>
      </c>
    </row>
    <row r="176" spans="2:44">
      <c r="B176" s="378"/>
      <c r="C176" s="23"/>
      <c r="D176" s="23"/>
      <c r="AM176" s="563">
        <f t="shared" ca="1" si="54"/>
        <v>45768</v>
      </c>
      <c r="AN176" s="564">
        <v>89.2</v>
      </c>
      <c r="AO176" s="564">
        <v>1669303</v>
      </c>
      <c r="AP176" s="564">
        <v>44245.955000000002</v>
      </c>
      <c r="AQ176" s="564">
        <v>3946739.1860000002</v>
      </c>
      <c r="AR176" s="564">
        <v>1.1452</v>
      </c>
    </row>
    <row r="177" spans="2:44">
      <c r="B177" s="378"/>
      <c r="C177" s="23"/>
      <c r="D177" s="23"/>
      <c r="E177" s="586"/>
      <c r="AM177" s="563">
        <f t="shared" ca="1" si="54"/>
        <v>45767</v>
      </c>
      <c r="AN177" s="564">
        <v>88.72</v>
      </c>
      <c r="AO177" s="564">
        <v>878182</v>
      </c>
      <c r="AP177" s="564">
        <v>44245.955000000002</v>
      </c>
      <c r="AQ177" s="564">
        <v>3925501.1276000002</v>
      </c>
      <c r="AR177" s="564">
        <v>1.1391</v>
      </c>
    </row>
    <row r="178" spans="2:44">
      <c r="B178" s="378"/>
      <c r="C178" s="23"/>
      <c r="D178" s="23"/>
      <c r="E178" s="586"/>
      <c r="AM178" s="563">
        <f t="shared" ca="1" si="54"/>
        <v>45766</v>
      </c>
      <c r="AN178" s="564">
        <v>89.39</v>
      </c>
      <c r="AO178" s="564">
        <v>982313</v>
      </c>
      <c r="AP178" s="564">
        <v>44245.955000000002</v>
      </c>
      <c r="AQ178" s="564">
        <v>3955145.9174500001</v>
      </c>
      <c r="AR178" s="564">
        <v>1.1476999999999999</v>
      </c>
    </row>
    <row r="179" spans="2:44">
      <c r="B179" s="378"/>
      <c r="C179" s="23"/>
      <c r="D179" s="23"/>
      <c r="E179" s="586"/>
      <c r="AM179" s="563">
        <f t="shared" ca="1" si="54"/>
        <v>45765</v>
      </c>
      <c r="AN179" s="564">
        <v>87.97</v>
      </c>
      <c r="AO179" s="564">
        <v>1070859</v>
      </c>
      <c r="AP179" s="564">
        <v>44245.955000000002</v>
      </c>
      <c r="AQ179" s="564">
        <v>3892316.6613500002</v>
      </c>
      <c r="AR179" s="564">
        <v>1.1294999999999999</v>
      </c>
    </row>
    <row r="180" spans="2:44">
      <c r="AM180" s="563">
        <f t="shared" ca="1" si="54"/>
        <v>45764</v>
      </c>
      <c r="AN180" s="564">
        <v>91.7</v>
      </c>
      <c r="AO180" s="564">
        <v>1685847</v>
      </c>
      <c r="AP180" s="564">
        <v>44245.955000000002</v>
      </c>
      <c r="AQ180" s="564">
        <v>4057354.0735000004</v>
      </c>
      <c r="AR180" s="564">
        <v>1.1773</v>
      </c>
    </row>
    <row r="181" spans="2:44">
      <c r="AM181" s="563">
        <f t="shared" ca="1" si="54"/>
        <v>45763</v>
      </c>
      <c r="AN181" s="564">
        <v>83.03</v>
      </c>
      <c r="AO181" s="564">
        <v>801229</v>
      </c>
      <c r="AP181" s="564">
        <v>44245.955000000002</v>
      </c>
      <c r="AQ181" s="564">
        <v>3673741.64365</v>
      </c>
      <c r="AR181" s="564">
        <v>1.0660000000000001</v>
      </c>
    </row>
    <row r="182" spans="2:44">
      <c r="AM182" s="563">
        <f t="shared" ca="1" si="54"/>
        <v>45762</v>
      </c>
      <c r="AN182" s="564">
        <v>83.03</v>
      </c>
      <c r="AO182" s="564">
        <v>801229</v>
      </c>
      <c r="AP182" s="564">
        <v>44245.955000000002</v>
      </c>
      <c r="AQ182" s="564">
        <v>3673741.64365</v>
      </c>
      <c r="AR182" s="564">
        <v>1.0660000000000001</v>
      </c>
    </row>
    <row r="183" spans="2:44">
      <c r="AM183" s="563">
        <f t="shared" ca="1" si="54"/>
        <v>45761</v>
      </c>
      <c r="AN183" s="564">
        <v>83.03</v>
      </c>
      <c r="AO183" s="564">
        <v>801229</v>
      </c>
      <c r="AP183" s="564">
        <v>44245.955000000002</v>
      </c>
      <c r="AQ183" s="564">
        <v>3673741.64365</v>
      </c>
      <c r="AR183" s="564">
        <v>1.0660000000000001</v>
      </c>
    </row>
    <row r="184" spans="2:44">
      <c r="AM184" s="563">
        <f t="shared" ca="1" si="54"/>
        <v>45760</v>
      </c>
      <c r="AN184" s="564">
        <v>80.87</v>
      </c>
      <c r="AO184" s="564">
        <v>1125297</v>
      </c>
      <c r="AP184" s="564">
        <v>44245.955000000002</v>
      </c>
      <c r="AQ184" s="564">
        <v>3578170.3808500003</v>
      </c>
      <c r="AR184" s="564">
        <v>1.0383</v>
      </c>
    </row>
    <row r="185" spans="2:44">
      <c r="AM185" s="563">
        <f t="shared" ca="1" si="54"/>
        <v>45759</v>
      </c>
      <c r="AN185" s="564">
        <v>86.46</v>
      </c>
      <c r="AO185" s="564">
        <v>1241553</v>
      </c>
      <c r="AP185" s="564">
        <v>44245.955000000002</v>
      </c>
      <c r="AQ185" s="564">
        <v>3825505.2692999998</v>
      </c>
      <c r="AR185" s="564">
        <v>1.1101000000000001</v>
      </c>
    </row>
    <row r="186" spans="2:44">
      <c r="AM186" s="563">
        <f t="shared" ca="1" si="54"/>
        <v>45758</v>
      </c>
      <c r="AN186" s="564">
        <v>87.63</v>
      </c>
      <c r="AO186" s="564">
        <v>640766</v>
      </c>
      <c r="AP186" s="564">
        <v>44245.955000000002</v>
      </c>
      <c r="AQ186" s="564">
        <v>3877273.0366500001</v>
      </c>
      <c r="AR186" s="564">
        <v>1.1251</v>
      </c>
    </row>
    <row r="187" spans="2:44">
      <c r="AM187" s="563">
        <f t="shared" ca="1" si="54"/>
        <v>45757</v>
      </c>
      <c r="AN187" s="564">
        <v>87.37</v>
      </c>
      <c r="AO187" s="564">
        <v>1018949</v>
      </c>
      <c r="AP187" s="564">
        <v>44245.955000000002</v>
      </c>
      <c r="AQ187" s="564">
        <v>3865769.0883500003</v>
      </c>
      <c r="AR187" s="564">
        <v>1.1216999999999999</v>
      </c>
    </row>
    <row r="188" spans="2:44">
      <c r="AM188" s="563">
        <f t="shared" ca="1" si="54"/>
        <v>45756</v>
      </c>
      <c r="AN188" s="564">
        <v>87.18</v>
      </c>
      <c r="AO188" s="564">
        <v>1149636</v>
      </c>
      <c r="AP188" s="564">
        <v>44245.955000000002</v>
      </c>
      <c r="AQ188" s="564">
        <v>3857362.3569000005</v>
      </c>
      <c r="AR188" s="564">
        <v>1.1193</v>
      </c>
    </row>
    <row r="189" spans="2:44">
      <c r="AM189" s="563">
        <f t="shared" ca="1" si="54"/>
        <v>45755</v>
      </c>
      <c r="AN189" s="564">
        <v>87.18</v>
      </c>
      <c r="AO189" s="564">
        <v>1149636</v>
      </c>
      <c r="AP189" s="564">
        <v>44245.955000000002</v>
      </c>
      <c r="AQ189" s="564">
        <v>3857362.3569000005</v>
      </c>
      <c r="AR189" s="564">
        <v>1.1193</v>
      </c>
    </row>
    <row r="190" spans="2:44">
      <c r="AM190" s="563">
        <f t="shared" ca="1" si="54"/>
        <v>45754</v>
      </c>
      <c r="AN190" s="564">
        <v>87.18</v>
      </c>
      <c r="AO190" s="564">
        <v>1149636</v>
      </c>
      <c r="AP190" s="564">
        <v>44245.955000000002</v>
      </c>
      <c r="AQ190" s="564">
        <v>3857362.3569000005</v>
      </c>
      <c r="AR190" s="564">
        <v>1.1193</v>
      </c>
    </row>
    <row r="191" spans="2:44">
      <c r="AM191" s="563">
        <f t="shared" ca="1" si="54"/>
        <v>45753</v>
      </c>
      <c r="AN191" s="564">
        <v>82.65</v>
      </c>
      <c r="AO191" s="564">
        <v>1692933</v>
      </c>
      <c r="AP191" s="564">
        <v>44245.955000000002</v>
      </c>
      <c r="AQ191" s="564">
        <v>3656928.1807500003</v>
      </c>
      <c r="AR191" s="564">
        <v>1.0610999999999999</v>
      </c>
    </row>
    <row r="192" spans="2:44">
      <c r="AM192" s="563">
        <f t="shared" ca="1" si="54"/>
        <v>45752</v>
      </c>
      <c r="AN192" s="564">
        <v>84.19</v>
      </c>
      <c r="AO192" s="564">
        <v>1020896</v>
      </c>
      <c r="AP192" s="564">
        <v>44245.955000000002</v>
      </c>
      <c r="AQ192" s="564">
        <v>3725066.9514500001</v>
      </c>
      <c r="AR192" s="564">
        <v>1.0809</v>
      </c>
    </row>
    <row r="193" spans="39:44">
      <c r="AM193" s="563">
        <f t="shared" ca="1" si="54"/>
        <v>45751</v>
      </c>
      <c r="AN193" s="564">
        <v>88.54</v>
      </c>
      <c r="AO193" s="564">
        <v>973026</v>
      </c>
      <c r="AP193" s="564">
        <v>44245.955000000002</v>
      </c>
      <c r="AQ193" s="564">
        <v>3917536.8557000007</v>
      </c>
      <c r="AR193" s="564">
        <v>1.1368</v>
      </c>
    </row>
    <row r="194" spans="39:44">
      <c r="AM194" s="563">
        <f t="shared" ca="1" si="54"/>
        <v>45750</v>
      </c>
      <c r="AN194" s="564">
        <v>90.46</v>
      </c>
      <c r="AO194" s="564">
        <v>780302</v>
      </c>
      <c r="AP194" s="564">
        <v>44245.955000000002</v>
      </c>
      <c r="AQ194" s="564">
        <v>4002489.0893000001</v>
      </c>
      <c r="AR194" s="564">
        <v>1.1614</v>
      </c>
    </row>
    <row r="195" spans="39:44">
      <c r="AM195" s="563">
        <f t="shared" ca="1" si="54"/>
        <v>45749</v>
      </c>
      <c r="AN195" s="564">
        <v>90.39</v>
      </c>
      <c r="AO195" s="564">
        <v>1191557</v>
      </c>
      <c r="AP195" s="564">
        <v>44245.955000000002</v>
      </c>
      <c r="AQ195" s="564">
        <v>3999391.8724500001</v>
      </c>
      <c r="AR195" s="564">
        <v>1.4288000000000001</v>
      </c>
    </row>
    <row r="196" spans="39:44">
      <c r="AM196" s="563">
        <f t="shared" ca="1" si="54"/>
        <v>45748</v>
      </c>
      <c r="AN196" s="564">
        <v>90.39</v>
      </c>
      <c r="AO196" s="564">
        <v>1191557</v>
      </c>
      <c r="AP196" s="564">
        <v>44245.955000000002</v>
      </c>
      <c r="AQ196" s="564">
        <v>3999391.8724500001</v>
      </c>
      <c r="AR196" s="564">
        <v>1.4288000000000001</v>
      </c>
    </row>
    <row r="197" spans="39:44">
      <c r="AM197" s="563">
        <f t="shared" ref="AM197:AM260" ca="1" si="56">AM196-1</f>
        <v>45747</v>
      </c>
      <c r="AN197" s="564">
        <v>90.39</v>
      </c>
      <c r="AO197" s="564">
        <v>1191557</v>
      </c>
      <c r="AP197" s="564">
        <v>44245.955000000002</v>
      </c>
      <c r="AQ197" s="564">
        <v>3999391.8724500001</v>
      </c>
      <c r="AR197" s="564">
        <v>1.4288000000000001</v>
      </c>
    </row>
    <row r="198" spans="39:44">
      <c r="AM198" s="563">
        <f t="shared" ca="1" si="56"/>
        <v>45746</v>
      </c>
      <c r="AN198" s="564">
        <v>88.78</v>
      </c>
      <c r="AO198" s="564">
        <v>958084</v>
      </c>
      <c r="AP198" s="564">
        <v>44245.955000000002</v>
      </c>
      <c r="AQ198" s="564">
        <v>3928155.8849000004</v>
      </c>
      <c r="AR198" s="564">
        <v>1.4033</v>
      </c>
    </row>
    <row r="199" spans="39:44">
      <c r="AM199" s="563">
        <f t="shared" ca="1" si="56"/>
        <v>45745</v>
      </c>
      <c r="AN199" s="564">
        <v>87.89</v>
      </c>
      <c r="AO199" s="564">
        <v>1670163</v>
      </c>
      <c r="AP199" s="564">
        <v>44245.955000000002</v>
      </c>
      <c r="AQ199" s="564">
        <v>3888776.98495</v>
      </c>
      <c r="AR199" s="564">
        <v>1.3893</v>
      </c>
    </row>
    <row r="200" spans="39:44">
      <c r="AM200" s="563">
        <f t="shared" ca="1" si="56"/>
        <v>45744</v>
      </c>
      <c r="AN200" s="564">
        <v>88.07</v>
      </c>
      <c r="AO200" s="564">
        <v>1076018</v>
      </c>
      <c r="AP200" s="564">
        <v>44235.087</v>
      </c>
      <c r="AQ200" s="564">
        <v>3895784.1120899995</v>
      </c>
      <c r="AR200" s="564">
        <v>1.3920999999999999</v>
      </c>
    </row>
    <row r="201" spans="39:44">
      <c r="AM201" s="563">
        <f t="shared" ca="1" si="56"/>
        <v>45743</v>
      </c>
      <c r="AN201" s="564">
        <v>89.34</v>
      </c>
      <c r="AO201" s="564">
        <v>756709</v>
      </c>
      <c r="AP201" s="564">
        <v>44235.087</v>
      </c>
      <c r="AQ201" s="564">
        <v>3951962.67258</v>
      </c>
      <c r="AR201" s="564">
        <v>1.4121999999999999</v>
      </c>
    </row>
    <row r="202" spans="39:44">
      <c r="AM202" s="563">
        <f t="shared" ca="1" si="56"/>
        <v>45742</v>
      </c>
      <c r="AN202" s="564">
        <v>91.04</v>
      </c>
      <c r="AO202" s="564">
        <v>950178</v>
      </c>
      <c r="AP202" s="564">
        <v>44235.087</v>
      </c>
      <c r="AQ202" s="564">
        <v>4027162.3204800002</v>
      </c>
      <c r="AR202" s="564">
        <v>1.4390000000000001</v>
      </c>
    </row>
    <row r="203" spans="39:44">
      <c r="AM203" s="563">
        <f t="shared" ca="1" si="56"/>
        <v>45741</v>
      </c>
      <c r="AN203" s="564">
        <v>91.04</v>
      </c>
      <c r="AO203" s="564">
        <v>950178</v>
      </c>
      <c r="AP203" s="564">
        <v>44235.087</v>
      </c>
      <c r="AQ203" s="564">
        <v>4027162.3204800002</v>
      </c>
      <c r="AR203" s="564">
        <v>1.4390000000000001</v>
      </c>
    </row>
    <row r="204" spans="39:44">
      <c r="AM204" s="563">
        <f t="shared" ca="1" si="56"/>
        <v>45740</v>
      </c>
      <c r="AN204" s="564">
        <v>91.04</v>
      </c>
      <c r="AO204" s="564">
        <v>950178</v>
      </c>
      <c r="AP204" s="564">
        <v>44235.087</v>
      </c>
      <c r="AQ204" s="564">
        <v>4027162.3204800002</v>
      </c>
      <c r="AR204" s="564">
        <v>1.4390000000000001</v>
      </c>
    </row>
    <row r="205" spans="39:44">
      <c r="AM205" s="563">
        <f t="shared" ca="1" si="56"/>
        <v>45739</v>
      </c>
      <c r="AN205" s="564">
        <v>90.11</v>
      </c>
      <c r="AO205" s="564">
        <v>985698</v>
      </c>
      <c r="AP205" s="564">
        <v>44235.087</v>
      </c>
      <c r="AQ205" s="564">
        <v>3986023.6895699999</v>
      </c>
      <c r="AR205" s="564">
        <v>1.4242999999999999</v>
      </c>
    </row>
    <row r="206" spans="39:44">
      <c r="AM206" s="563">
        <f t="shared" ca="1" si="56"/>
        <v>45738</v>
      </c>
      <c r="AN206" s="564">
        <v>92.04</v>
      </c>
      <c r="AO206" s="564">
        <v>1142462</v>
      </c>
      <c r="AP206" s="564">
        <v>44235.087</v>
      </c>
      <c r="AQ206" s="564">
        <v>4071397.4074800001</v>
      </c>
      <c r="AR206" s="564">
        <v>1.4549000000000001</v>
      </c>
    </row>
    <row r="207" spans="39:44">
      <c r="AM207" s="563">
        <f t="shared" ca="1" si="56"/>
        <v>45737</v>
      </c>
      <c r="AN207" s="564">
        <v>90.96</v>
      </c>
      <c r="AO207" s="564">
        <v>2347299</v>
      </c>
      <c r="AP207" s="564">
        <v>44235.087</v>
      </c>
      <c r="AQ207" s="564">
        <v>4023623.5135199996</v>
      </c>
      <c r="AR207" s="564">
        <v>1.4378</v>
      </c>
    </row>
    <row r="208" spans="39:44">
      <c r="AM208" s="563">
        <f t="shared" ca="1" si="56"/>
        <v>45736</v>
      </c>
      <c r="AN208" s="564">
        <v>95.1</v>
      </c>
      <c r="AO208" s="564">
        <v>2081547</v>
      </c>
      <c r="AP208" s="564">
        <v>44235.087</v>
      </c>
      <c r="AQ208" s="564">
        <v>4206756.7736999998</v>
      </c>
      <c r="AR208" s="564">
        <v>1.5032000000000001</v>
      </c>
    </row>
    <row r="209" spans="39:44">
      <c r="AM209" s="563">
        <f t="shared" ca="1" si="56"/>
        <v>45735</v>
      </c>
      <c r="AN209" s="564">
        <v>95.1</v>
      </c>
      <c r="AO209" s="564">
        <v>2081547</v>
      </c>
      <c r="AP209" s="564">
        <v>44235.087</v>
      </c>
      <c r="AQ209" s="564">
        <v>4206756.7736999998</v>
      </c>
      <c r="AR209" s="564">
        <v>1.5032000000000001</v>
      </c>
    </row>
    <row r="210" spans="39:44">
      <c r="AM210" s="563">
        <f t="shared" ca="1" si="56"/>
        <v>45734</v>
      </c>
      <c r="AN210" s="564">
        <v>95.1</v>
      </c>
      <c r="AO210" s="564">
        <v>2081547</v>
      </c>
      <c r="AP210" s="564">
        <v>44235.087</v>
      </c>
      <c r="AQ210" s="564">
        <v>4206756.7736999998</v>
      </c>
      <c r="AR210" s="564">
        <v>1.5032000000000001</v>
      </c>
    </row>
    <row r="211" spans="39:44">
      <c r="AM211" s="563">
        <f t="shared" ca="1" si="56"/>
        <v>45733</v>
      </c>
      <c r="AN211" s="564">
        <v>95.1</v>
      </c>
      <c r="AO211" s="564">
        <v>2081547</v>
      </c>
      <c r="AP211" s="564">
        <v>44235.087</v>
      </c>
      <c r="AQ211" s="564">
        <v>4206756.7736999998</v>
      </c>
      <c r="AR211" s="564">
        <v>1.5032000000000001</v>
      </c>
    </row>
    <row r="212" spans="39:44">
      <c r="AM212" s="563">
        <f t="shared" ca="1" si="56"/>
        <v>45732</v>
      </c>
      <c r="AN212" s="564">
        <v>108.6</v>
      </c>
      <c r="AO212" s="564">
        <v>1012504</v>
      </c>
      <c r="AP212" s="564">
        <v>44235.087</v>
      </c>
      <c r="AQ212" s="564">
        <v>4803930.4481999995</v>
      </c>
      <c r="AR212" s="564">
        <v>1.7165999999999999</v>
      </c>
    </row>
    <row r="213" spans="39:44">
      <c r="AM213" s="563">
        <f t="shared" ca="1" si="56"/>
        <v>45731</v>
      </c>
      <c r="AN213" s="564">
        <v>106.15</v>
      </c>
      <c r="AO213" s="564">
        <v>1267447</v>
      </c>
      <c r="AP213" s="564">
        <v>44235.087</v>
      </c>
      <c r="AQ213" s="564">
        <v>4695554.4850500003</v>
      </c>
      <c r="AR213" s="564">
        <v>1.6778999999999999</v>
      </c>
    </row>
    <row r="214" spans="39:44">
      <c r="AM214" s="563">
        <f t="shared" ca="1" si="56"/>
        <v>45730</v>
      </c>
      <c r="AN214" s="564">
        <v>113.98</v>
      </c>
      <c r="AO214" s="564">
        <v>725851</v>
      </c>
      <c r="AP214" s="564">
        <v>44235.087</v>
      </c>
      <c r="AQ214" s="564">
        <v>5041915.2162600001</v>
      </c>
      <c r="AR214" s="564">
        <v>1.8017000000000001</v>
      </c>
    </row>
    <row r="215" spans="39:44">
      <c r="AM215" s="563">
        <f t="shared" ca="1" si="56"/>
        <v>45729</v>
      </c>
      <c r="AN215" s="564">
        <v>109.41</v>
      </c>
      <c r="AO215" s="564">
        <v>594670</v>
      </c>
      <c r="AP215" s="564">
        <v>44235.087</v>
      </c>
      <c r="AQ215" s="564">
        <v>4839760.8686699998</v>
      </c>
      <c r="AR215" s="564">
        <v>1.7294</v>
      </c>
    </row>
    <row r="216" spans="39:44">
      <c r="AM216" s="563">
        <f t="shared" ca="1" si="56"/>
        <v>45728</v>
      </c>
      <c r="AN216" s="564">
        <v>108.3</v>
      </c>
      <c r="AO216" s="564">
        <v>703287</v>
      </c>
      <c r="AP216" s="564">
        <v>44235.087</v>
      </c>
      <c r="AQ216" s="564">
        <v>4790659.9221000001</v>
      </c>
      <c r="AR216" s="564">
        <v>1.7119</v>
      </c>
    </row>
    <row r="217" spans="39:44">
      <c r="AM217" s="563">
        <f t="shared" ca="1" si="56"/>
        <v>45727</v>
      </c>
      <c r="AN217" s="564">
        <v>108.3</v>
      </c>
      <c r="AO217" s="564">
        <v>703287</v>
      </c>
      <c r="AP217" s="564">
        <v>44235.087</v>
      </c>
      <c r="AQ217" s="564">
        <v>4790659.9221000001</v>
      </c>
      <c r="AR217" s="564">
        <v>1.7119</v>
      </c>
    </row>
    <row r="218" spans="39:44">
      <c r="AM218" s="563">
        <f t="shared" ca="1" si="56"/>
        <v>45726</v>
      </c>
      <c r="AN218" s="564">
        <v>108.3</v>
      </c>
      <c r="AO218" s="564">
        <v>703287</v>
      </c>
      <c r="AP218" s="564">
        <v>44235.087</v>
      </c>
      <c r="AQ218" s="564">
        <v>4790659.9221000001</v>
      </c>
      <c r="AR218" s="564">
        <v>1.7119</v>
      </c>
    </row>
    <row r="219" spans="39:44">
      <c r="AM219" s="563">
        <f t="shared" ca="1" si="56"/>
        <v>45725</v>
      </c>
      <c r="AN219" s="564">
        <v>108.77</v>
      </c>
      <c r="AO219" s="564">
        <v>545933</v>
      </c>
      <c r="AP219" s="564">
        <v>44235.087</v>
      </c>
      <c r="AQ219" s="564">
        <v>4811450.4129900001</v>
      </c>
      <c r="AR219" s="564">
        <v>1.7193000000000001</v>
      </c>
    </row>
    <row r="220" spans="39:44">
      <c r="AM220" s="563">
        <f t="shared" ca="1" si="56"/>
        <v>45724</v>
      </c>
      <c r="AN220" s="564">
        <v>106.78</v>
      </c>
      <c r="AO220" s="564">
        <v>871084</v>
      </c>
      <c r="AP220" s="564">
        <v>44235.087</v>
      </c>
      <c r="AQ220" s="564">
        <v>4723422.5898599997</v>
      </c>
      <c r="AR220" s="564">
        <v>1.6878</v>
      </c>
    </row>
    <row r="221" spans="39:44">
      <c r="AM221" s="563">
        <f t="shared" ca="1" si="56"/>
        <v>45723</v>
      </c>
      <c r="AN221" s="564">
        <v>107.64</v>
      </c>
      <c r="AO221" s="564">
        <v>1078439</v>
      </c>
      <c r="AP221" s="564">
        <v>44235.087</v>
      </c>
      <c r="AQ221" s="564">
        <v>4761464.76468</v>
      </c>
      <c r="AR221" s="564">
        <v>1.7014</v>
      </c>
    </row>
    <row r="222" spans="39:44">
      <c r="AM222" s="563">
        <f t="shared" ca="1" si="56"/>
        <v>45722</v>
      </c>
      <c r="AN222" s="564">
        <v>106.7</v>
      </c>
      <c r="AO222" s="564">
        <v>960614</v>
      </c>
      <c r="AP222" s="564">
        <v>44235.087</v>
      </c>
      <c r="AQ222" s="564">
        <v>4719883.7829</v>
      </c>
      <c r="AR222" s="564">
        <v>1.6866000000000001</v>
      </c>
    </row>
    <row r="223" spans="39:44">
      <c r="AM223" s="563">
        <f t="shared" ca="1" si="56"/>
        <v>45721</v>
      </c>
      <c r="AN223" s="564">
        <v>107.9</v>
      </c>
      <c r="AO223" s="564">
        <v>1947396</v>
      </c>
      <c r="AP223" s="564">
        <v>44235.087</v>
      </c>
      <c r="AQ223" s="564">
        <v>4772965.8873000005</v>
      </c>
      <c r="AR223" s="564">
        <v>1.7055</v>
      </c>
    </row>
    <row r="224" spans="39:44">
      <c r="AM224" s="563">
        <f t="shared" ca="1" si="56"/>
        <v>45720</v>
      </c>
      <c r="AN224" s="564">
        <v>107.9</v>
      </c>
      <c r="AO224" s="564">
        <v>1947396</v>
      </c>
      <c r="AP224" s="564">
        <v>44235.087</v>
      </c>
      <c r="AQ224" s="564">
        <v>4772965.8873000005</v>
      </c>
      <c r="AR224" s="564">
        <v>1.7055</v>
      </c>
    </row>
    <row r="225" spans="39:44">
      <c r="AM225" s="563">
        <f t="shared" ca="1" si="56"/>
        <v>45719</v>
      </c>
      <c r="AN225" s="564">
        <v>107.9</v>
      </c>
      <c r="AO225" s="564">
        <v>1947396</v>
      </c>
      <c r="AP225" s="564">
        <v>44235.087</v>
      </c>
      <c r="AQ225" s="564">
        <v>4772965.8873000005</v>
      </c>
      <c r="AR225" s="564">
        <v>1.7055</v>
      </c>
    </row>
    <row r="226" spans="39:44">
      <c r="AM226" s="563">
        <f t="shared" ca="1" si="56"/>
        <v>45718</v>
      </c>
      <c r="AN226" s="564">
        <v>115.8</v>
      </c>
      <c r="AO226" s="564">
        <v>604423</v>
      </c>
      <c r="AP226" s="564">
        <v>44235.087</v>
      </c>
      <c r="AQ226" s="564">
        <v>5122423.0745999999</v>
      </c>
      <c r="AR226" s="564">
        <v>1.8304</v>
      </c>
    </row>
    <row r="227" spans="39:44">
      <c r="AM227" s="563">
        <f t="shared" ca="1" si="56"/>
        <v>45717</v>
      </c>
      <c r="AN227" s="564">
        <v>112.38</v>
      </c>
      <c r="AO227" s="564">
        <v>704890</v>
      </c>
      <c r="AP227" s="564">
        <v>44235.087</v>
      </c>
      <c r="AQ227" s="564">
        <v>4971139.07706</v>
      </c>
      <c r="AR227" s="564">
        <v>1.7764</v>
      </c>
    </row>
    <row r="228" spans="39:44">
      <c r="AM228" s="563">
        <f t="shared" ca="1" si="56"/>
        <v>45716</v>
      </c>
      <c r="AN228" s="564">
        <v>111.21</v>
      </c>
      <c r="AO228" s="564">
        <v>686608</v>
      </c>
      <c r="AP228" s="564">
        <v>44235.087</v>
      </c>
      <c r="AQ228" s="564">
        <v>4919384.0252700001</v>
      </c>
      <c r="AR228" s="564">
        <v>1.7579</v>
      </c>
    </row>
    <row r="229" spans="39:44">
      <c r="AM229" s="563">
        <f t="shared" ca="1" si="56"/>
        <v>45715</v>
      </c>
      <c r="AN229" s="564">
        <v>109.38</v>
      </c>
      <c r="AO229" s="564">
        <v>695180</v>
      </c>
      <c r="AP229" s="564">
        <v>44235.087</v>
      </c>
      <c r="AQ229" s="564">
        <v>4838433.8160600001</v>
      </c>
      <c r="AR229" s="564">
        <v>1.7289000000000001</v>
      </c>
    </row>
    <row r="230" spans="39:44">
      <c r="AM230" s="563">
        <f t="shared" ca="1" si="56"/>
        <v>45714</v>
      </c>
      <c r="AN230" s="564">
        <v>106.7</v>
      </c>
      <c r="AO230" s="564">
        <v>919648</v>
      </c>
      <c r="AP230" s="564">
        <v>44235.087</v>
      </c>
      <c r="AQ230" s="564">
        <v>4719883.7829</v>
      </c>
      <c r="AR230" s="564">
        <v>1.6866000000000001</v>
      </c>
    </row>
    <row r="231" spans="39:44">
      <c r="AM231" s="563">
        <f t="shared" ca="1" si="56"/>
        <v>45713</v>
      </c>
      <c r="AN231" s="564">
        <v>106.7</v>
      </c>
      <c r="AO231" s="564">
        <v>919648</v>
      </c>
      <c r="AP231" s="564">
        <v>44235.087</v>
      </c>
      <c r="AQ231" s="564">
        <v>4719883.7829</v>
      </c>
      <c r="AR231" s="564">
        <v>1.6866000000000001</v>
      </c>
    </row>
    <row r="232" spans="39:44">
      <c r="AM232" s="563">
        <f t="shared" ca="1" si="56"/>
        <v>45712</v>
      </c>
      <c r="AN232" s="564">
        <v>106.7</v>
      </c>
      <c r="AO232" s="564">
        <v>919648</v>
      </c>
      <c r="AP232" s="564">
        <v>44235.087</v>
      </c>
      <c r="AQ232" s="564">
        <v>4719883.7829</v>
      </c>
      <c r="AR232" s="564">
        <v>1.6866000000000001</v>
      </c>
    </row>
    <row r="233" spans="39:44">
      <c r="AM233" s="563">
        <f t="shared" ca="1" si="56"/>
        <v>45711</v>
      </c>
      <c r="AN233" s="564">
        <v>110.48</v>
      </c>
      <c r="AO233" s="564">
        <v>568609</v>
      </c>
      <c r="AP233" s="564">
        <v>44235.087</v>
      </c>
      <c r="AQ233" s="564">
        <v>4887092.4117600005</v>
      </c>
      <c r="AR233" s="564">
        <v>1.7463</v>
      </c>
    </row>
    <row r="234" spans="39:44">
      <c r="AM234" s="563">
        <f t="shared" ca="1" si="56"/>
        <v>45710</v>
      </c>
      <c r="AN234" s="564">
        <v>112.03</v>
      </c>
      <c r="AO234" s="564">
        <v>442971</v>
      </c>
      <c r="AP234" s="564">
        <v>44235.087</v>
      </c>
      <c r="AQ234" s="564">
        <v>4955656.7966099996</v>
      </c>
      <c r="AR234" s="564">
        <v>1.7707999999999999</v>
      </c>
    </row>
    <row r="235" spans="39:44">
      <c r="AM235" s="563">
        <f t="shared" ca="1" si="56"/>
        <v>45709</v>
      </c>
      <c r="AN235" s="564">
        <v>114.23</v>
      </c>
      <c r="AO235" s="564">
        <v>574878</v>
      </c>
      <c r="AP235" s="564">
        <v>44235.087</v>
      </c>
      <c r="AQ235" s="564">
        <v>5052973.9880100004</v>
      </c>
      <c r="AR235" s="564">
        <v>1.8056000000000001</v>
      </c>
    </row>
    <row r="236" spans="39:44">
      <c r="AM236" s="563">
        <f t="shared" ca="1" si="56"/>
        <v>45708</v>
      </c>
      <c r="AN236" s="564">
        <v>113.63</v>
      </c>
      <c r="AO236" s="564">
        <v>583966</v>
      </c>
      <c r="AP236" s="564">
        <v>44235.087</v>
      </c>
      <c r="AQ236" s="564">
        <v>5026432.9358099997</v>
      </c>
      <c r="AR236" s="564">
        <v>1.7961</v>
      </c>
    </row>
    <row r="237" spans="39:44">
      <c r="AM237" s="563">
        <f t="shared" ca="1" si="56"/>
        <v>45707</v>
      </c>
      <c r="AN237" s="564">
        <v>113.63</v>
      </c>
      <c r="AO237" s="564">
        <v>583966</v>
      </c>
      <c r="AP237" s="564">
        <v>44235.087</v>
      </c>
      <c r="AQ237" s="564">
        <v>5026432.9358099997</v>
      </c>
      <c r="AR237" s="564">
        <v>1.7961</v>
      </c>
    </row>
    <row r="238" spans="39:44">
      <c r="AM238" s="563">
        <f t="shared" ca="1" si="56"/>
        <v>45706</v>
      </c>
      <c r="AN238" s="564">
        <v>113.63</v>
      </c>
      <c r="AO238" s="564">
        <v>583966</v>
      </c>
      <c r="AP238" s="564">
        <v>44235.087</v>
      </c>
      <c r="AQ238" s="564">
        <v>5026432.9358099997</v>
      </c>
      <c r="AR238" s="564">
        <v>1.7961</v>
      </c>
    </row>
    <row r="239" spans="39:44">
      <c r="AM239" s="563">
        <f t="shared" ca="1" si="56"/>
        <v>45705</v>
      </c>
      <c r="AN239" s="564">
        <v>113.63</v>
      </c>
      <c r="AO239" s="564">
        <v>583966</v>
      </c>
      <c r="AP239" s="564">
        <v>44235.087</v>
      </c>
      <c r="AQ239" s="564">
        <v>5026432.9358099997</v>
      </c>
      <c r="AR239" s="564">
        <v>1.7961</v>
      </c>
    </row>
    <row r="240" spans="39:44">
      <c r="AM240" s="563">
        <f t="shared" ca="1" si="56"/>
        <v>45704</v>
      </c>
      <c r="AN240" s="564">
        <v>111.91</v>
      </c>
      <c r="AO240" s="564">
        <v>654524</v>
      </c>
      <c r="AP240" s="564">
        <v>44235.087</v>
      </c>
      <c r="AQ240" s="564">
        <v>4950348.58617</v>
      </c>
      <c r="AR240" s="564">
        <v>1.7688999999999999</v>
      </c>
    </row>
    <row r="241" spans="39:44">
      <c r="AM241" s="563">
        <f t="shared" ca="1" si="56"/>
        <v>45703</v>
      </c>
      <c r="AN241" s="564">
        <v>112.51</v>
      </c>
      <c r="AO241" s="564">
        <v>944780</v>
      </c>
      <c r="AP241" s="564">
        <v>44235.087</v>
      </c>
      <c r="AQ241" s="564">
        <v>4976889.6383699998</v>
      </c>
      <c r="AR241" s="564">
        <v>1.7784</v>
      </c>
    </row>
    <row r="242" spans="39:44">
      <c r="AM242" s="563">
        <f t="shared" ca="1" si="56"/>
        <v>45702</v>
      </c>
      <c r="AN242" s="564">
        <v>109.97</v>
      </c>
      <c r="AO242" s="564">
        <v>854623</v>
      </c>
      <c r="AP242" s="564">
        <v>44235.087</v>
      </c>
      <c r="AQ242" s="564">
        <v>4864532.5173899997</v>
      </c>
      <c r="AR242" s="564">
        <v>1.7383</v>
      </c>
    </row>
    <row r="243" spans="39:44">
      <c r="AM243" s="563">
        <f t="shared" ca="1" si="56"/>
        <v>45701</v>
      </c>
      <c r="AN243" s="564">
        <v>107</v>
      </c>
      <c r="AO243" s="564">
        <v>1168162</v>
      </c>
      <c r="AP243" s="564">
        <v>44235.087</v>
      </c>
      <c r="AQ243" s="564">
        <v>4733154.3090000004</v>
      </c>
      <c r="AR243" s="564">
        <v>1.6913</v>
      </c>
    </row>
    <row r="244" spans="39:44">
      <c r="AM244" s="563">
        <f t="shared" ca="1" si="56"/>
        <v>45700</v>
      </c>
      <c r="AN244" s="564">
        <v>101.93</v>
      </c>
      <c r="AO244" s="564">
        <v>1041657</v>
      </c>
      <c r="AP244" s="564">
        <v>44235.087</v>
      </c>
      <c r="AQ244" s="564">
        <v>4508882.4179100003</v>
      </c>
      <c r="AR244" s="564">
        <v>1.6112</v>
      </c>
    </row>
    <row r="245" spans="39:44">
      <c r="AM245" s="563">
        <f t="shared" ca="1" si="56"/>
        <v>45699</v>
      </c>
      <c r="AN245" s="564">
        <v>101.93</v>
      </c>
      <c r="AO245" s="564">
        <v>1041657</v>
      </c>
      <c r="AP245" s="564">
        <v>44235.087</v>
      </c>
      <c r="AQ245" s="564">
        <v>4508882.4179100003</v>
      </c>
      <c r="AR245" s="564">
        <v>1.6112</v>
      </c>
    </row>
    <row r="246" spans="39:44">
      <c r="AM246" s="563">
        <f t="shared" ca="1" si="56"/>
        <v>45698</v>
      </c>
      <c r="AN246" s="564">
        <v>101.93</v>
      </c>
      <c r="AO246" s="564">
        <v>1041657</v>
      </c>
      <c r="AP246" s="564">
        <v>44235.087</v>
      </c>
      <c r="AQ246" s="564">
        <v>4508882.4179100003</v>
      </c>
      <c r="AR246" s="564">
        <v>1.6112</v>
      </c>
    </row>
    <row r="247" spans="39:44">
      <c r="AM247" s="563">
        <f t="shared" ca="1" si="56"/>
        <v>45697</v>
      </c>
      <c r="AN247" s="564">
        <v>104.73</v>
      </c>
      <c r="AO247" s="564">
        <v>1826121</v>
      </c>
      <c r="AP247" s="564">
        <v>44235.087</v>
      </c>
      <c r="AQ247" s="564">
        <v>4632740.66151</v>
      </c>
      <c r="AR247" s="564">
        <v>1.6554</v>
      </c>
    </row>
    <row r="248" spans="39:44">
      <c r="AM248" s="563">
        <f t="shared" ca="1" si="56"/>
        <v>45696</v>
      </c>
      <c r="AN248" s="564">
        <v>104.73</v>
      </c>
      <c r="AO248" s="564">
        <v>1826121</v>
      </c>
      <c r="AP248" s="564">
        <v>44235.087</v>
      </c>
      <c r="AQ248" s="564">
        <v>4632740.66151</v>
      </c>
      <c r="AR248" s="564">
        <v>1.6554</v>
      </c>
    </row>
    <row r="249" spans="39:44">
      <c r="AM249" s="563">
        <f t="shared" ca="1" si="56"/>
        <v>45695</v>
      </c>
      <c r="AN249" s="564">
        <v>103.68</v>
      </c>
      <c r="AO249" s="564">
        <v>967799</v>
      </c>
      <c r="AP249" s="564">
        <v>44236.582000000002</v>
      </c>
      <c r="AQ249" s="564">
        <v>4586448.8217600007</v>
      </c>
      <c r="AR249" s="564">
        <v>1.6388</v>
      </c>
    </row>
    <row r="250" spans="39:44">
      <c r="AM250" s="563">
        <f t="shared" ca="1" si="56"/>
        <v>45694</v>
      </c>
      <c r="AN250" s="564">
        <v>104.75</v>
      </c>
      <c r="AO250" s="564">
        <v>586975</v>
      </c>
      <c r="AP250" s="564">
        <v>44236.582000000002</v>
      </c>
      <c r="AQ250" s="564">
        <v>4633781.9644999998</v>
      </c>
      <c r="AR250" s="564">
        <v>1.6557999999999999</v>
      </c>
    </row>
    <row r="251" spans="39:44">
      <c r="AM251" s="563">
        <f t="shared" ca="1" si="56"/>
        <v>45693</v>
      </c>
      <c r="AN251" s="564">
        <v>107.54</v>
      </c>
      <c r="AO251" s="564">
        <v>413598</v>
      </c>
      <c r="AP251" s="564">
        <v>44236.582000000002</v>
      </c>
      <c r="AQ251" s="564">
        <v>4757202.0282800002</v>
      </c>
      <c r="AR251" s="564">
        <v>1.6999</v>
      </c>
    </row>
    <row r="252" spans="39:44">
      <c r="AM252" s="563">
        <f t="shared" ca="1" si="56"/>
        <v>45692</v>
      </c>
      <c r="AN252" s="564">
        <v>107.54</v>
      </c>
      <c r="AO252" s="564">
        <v>413598</v>
      </c>
      <c r="AP252" s="564">
        <v>44236.582000000002</v>
      </c>
      <c r="AQ252" s="564">
        <v>4757202.0282800002</v>
      </c>
      <c r="AR252" s="564">
        <v>1.6999</v>
      </c>
    </row>
    <row r="253" spans="39:44">
      <c r="AM253" s="563">
        <f t="shared" ca="1" si="56"/>
        <v>45691</v>
      </c>
      <c r="AN253" s="564">
        <v>107.54</v>
      </c>
      <c r="AO253" s="564">
        <v>413598</v>
      </c>
      <c r="AP253" s="564">
        <v>44236.582000000002</v>
      </c>
      <c r="AQ253" s="564">
        <v>4757202.0282800002</v>
      </c>
      <c r="AR253" s="564">
        <v>1.6999</v>
      </c>
    </row>
    <row r="254" spans="39:44">
      <c r="AM254" s="563">
        <f t="shared" ca="1" si="56"/>
        <v>45690</v>
      </c>
      <c r="AN254" s="564">
        <v>105.63</v>
      </c>
      <c r="AO254" s="564">
        <v>412524</v>
      </c>
      <c r="AP254" s="564">
        <v>44236.582000000002</v>
      </c>
      <c r="AQ254" s="564">
        <v>4672710.1566599999</v>
      </c>
      <c r="AR254" s="564">
        <v>1.6697</v>
      </c>
    </row>
    <row r="255" spans="39:44">
      <c r="AM255" s="563">
        <f t="shared" ca="1" si="56"/>
        <v>45689</v>
      </c>
      <c r="AN255" s="564">
        <v>102.92</v>
      </c>
      <c r="AO255" s="564">
        <v>356710</v>
      </c>
      <c r="AP255" s="564">
        <v>44236.582000000002</v>
      </c>
      <c r="AQ255" s="564">
        <v>4552829.0194399999</v>
      </c>
      <c r="AR255" s="564">
        <v>1.6268</v>
      </c>
    </row>
    <row r="256" spans="39:44">
      <c r="AM256" s="563">
        <f t="shared" ca="1" si="56"/>
        <v>45688</v>
      </c>
      <c r="AN256" s="564">
        <v>102.92</v>
      </c>
      <c r="AO256" s="564">
        <v>356710</v>
      </c>
      <c r="AP256" s="564">
        <v>44236.582000000002</v>
      </c>
      <c r="AQ256" s="564">
        <v>4552829.0194399999</v>
      </c>
      <c r="AR256" s="564">
        <v>1.6268</v>
      </c>
    </row>
    <row r="257" spans="39:44">
      <c r="AM257" s="563">
        <f t="shared" ca="1" si="56"/>
        <v>45687</v>
      </c>
      <c r="AN257" s="564">
        <v>102.03</v>
      </c>
      <c r="AO257" s="564">
        <v>448998</v>
      </c>
      <c r="AP257" s="564">
        <v>44236.582000000002</v>
      </c>
      <c r="AQ257" s="564">
        <v>4513458.4614599999</v>
      </c>
      <c r="AR257" s="564">
        <v>1.6128</v>
      </c>
    </row>
    <row r="258" spans="39:44">
      <c r="AM258" s="563">
        <f t="shared" ca="1" si="56"/>
        <v>45686</v>
      </c>
      <c r="AN258" s="564">
        <v>101.14</v>
      </c>
      <c r="AO258" s="564">
        <v>413063</v>
      </c>
      <c r="AP258" s="564">
        <v>44236.582000000002</v>
      </c>
      <c r="AQ258" s="564">
        <v>4474087.9034799999</v>
      </c>
      <c r="AR258" s="564">
        <v>1.5987</v>
      </c>
    </row>
    <row r="259" spans="39:44">
      <c r="AM259" s="563">
        <f t="shared" ca="1" si="56"/>
        <v>45685</v>
      </c>
      <c r="AN259" s="564">
        <v>101.14</v>
      </c>
      <c r="AO259" s="564">
        <v>413063</v>
      </c>
      <c r="AP259" s="564">
        <v>44236.582000000002</v>
      </c>
      <c r="AQ259" s="564">
        <v>4474087.9034799999</v>
      </c>
      <c r="AR259" s="564">
        <v>1.5987</v>
      </c>
    </row>
    <row r="260" spans="39:44">
      <c r="AM260" s="563">
        <f t="shared" ca="1" si="56"/>
        <v>45684</v>
      </c>
      <c r="AN260" s="564">
        <v>101.14</v>
      </c>
      <c r="AO260" s="564">
        <v>413063</v>
      </c>
      <c r="AP260" s="564">
        <v>44236.582000000002</v>
      </c>
      <c r="AQ260" s="564">
        <v>4474087.9034799999</v>
      </c>
      <c r="AR260" s="564">
        <v>1.5987</v>
      </c>
    </row>
    <row r="261" spans="39:44">
      <c r="AM261" s="563">
        <f t="shared" ref="AM261:AM324" ca="1" si="57">AM260-1</f>
        <v>45683</v>
      </c>
      <c r="AN261" s="564">
        <v>102.07</v>
      </c>
      <c r="AO261" s="564">
        <v>603462</v>
      </c>
      <c r="AP261" s="564">
        <v>44236.582000000002</v>
      </c>
      <c r="AQ261" s="564">
        <v>4515227.9247399997</v>
      </c>
      <c r="AR261" s="564">
        <v>1.6133999999999999</v>
      </c>
    </row>
    <row r="262" spans="39:44">
      <c r="AM262" s="563">
        <f t="shared" ca="1" si="57"/>
        <v>45682</v>
      </c>
      <c r="AN262" s="564">
        <v>102.75</v>
      </c>
      <c r="AO262" s="564">
        <v>205417</v>
      </c>
      <c r="AP262" s="564">
        <v>44236.582000000002</v>
      </c>
      <c r="AQ262" s="564">
        <v>4545308.8004999999</v>
      </c>
      <c r="AR262" s="564">
        <v>1.6241000000000001</v>
      </c>
    </row>
    <row r="263" spans="39:44">
      <c r="AM263" s="563">
        <f t="shared" ca="1" si="57"/>
        <v>45681</v>
      </c>
      <c r="AN263" s="564">
        <v>102.75</v>
      </c>
      <c r="AO263" s="564">
        <v>205417</v>
      </c>
      <c r="AP263" s="564">
        <v>44236.582000000002</v>
      </c>
      <c r="AQ263" s="564">
        <v>4545308.8004999999</v>
      </c>
      <c r="AR263" s="564">
        <v>1.6241000000000001</v>
      </c>
    </row>
    <row r="264" spans="39:44">
      <c r="AM264" s="563">
        <f t="shared" ca="1" si="57"/>
        <v>45680</v>
      </c>
      <c r="AN264" s="564">
        <v>100.59</v>
      </c>
      <c r="AO264" s="564">
        <v>638745</v>
      </c>
      <c r="AP264" s="564">
        <v>44236.582000000002</v>
      </c>
      <c r="AQ264" s="564">
        <v>4449757.7833799999</v>
      </c>
      <c r="AR264" s="564">
        <v>1.59</v>
      </c>
    </row>
    <row r="265" spans="39:44">
      <c r="AM265" s="563">
        <f t="shared" ca="1" si="57"/>
        <v>45679</v>
      </c>
      <c r="AN265" s="564">
        <v>102.89</v>
      </c>
      <c r="AO265" s="564">
        <v>1905433</v>
      </c>
      <c r="AP265" s="564">
        <v>44236.582000000002</v>
      </c>
      <c r="AQ265" s="564">
        <v>4551501.9219800001</v>
      </c>
      <c r="AR265" s="564">
        <v>1.6264000000000001</v>
      </c>
    </row>
    <row r="266" spans="39:44">
      <c r="AM266" s="563">
        <f t="shared" ca="1" si="57"/>
        <v>45678</v>
      </c>
      <c r="AN266" s="564">
        <v>102.89</v>
      </c>
      <c r="AO266" s="564">
        <v>1905433</v>
      </c>
      <c r="AP266" s="564">
        <v>44236.582000000002</v>
      </c>
      <c r="AQ266" s="564">
        <v>4551501.9219800001</v>
      </c>
      <c r="AR266" s="564">
        <v>1.6264000000000001</v>
      </c>
    </row>
    <row r="267" spans="39:44">
      <c r="AM267" s="563">
        <f t="shared" ca="1" si="57"/>
        <v>45677</v>
      </c>
      <c r="AN267" s="564">
        <v>102.89</v>
      </c>
      <c r="AO267" s="564">
        <v>1905433</v>
      </c>
      <c r="AP267" s="564">
        <v>44236.582000000002</v>
      </c>
      <c r="AQ267" s="564">
        <v>4551501.9219800001</v>
      </c>
      <c r="AR267" s="564">
        <v>1.6264000000000001</v>
      </c>
    </row>
    <row r="268" spans="39:44">
      <c r="AM268" s="563">
        <f t="shared" ca="1" si="57"/>
        <v>45676</v>
      </c>
      <c r="AN268" s="564">
        <v>104.37</v>
      </c>
      <c r="AO268" s="564">
        <v>1051853</v>
      </c>
      <c r="AP268" s="564">
        <v>44236.582000000002</v>
      </c>
      <c r="AQ268" s="564">
        <v>4616972.0633400008</v>
      </c>
      <c r="AR268" s="564">
        <v>1.6497999999999999</v>
      </c>
    </row>
    <row r="269" spans="39:44">
      <c r="AM269" s="563">
        <f t="shared" ca="1" si="57"/>
        <v>45675</v>
      </c>
      <c r="AN269" s="564">
        <v>103.53</v>
      </c>
      <c r="AO269" s="564">
        <v>606199</v>
      </c>
      <c r="AP269" s="564">
        <v>44236.582000000002</v>
      </c>
      <c r="AQ269" s="564">
        <v>4579813.3344600005</v>
      </c>
      <c r="AR269" s="564">
        <v>1.6365000000000001</v>
      </c>
    </row>
    <row r="270" spans="39:44">
      <c r="AM270" s="563">
        <f t="shared" ca="1" si="57"/>
        <v>45674</v>
      </c>
      <c r="AN270" s="564">
        <v>106.66</v>
      </c>
      <c r="AO270" s="564">
        <v>762048</v>
      </c>
      <c r="AP270" s="564">
        <v>44236.582000000002</v>
      </c>
      <c r="AQ270" s="564">
        <v>4718273.8361200001</v>
      </c>
      <c r="AR270" s="564">
        <v>1.6859</v>
      </c>
    </row>
    <row r="271" spans="39:44">
      <c r="AM271" s="563">
        <f t="shared" ca="1" si="57"/>
        <v>45673</v>
      </c>
      <c r="AN271" s="564">
        <v>112.24</v>
      </c>
      <c r="AO271" s="564">
        <v>800494</v>
      </c>
      <c r="AP271" s="564">
        <v>44236.582000000002</v>
      </c>
      <c r="AQ271" s="564">
        <v>4965113.96368</v>
      </c>
      <c r="AR271" s="564">
        <v>1.7742</v>
      </c>
    </row>
    <row r="272" spans="39:44">
      <c r="AM272" s="563">
        <f t="shared" ca="1" si="57"/>
        <v>45672</v>
      </c>
      <c r="AN272" s="564">
        <v>108.12</v>
      </c>
      <c r="AO272" s="564">
        <v>592178</v>
      </c>
      <c r="AP272" s="564">
        <v>44236.582000000002</v>
      </c>
      <c r="AQ272" s="564">
        <v>4782859.24584</v>
      </c>
      <c r="AR272" s="564">
        <v>1.7090000000000001</v>
      </c>
    </row>
    <row r="273" spans="39:44">
      <c r="AM273" s="563">
        <f t="shared" ca="1" si="57"/>
        <v>45671</v>
      </c>
      <c r="AN273" s="564">
        <v>108.12</v>
      </c>
      <c r="AO273" s="564">
        <v>592178</v>
      </c>
      <c r="AP273" s="564">
        <v>44236.582000000002</v>
      </c>
      <c r="AQ273" s="564">
        <v>4782859.24584</v>
      </c>
      <c r="AR273" s="564">
        <v>1.7090000000000001</v>
      </c>
    </row>
    <row r="274" spans="39:44">
      <c r="AM274" s="563">
        <f t="shared" ca="1" si="57"/>
        <v>45670</v>
      </c>
      <c r="AN274" s="564">
        <v>108.12</v>
      </c>
      <c r="AO274" s="564">
        <v>592178</v>
      </c>
      <c r="AP274" s="564">
        <v>44236.582000000002</v>
      </c>
      <c r="AQ274" s="564">
        <v>4782859.24584</v>
      </c>
      <c r="AR274" s="564">
        <v>1.7090000000000001</v>
      </c>
    </row>
    <row r="275" spans="39:44">
      <c r="AM275" s="563">
        <f t="shared" ca="1" si="57"/>
        <v>45669</v>
      </c>
      <c r="AN275" s="564">
        <v>105.89</v>
      </c>
      <c r="AO275" s="564">
        <v>594001</v>
      </c>
      <c r="AP275" s="564">
        <v>44236.582000000002</v>
      </c>
      <c r="AQ275" s="564">
        <v>4684211.6679800004</v>
      </c>
      <c r="AR275" s="564">
        <v>1.6738</v>
      </c>
    </row>
    <row r="276" spans="39:44">
      <c r="AM276" s="563">
        <f t="shared" ca="1" si="57"/>
        <v>45668</v>
      </c>
      <c r="AN276" s="564">
        <v>105.76</v>
      </c>
      <c r="AO276" s="564">
        <v>629416</v>
      </c>
      <c r="AP276" s="564">
        <v>44236.582000000002</v>
      </c>
      <c r="AQ276" s="564">
        <v>4678460.9123200001</v>
      </c>
      <c r="AR276" s="564">
        <v>1.6717</v>
      </c>
    </row>
    <row r="277" spans="39:44">
      <c r="AM277" s="563">
        <f t="shared" ca="1" si="57"/>
        <v>45667</v>
      </c>
      <c r="AN277" s="564">
        <v>104.2</v>
      </c>
      <c r="AO277" s="564">
        <v>567042</v>
      </c>
      <c r="AP277" s="564">
        <v>44236.582000000002</v>
      </c>
      <c r="AQ277" s="564">
        <v>4609451.8444000008</v>
      </c>
      <c r="AR277" s="564">
        <v>1.6471</v>
      </c>
    </row>
    <row r="278" spans="39:44">
      <c r="AM278" s="563">
        <f t="shared" ca="1" si="57"/>
        <v>45666</v>
      </c>
      <c r="AN278" s="564">
        <v>101.79</v>
      </c>
      <c r="AO278" s="564">
        <v>579162</v>
      </c>
      <c r="AP278" s="564">
        <v>44236.582000000002</v>
      </c>
      <c r="AQ278" s="564">
        <v>4502841.6817800002</v>
      </c>
      <c r="AR278" s="564">
        <v>1.609</v>
      </c>
    </row>
    <row r="279" spans="39:44">
      <c r="AM279" s="563">
        <f t="shared" ca="1" si="57"/>
        <v>45665</v>
      </c>
      <c r="AN279" s="564">
        <v>99.22</v>
      </c>
      <c r="AO279" s="564">
        <v>447799</v>
      </c>
      <c r="AP279" s="564">
        <v>44236.582000000002</v>
      </c>
      <c r="AQ279" s="564">
        <v>4389153.6660400005</v>
      </c>
      <c r="AR279" s="564">
        <v>1.5683</v>
      </c>
    </row>
    <row r="280" spans="39:44">
      <c r="AM280" s="563">
        <f t="shared" ca="1" si="57"/>
        <v>45664</v>
      </c>
      <c r="AN280" s="564">
        <v>99.22</v>
      </c>
      <c r="AO280" s="564">
        <v>447799</v>
      </c>
      <c r="AP280" s="564">
        <v>44236.582000000002</v>
      </c>
      <c r="AQ280" s="564">
        <v>4389153.6660400005</v>
      </c>
      <c r="AR280" s="564">
        <v>1.5683</v>
      </c>
    </row>
    <row r="281" spans="39:44">
      <c r="AM281" s="563">
        <f t="shared" ca="1" si="57"/>
        <v>45663</v>
      </c>
      <c r="AN281" s="564">
        <v>99.22</v>
      </c>
      <c r="AO281" s="564">
        <v>447799</v>
      </c>
      <c r="AP281" s="564">
        <v>44236.582000000002</v>
      </c>
      <c r="AQ281" s="564">
        <v>4389153.6660400005</v>
      </c>
      <c r="AR281" s="564">
        <v>1.5683</v>
      </c>
    </row>
    <row r="282" spans="39:44">
      <c r="AM282" s="563">
        <f t="shared" ca="1" si="57"/>
        <v>45662</v>
      </c>
      <c r="AN282" s="564">
        <v>97.3</v>
      </c>
      <c r="AO282" s="564">
        <v>382255</v>
      </c>
      <c r="AP282" s="564">
        <v>44236.582000000002</v>
      </c>
      <c r="AQ282" s="564">
        <v>4304219.4286000002</v>
      </c>
      <c r="AR282" s="564">
        <v>1.538</v>
      </c>
    </row>
    <row r="283" spans="39:44">
      <c r="AM283" s="563">
        <f t="shared" ca="1" si="57"/>
        <v>45661</v>
      </c>
      <c r="AN283" s="564">
        <v>97.25</v>
      </c>
      <c r="AO283" s="564">
        <v>496858</v>
      </c>
      <c r="AP283" s="564">
        <v>44236.582000000002</v>
      </c>
      <c r="AQ283" s="564">
        <v>4302007.5995000005</v>
      </c>
      <c r="AR283" s="564">
        <v>1.5371999999999999</v>
      </c>
    </row>
    <row r="284" spans="39:44">
      <c r="AM284" s="563">
        <f t="shared" ca="1" si="57"/>
        <v>45660</v>
      </c>
      <c r="AN284" s="564">
        <v>98.64</v>
      </c>
      <c r="AO284" s="564">
        <v>348924</v>
      </c>
      <c r="AP284" s="564">
        <v>44236.582000000002</v>
      </c>
      <c r="AQ284" s="564">
        <v>4363496.4484799998</v>
      </c>
      <c r="AR284" s="564">
        <v>1.5591999999999999</v>
      </c>
    </row>
    <row r="285" spans="39:44">
      <c r="AM285" s="563">
        <f t="shared" ca="1" si="57"/>
        <v>45659</v>
      </c>
      <c r="AN285" s="564">
        <v>98.14</v>
      </c>
      <c r="AO285" s="564">
        <v>432690</v>
      </c>
      <c r="AP285" s="564">
        <v>44236.582000000002</v>
      </c>
      <c r="AQ285" s="564">
        <v>4341378.1574800005</v>
      </c>
      <c r="AR285" s="564">
        <v>1.5512999999999999</v>
      </c>
    </row>
    <row r="286" spans="39:44">
      <c r="AM286" s="563">
        <f t="shared" ca="1" si="57"/>
        <v>45658</v>
      </c>
      <c r="AN286" s="564">
        <v>97.61</v>
      </c>
      <c r="AO286" s="564">
        <v>173715</v>
      </c>
      <c r="AP286" s="564">
        <v>44236.582000000002</v>
      </c>
      <c r="AQ286" s="564">
        <v>4317932.7690200005</v>
      </c>
      <c r="AR286" s="564">
        <v>1.7931999999999999</v>
      </c>
    </row>
    <row r="287" spans="39:44">
      <c r="AM287" s="563">
        <f t="shared" ca="1" si="57"/>
        <v>45657</v>
      </c>
      <c r="AN287" s="564">
        <v>97.61</v>
      </c>
      <c r="AO287" s="564">
        <v>173715</v>
      </c>
      <c r="AP287" s="564">
        <v>44236.582000000002</v>
      </c>
      <c r="AQ287" s="564">
        <v>4317932.7690200005</v>
      </c>
      <c r="AR287" s="564">
        <v>1.7931999999999999</v>
      </c>
    </row>
    <row r="288" spans="39:44">
      <c r="AM288" s="563">
        <f t="shared" ca="1" si="57"/>
        <v>45656</v>
      </c>
      <c r="AN288" s="564">
        <v>97.61</v>
      </c>
      <c r="AO288" s="564">
        <v>173715</v>
      </c>
      <c r="AP288" s="564">
        <v>44236.582000000002</v>
      </c>
      <c r="AQ288" s="564">
        <v>4317932.7690200005</v>
      </c>
      <c r="AR288" s="564">
        <v>1.7931999999999999</v>
      </c>
    </row>
    <row r="289" spans="39:44">
      <c r="AM289" s="563">
        <f t="shared" ca="1" si="57"/>
        <v>45655</v>
      </c>
      <c r="AN289" s="564">
        <v>97.15</v>
      </c>
      <c r="AO289" s="564">
        <v>339524</v>
      </c>
      <c r="AP289" s="564">
        <v>44236.582000000002</v>
      </c>
      <c r="AQ289" s="564">
        <v>4297583.9413000001</v>
      </c>
      <c r="AR289" s="564">
        <v>1.7847999999999999</v>
      </c>
    </row>
    <row r="290" spans="39:44">
      <c r="AM290" s="563">
        <f t="shared" ca="1" si="57"/>
        <v>45654</v>
      </c>
      <c r="AN290" s="564">
        <v>97.15</v>
      </c>
      <c r="AO290" s="564">
        <v>339524</v>
      </c>
      <c r="AP290" s="564">
        <v>44236.582000000002</v>
      </c>
      <c r="AQ290" s="564">
        <v>4297583.9413000001</v>
      </c>
      <c r="AR290" s="564">
        <v>1.7847999999999999</v>
      </c>
    </row>
    <row r="291" spans="39:44">
      <c r="AM291" s="563">
        <f t="shared" ca="1" si="57"/>
        <v>45653</v>
      </c>
      <c r="AN291" s="564">
        <v>96.62</v>
      </c>
      <c r="AO291" s="564">
        <v>504840</v>
      </c>
      <c r="AP291" s="564">
        <v>44236.582000000002</v>
      </c>
      <c r="AQ291" s="564">
        <v>4274138.55284</v>
      </c>
      <c r="AR291" s="564">
        <v>1.7749999999999999</v>
      </c>
    </row>
    <row r="292" spans="39:44">
      <c r="AM292" s="563">
        <f t="shared" ca="1" si="57"/>
        <v>45652</v>
      </c>
      <c r="AN292" s="564">
        <v>96.49</v>
      </c>
      <c r="AO292" s="564">
        <v>707695</v>
      </c>
      <c r="AP292" s="564">
        <v>44236.582000000002</v>
      </c>
      <c r="AQ292" s="564">
        <v>4268387.7971799998</v>
      </c>
      <c r="AR292" s="564">
        <v>1.7726</v>
      </c>
    </row>
    <row r="293" spans="39:44">
      <c r="AM293" s="563">
        <f t="shared" ca="1" si="57"/>
        <v>45651</v>
      </c>
      <c r="AN293" s="564">
        <v>95.96</v>
      </c>
      <c r="AO293" s="564">
        <v>379987</v>
      </c>
      <c r="AP293" s="564">
        <v>44236.582000000002</v>
      </c>
      <c r="AQ293" s="564">
        <v>4244942.4087199997</v>
      </c>
      <c r="AR293" s="564">
        <v>1.7628999999999999</v>
      </c>
    </row>
    <row r="294" spans="39:44">
      <c r="AM294" s="563">
        <f t="shared" ca="1" si="57"/>
        <v>45650</v>
      </c>
      <c r="AN294" s="564">
        <v>95.96</v>
      </c>
      <c r="AO294" s="564">
        <v>379987</v>
      </c>
      <c r="AP294" s="564">
        <v>44236.582000000002</v>
      </c>
      <c r="AQ294" s="564">
        <v>4244942.4087199997</v>
      </c>
      <c r="AR294" s="564">
        <v>1.7628999999999999</v>
      </c>
    </row>
    <row r="295" spans="39:44">
      <c r="AM295" s="563">
        <f t="shared" ca="1" si="57"/>
        <v>45649</v>
      </c>
      <c r="AN295" s="564">
        <v>95.96</v>
      </c>
      <c r="AO295" s="564">
        <v>379987</v>
      </c>
      <c r="AP295" s="564">
        <v>44236.582000000002</v>
      </c>
      <c r="AQ295" s="564">
        <v>4244942.4087199997</v>
      </c>
      <c r="AR295" s="564">
        <v>1.7628999999999999</v>
      </c>
    </row>
    <row r="296" spans="39:44">
      <c r="AM296" s="563">
        <f t="shared" ca="1" si="57"/>
        <v>45648</v>
      </c>
      <c r="AN296" s="564">
        <v>95.78</v>
      </c>
      <c r="AO296" s="564">
        <v>263865</v>
      </c>
      <c r="AP296" s="564">
        <v>44236.582000000002</v>
      </c>
      <c r="AQ296" s="564">
        <v>4236979.8239600006</v>
      </c>
      <c r="AR296" s="564">
        <v>1.7596000000000001</v>
      </c>
    </row>
    <row r="297" spans="39:44">
      <c r="AM297" s="563">
        <f t="shared" ca="1" si="57"/>
        <v>45647</v>
      </c>
      <c r="AN297" s="564">
        <v>94.78</v>
      </c>
      <c r="AO297" s="564">
        <v>379990</v>
      </c>
      <c r="AP297" s="564">
        <v>44236.582000000002</v>
      </c>
      <c r="AQ297" s="564">
        <v>4192743.2419600002</v>
      </c>
      <c r="AR297" s="564">
        <v>1.7412000000000001</v>
      </c>
    </row>
    <row r="298" spans="39:44">
      <c r="AM298" s="563">
        <f t="shared" ca="1" si="57"/>
        <v>45646</v>
      </c>
      <c r="AN298" s="564">
        <v>95.14</v>
      </c>
      <c r="AO298" s="564">
        <v>486981</v>
      </c>
      <c r="AP298" s="564">
        <v>44236.582000000002</v>
      </c>
      <c r="AQ298" s="564">
        <v>4208668.4114800002</v>
      </c>
      <c r="AR298" s="564">
        <v>1.7478</v>
      </c>
    </row>
    <row r="299" spans="39:44">
      <c r="AM299" s="563">
        <f t="shared" ca="1" si="57"/>
        <v>45645</v>
      </c>
      <c r="AN299" s="564">
        <v>93.97</v>
      </c>
      <c r="AO299" s="564">
        <v>594374</v>
      </c>
      <c r="AP299" s="564">
        <v>44236.582000000002</v>
      </c>
      <c r="AQ299" s="564">
        <v>4156911.6105400003</v>
      </c>
      <c r="AR299" s="564">
        <v>1.7262999999999999</v>
      </c>
    </row>
    <row r="300" spans="39:44">
      <c r="AM300" s="563">
        <f t="shared" ca="1" si="57"/>
        <v>45644</v>
      </c>
      <c r="AN300" s="564">
        <v>90.43</v>
      </c>
      <c r="AO300" s="564">
        <v>407799</v>
      </c>
      <c r="AP300" s="564">
        <v>44236.582000000002</v>
      </c>
      <c r="AQ300" s="564">
        <v>4000314.1102600005</v>
      </c>
      <c r="AR300" s="564">
        <v>1.6613</v>
      </c>
    </row>
    <row r="301" spans="39:44">
      <c r="AM301" s="563">
        <f t="shared" ca="1" si="57"/>
        <v>45643</v>
      </c>
      <c r="AN301" s="564">
        <v>90.43</v>
      </c>
      <c r="AO301" s="564">
        <v>407799</v>
      </c>
      <c r="AP301" s="564">
        <v>44236.582000000002</v>
      </c>
      <c r="AQ301" s="564">
        <v>4000314.1102600005</v>
      </c>
      <c r="AR301" s="564">
        <v>1.6613</v>
      </c>
    </row>
    <row r="302" spans="39:44">
      <c r="AM302" s="563">
        <f t="shared" ca="1" si="57"/>
        <v>45642</v>
      </c>
      <c r="AN302" s="564">
        <v>90.43</v>
      </c>
      <c r="AO302" s="564">
        <v>407799</v>
      </c>
      <c r="AP302" s="564">
        <v>44236.582000000002</v>
      </c>
      <c r="AQ302" s="564">
        <v>4000314.1102600005</v>
      </c>
      <c r="AR302" s="564">
        <v>1.6613</v>
      </c>
    </row>
    <row r="303" spans="39:44">
      <c r="AM303" s="563">
        <f t="shared" ca="1" si="57"/>
        <v>45641</v>
      </c>
      <c r="AN303" s="564">
        <v>90.44</v>
      </c>
      <c r="AO303" s="564">
        <v>363190</v>
      </c>
      <c r="AP303" s="564">
        <v>44236.582000000002</v>
      </c>
      <c r="AQ303" s="564">
        <v>4000756.4760799999</v>
      </c>
      <c r="AR303" s="564">
        <v>1.6615</v>
      </c>
    </row>
    <row r="304" spans="39:44">
      <c r="AM304" s="563">
        <f t="shared" ca="1" si="57"/>
        <v>45640</v>
      </c>
      <c r="AN304" s="564">
        <v>91.29</v>
      </c>
      <c r="AO304" s="564">
        <v>379341</v>
      </c>
      <c r="AP304" s="564">
        <v>44236.582000000002</v>
      </c>
      <c r="AQ304" s="564">
        <v>4038357.5707800006</v>
      </c>
      <c r="AR304" s="564">
        <v>1.6771</v>
      </c>
    </row>
    <row r="305" spans="39:44">
      <c r="AM305" s="563">
        <f t="shared" ca="1" si="57"/>
        <v>45639</v>
      </c>
      <c r="AN305" s="564">
        <v>92.86</v>
      </c>
      <c r="AO305" s="564">
        <v>451986</v>
      </c>
      <c r="AP305" s="564">
        <v>44236.582000000002</v>
      </c>
      <c r="AQ305" s="564">
        <v>4107809.00452</v>
      </c>
      <c r="AR305" s="564">
        <v>1.7059</v>
      </c>
    </row>
    <row r="306" spans="39:44">
      <c r="AM306" s="563">
        <f t="shared" ca="1" si="57"/>
        <v>45638</v>
      </c>
      <c r="AN306" s="564">
        <v>91.03</v>
      </c>
      <c r="AO306" s="564">
        <v>338715</v>
      </c>
      <c r="AP306" s="564">
        <v>44236.582000000002</v>
      </c>
      <c r="AQ306" s="564">
        <v>4026856.0594600001</v>
      </c>
      <c r="AR306" s="564">
        <v>1.6722999999999999</v>
      </c>
    </row>
    <row r="307" spans="39:44">
      <c r="AM307" s="563">
        <f t="shared" ca="1" si="57"/>
        <v>45637</v>
      </c>
      <c r="AN307" s="564">
        <v>90.95</v>
      </c>
      <c r="AO307" s="564">
        <v>636268</v>
      </c>
      <c r="AP307" s="564">
        <v>44236.582000000002</v>
      </c>
      <c r="AQ307" s="564">
        <v>4023317.1329000005</v>
      </c>
      <c r="AR307" s="564">
        <v>1.6709000000000001</v>
      </c>
    </row>
    <row r="308" spans="39:44">
      <c r="AM308" s="563">
        <f t="shared" ca="1" si="57"/>
        <v>45636</v>
      </c>
      <c r="AN308" s="564">
        <v>90.95</v>
      </c>
      <c r="AO308" s="564">
        <v>636268</v>
      </c>
      <c r="AP308" s="564">
        <v>44236.582000000002</v>
      </c>
      <c r="AQ308" s="564">
        <v>4023317.1329000005</v>
      </c>
      <c r="AR308" s="564">
        <v>1.6709000000000001</v>
      </c>
    </row>
    <row r="309" spans="39:44">
      <c r="AM309" s="563">
        <f t="shared" ca="1" si="57"/>
        <v>45635</v>
      </c>
      <c r="AN309" s="564">
        <v>90.95</v>
      </c>
      <c r="AO309" s="564">
        <v>636268</v>
      </c>
      <c r="AP309" s="564">
        <v>44236.582000000002</v>
      </c>
      <c r="AQ309" s="564">
        <v>4023317.1329000005</v>
      </c>
      <c r="AR309" s="564">
        <v>1.6709000000000001</v>
      </c>
    </row>
    <row r="310" spans="39:44">
      <c r="AM310" s="563">
        <f t="shared" ca="1" si="57"/>
        <v>45634</v>
      </c>
      <c r="AN310" s="564">
        <v>89.37</v>
      </c>
      <c r="AO310" s="564">
        <v>439813</v>
      </c>
      <c r="AP310" s="564">
        <v>44236.582000000002</v>
      </c>
      <c r="AQ310" s="564">
        <v>3953423.3333400004</v>
      </c>
      <c r="AR310" s="564">
        <v>1.6417999999999999</v>
      </c>
    </row>
    <row r="311" spans="39:44">
      <c r="AM311" s="563">
        <f t="shared" ca="1" si="57"/>
        <v>45633</v>
      </c>
      <c r="AN311" s="564">
        <v>90.71</v>
      </c>
      <c r="AO311" s="564">
        <v>659401</v>
      </c>
      <c r="AP311" s="564">
        <v>44236.582000000002</v>
      </c>
      <c r="AQ311" s="564">
        <v>4012700.3532199999</v>
      </c>
      <c r="AR311" s="564">
        <v>1.6664000000000001</v>
      </c>
    </row>
    <row r="312" spans="39:44">
      <c r="AM312" s="563">
        <f t="shared" ca="1" si="57"/>
        <v>45632</v>
      </c>
      <c r="AN312" s="564">
        <v>88.71</v>
      </c>
      <c r="AO312" s="564">
        <v>367430</v>
      </c>
      <c r="AP312" s="564">
        <v>44236.582000000002</v>
      </c>
      <c r="AQ312" s="564">
        <v>3924227.1892200001</v>
      </c>
      <c r="AR312" s="564">
        <v>1.6296999999999999</v>
      </c>
    </row>
    <row r="313" spans="39:44">
      <c r="AM313" s="563">
        <f t="shared" ca="1" si="57"/>
        <v>45631</v>
      </c>
      <c r="AN313" s="564">
        <v>87.31</v>
      </c>
      <c r="AO313" s="564">
        <v>406779</v>
      </c>
      <c r="AP313" s="564">
        <v>44236.582000000002</v>
      </c>
      <c r="AQ313" s="564">
        <v>3862295.9744200003</v>
      </c>
      <c r="AR313" s="564">
        <v>1.6040000000000001</v>
      </c>
    </row>
    <row r="314" spans="39:44">
      <c r="AM314" s="563">
        <f t="shared" ca="1" si="57"/>
        <v>45630</v>
      </c>
      <c r="AN314" s="564">
        <v>87.11</v>
      </c>
      <c r="AO314" s="564">
        <v>434844</v>
      </c>
      <c r="AP314" s="564">
        <v>44236.582000000002</v>
      </c>
      <c r="AQ314" s="564">
        <v>3853448.65802</v>
      </c>
      <c r="AR314" s="564">
        <v>1.6003000000000001</v>
      </c>
    </row>
    <row r="315" spans="39:44">
      <c r="AM315" s="563">
        <f t="shared" ca="1" si="57"/>
        <v>45629</v>
      </c>
      <c r="AN315" s="564">
        <v>87.11</v>
      </c>
      <c r="AO315" s="564">
        <v>434844</v>
      </c>
      <c r="AP315" s="564">
        <v>44236.582000000002</v>
      </c>
      <c r="AQ315" s="564">
        <v>3853448.65802</v>
      </c>
      <c r="AR315" s="564">
        <v>1.6003000000000001</v>
      </c>
    </row>
    <row r="316" spans="39:44">
      <c r="AM316" s="563">
        <f t="shared" ca="1" si="57"/>
        <v>45628</v>
      </c>
      <c r="AN316" s="564">
        <v>87.11</v>
      </c>
      <c r="AO316" s="564">
        <v>434844</v>
      </c>
      <c r="AP316" s="564">
        <v>44236.582000000002</v>
      </c>
      <c r="AQ316" s="564">
        <v>3853448.65802</v>
      </c>
      <c r="AR316" s="564">
        <v>1.6003000000000001</v>
      </c>
    </row>
    <row r="317" spans="39:44">
      <c r="AM317" s="563">
        <f t="shared" ca="1" si="57"/>
        <v>45627</v>
      </c>
      <c r="AN317" s="564">
        <v>87.78</v>
      </c>
      <c r="AO317" s="564">
        <v>327820</v>
      </c>
      <c r="AP317" s="564">
        <v>44236.582000000002</v>
      </c>
      <c r="AQ317" s="564">
        <v>3883087.1679600002</v>
      </c>
      <c r="AR317" s="564">
        <v>1.6126</v>
      </c>
    </row>
    <row r="318" spans="39:44">
      <c r="AM318" s="563">
        <f t="shared" ca="1" si="57"/>
        <v>45626</v>
      </c>
      <c r="AN318" s="564">
        <v>89</v>
      </c>
      <c r="AO318" s="564">
        <v>315559</v>
      </c>
      <c r="AP318" s="564">
        <v>44236.582000000002</v>
      </c>
      <c r="AQ318" s="564">
        <v>3937055.7980000004</v>
      </c>
      <c r="AR318" s="564">
        <v>1.635</v>
      </c>
    </row>
    <row r="319" spans="39:44">
      <c r="AM319" s="563">
        <f t="shared" ca="1" si="57"/>
        <v>45625</v>
      </c>
      <c r="AN319" s="564">
        <v>90.2</v>
      </c>
      <c r="AO319" s="564">
        <v>405183</v>
      </c>
      <c r="AP319" s="564">
        <v>44236.582000000002</v>
      </c>
      <c r="AQ319" s="564">
        <v>3990139.6964000002</v>
      </c>
      <c r="AR319" s="564">
        <v>1.6571</v>
      </c>
    </row>
    <row r="320" spans="39:44">
      <c r="AM320" s="563">
        <f t="shared" ca="1" si="57"/>
        <v>45624</v>
      </c>
      <c r="AN320" s="564">
        <v>90.16</v>
      </c>
      <c r="AO320" s="564">
        <v>445658</v>
      </c>
      <c r="AP320" s="564">
        <v>44236.582000000002</v>
      </c>
      <c r="AQ320" s="564">
        <v>3988370.23312</v>
      </c>
      <c r="AR320" s="564">
        <v>1.6563000000000001</v>
      </c>
    </row>
    <row r="321" spans="39:44">
      <c r="AM321" s="563">
        <f t="shared" ca="1" si="57"/>
        <v>45623</v>
      </c>
      <c r="AN321" s="564">
        <v>89.43</v>
      </c>
      <c r="AO321" s="564">
        <v>322608</v>
      </c>
      <c r="AP321" s="564">
        <v>44236.582000000002</v>
      </c>
      <c r="AQ321" s="564">
        <v>3956077.5282600005</v>
      </c>
      <c r="AR321" s="564">
        <v>1.6429</v>
      </c>
    </row>
    <row r="322" spans="39:44">
      <c r="AM322" s="563">
        <f t="shared" ca="1" si="57"/>
        <v>45622</v>
      </c>
      <c r="AN322" s="564">
        <v>89.43</v>
      </c>
      <c r="AO322" s="564">
        <v>322608</v>
      </c>
      <c r="AP322" s="564">
        <v>44236.582000000002</v>
      </c>
      <c r="AQ322" s="564">
        <v>3956077.5282600005</v>
      </c>
      <c r="AR322" s="564">
        <v>1.6429</v>
      </c>
    </row>
    <row r="323" spans="39:44">
      <c r="AM323" s="563">
        <f t="shared" ca="1" si="57"/>
        <v>45621</v>
      </c>
      <c r="AN323" s="564">
        <v>89.43</v>
      </c>
      <c r="AO323" s="564">
        <v>322608</v>
      </c>
      <c r="AP323" s="564">
        <v>44236.582000000002</v>
      </c>
      <c r="AQ323" s="564">
        <v>3956077.5282600005</v>
      </c>
      <c r="AR323" s="564">
        <v>1.6429</v>
      </c>
    </row>
    <row r="324" spans="39:44">
      <c r="AM324" s="563">
        <f t="shared" ca="1" si="57"/>
        <v>45620</v>
      </c>
      <c r="AN324" s="564">
        <v>90.17</v>
      </c>
      <c r="AO324" s="564">
        <v>568813</v>
      </c>
      <c r="AP324" s="564">
        <v>44236.582000000002</v>
      </c>
      <c r="AQ324" s="564">
        <v>3988812.5989400004</v>
      </c>
      <c r="AR324" s="564">
        <v>1.6565000000000001</v>
      </c>
    </row>
    <row r="325" spans="39:44">
      <c r="AM325" s="563">
        <f t="shared" ref="AM325:AM388" ca="1" si="58">AM324-1</f>
        <v>45619</v>
      </c>
      <c r="AN325" s="564">
        <v>88.46</v>
      </c>
      <c r="AO325" s="564">
        <v>843397</v>
      </c>
      <c r="AP325" s="564">
        <v>44236.582000000002</v>
      </c>
      <c r="AQ325" s="564">
        <v>3913168.04372</v>
      </c>
      <c r="AR325" s="564">
        <v>1.6251</v>
      </c>
    </row>
    <row r="326" spans="39:44">
      <c r="AM326" s="563">
        <f t="shared" ca="1" si="58"/>
        <v>45618</v>
      </c>
      <c r="AN326" s="564">
        <v>88.56</v>
      </c>
      <c r="AO326" s="564">
        <v>776579</v>
      </c>
      <c r="AP326" s="564">
        <v>44236.582000000002</v>
      </c>
      <c r="AQ326" s="564">
        <v>3917591.7019200004</v>
      </c>
      <c r="AR326" s="564">
        <v>1.6269</v>
      </c>
    </row>
    <row r="327" spans="39:44">
      <c r="AM327" s="563">
        <f t="shared" ca="1" si="58"/>
        <v>45617</v>
      </c>
      <c r="AN327" s="564">
        <v>91.16</v>
      </c>
      <c r="AO327" s="564">
        <v>598805</v>
      </c>
      <c r="AP327" s="564">
        <v>44236.582000000002</v>
      </c>
      <c r="AQ327" s="564">
        <v>4032606.8151199999</v>
      </c>
      <c r="AR327" s="564">
        <v>1.6747000000000001</v>
      </c>
    </row>
    <row r="328" spans="39:44">
      <c r="AM328" s="563">
        <f t="shared" ca="1" si="58"/>
        <v>45616</v>
      </c>
      <c r="AN328" s="564">
        <v>92.76</v>
      </c>
      <c r="AO328" s="564">
        <v>451493</v>
      </c>
      <c r="AP328" s="564">
        <v>44236.582000000002</v>
      </c>
      <c r="AQ328" s="564">
        <v>4103385.3463200005</v>
      </c>
      <c r="AR328" s="564">
        <v>1.7040999999999999</v>
      </c>
    </row>
    <row r="329" spans="39:44">
      <c r="AM329" s="563">
        <f t="shared" ca="1" si="58"/>
        <v>45615</v>
      </c>
      <c r="AN329" s="564">
        <v>92.76</v>
      </c>
      <c r="AO329" s="564">
        <v>451493</v>
      </c>
      <c r="AP329" s="564">
        <v>44236.582000000002</v>
      </c>
      <c r="AQ329" s="564">
        <v>4103385.3463200005</v>
      </c>
      <c r="AR329" s="564">
        <v>1.7040999999999999</v>
      </c>
    </row>
    <row r="330" spans="39:44">
      <c r="AM330" s="563">
        <f t="shared" ca="1" si="58"/>
        <v>45614</v>
      </c>
      <c r="AN330" s="564">
        <v>92.76</v>
      </c>
      <c r="AO330" s="564">
        <v>451493</v>
      </c>
      <c r="AP330" s="564">
        <v>44236.582000000002</v>
      </c>
      <c r="AQ330" s="564">
        <v>4103385.3463200005</v>
      </c>
      <c r="AR330" s="564">
        <v>1.7040999999999999</v>
      </c>
    </row>
    <row r="331" spans="39:44">
      <c r="AM331" s="563">
        <f t="shared" ca="1" si="58"/>
        <v>45613</v>
      </c>
      <c r="AN331" s="564">
        <v>94.4</v>
      </c>
      <c r="AO331" s="564">
        <v>455753</v>
      </c>
      <c r="AP331" s="564">
        <v>44236.582000000002</v>
      </c>
      <c r="AQ331" s="564">
        <v>4175933.3408000004</v>
      </c>
      <c r="AR331" s="564">
        <v>1.7342</v>
      </c>
    </row>
    <row r="332" spans="39:44">
      <c r="AM332" s="563">
        <f t="shared" ca="1" si="58"/>
        <v>45612</v>
      </c>
      <c r="AN332" s="564">
        <v>94.16</v>
      </c>
      <c r="AO332" s="564">
        <v>510729</v>
      </c>
      <c r="AP332" s="564">
        <v>44236.582000000002</v>
      </c>
      <c r="AQ332" s="564">
        <v>4165316.5611200002</v>
      </c>
      <c r="AR332" s="564">
        <v>1.7298</v>
      </c>
    </row>
    <row r="333" spans="39:44">
      <c r="AM333" s="563">
        <f t="shared" ca="1" si="58"/>
        <v>45611</v>
      </c>
      <c r="AN333" s="564">
        <v>92.22</v>
      </c>
      <c r="AO333" s="564">
        <v>665623</v>
      </c>
      <c r="AP333" s="564">
        <v>44236.582000000002</v>
      </c>
      <c r="AQ333" s="564">
        <v>4079497.59204</v>
      </c>
      <c r="AR333" s="564">
        <v>1.6941999999999999</v>
      </c>
    </row>
    <row r="334" spans="39:44">
      <c r="AM334" s="563">
        <f t="shared" ca="1" si="58"/>
        <v>45610</v>
      </c>
      <c r="AN334" s="564">
        <v>90.56</v>
      </c>
      <c r="AO334" s="564">
        <v>497378</v>
      </c>
      <c r="AP334" s="564">
        <v>44236.582000000002</v>
      </c>
      <c r="AQ334" s="564">
        <v>4006064.8659200002</v>
      </c>
      <c r="AR334" s="564">
        <v>1.6637</v>
      </c>
    </row>
    <row r="335" spans="39:44">
      <c r="AM335" s="563">
        <f t="shared" ca="1" si="58"/>
        <v>45609</v>
      </c>
      <c r="AN335" s="564">
        <v>90.45</v>
      </c>
      <c r="AO335" s="564">
        <v>577282</v>
      </c>
      <c r="AP335" s="564">
        <v>44236.582000000002</v>
      </c>
      <c r="AQ335" s="564">
        <v>4001198.8419000003</v>
      </c>
      <c r="AR335" s="564">
        <v>1.6617</v>
      </c>
    </row>
    <row r="336" spans="39:44">
      <c r="AM336" s="563">
        <f t="shared" ca="1" si="58"/>
        <v>45608</v>
      </c>
      <c r="AN336" s="564">
        <v>90.45</v>
      </c>
      <c r="AO336" s="564">
        <v>577282</v>
      </c>
      <c r="AP336" s="564">
        <v>44236.582000000002</v>
      </c>
      <c r="AQ336" s="564">
        <v>4001198.8419000003</v>
      </c>
      <c r="AR336" s="564">
        <v>1.6617</v>
      </c>
    </row>
    <row r="337" spans="39:44">
      <c r="AM337" s="563">
        <f t="shared" ca="1" si="58"/>
        <v>45607</v>
      </c>
      <c r="AN337" s="564">
        <v>90.45</v>
      </c>
      <c r="AO337" s="564">
        <v>577282</v>
      </c>
      <c r="AP337" s="564">
        <v>44236.582000000002</v>
      </c>
      <c r="AQ337" s="564">
        <v>4001198.8419000003</v>
      </c>
      <c r="AR337" s="564">
        <v>1.6617</v>
      </c>
    </row>
    <row r="338" spans="39:44">
      <c r="AM338" s="563">
        <f t="shared" ca="1" si="58"/>
        <v>45606</v>
      </c>
      <c r="AN338" s="564">
        <v>89.5</v>
      </c>
      <c r="AO338" s="564">
        <v>693481</v>
      </c>
      <c r="AP338" s="564">
        <v>44236.582000000002</v>
      </c>
      <c r="AQ338" s="564">
        <v>3959174.0890000002</v>
      </c>
      <c r="AR338" s="564">
        <v>1.6442000000000001</v>
      </c>
    </row>
    <row r="339" spans="39:44">
      <c r="AM339" s="563">
        <f t="shared" ca="1" si="58"/>
        <v>45605</v>
      </c>
      <c r="AN339" s="564">
        <v>89.9</v>
      </c>
      <c r="AO339" s="564">
        <v>864084</v>
      </c>
      <c r="AP339" s="564">
        <v>44236.582000000002</v>
      </c>
      <c r="AQ339" s="564">
        <v>3976868.7218000004</v>
      </c>
      <c r="AR339" s="564">
        <v>1.6516</v>
      </c>
    </row>
    <row r="340" spans="39:44">
      <c r="AM340" s="563">
        <f t="shared" ca="1" si="58"/>
        <v>45604</v>
      </c>
      <c r="AN340" s="564">
        <v>87.4</v>
      </c>
      <c r="AO340" s="564">
        <v>1139044</v>
      </c>
      <c r="AP340" s="564">
        <v>44236.582000000002</v>
      </c>
      <c r="AQ340" s="564">
        <v>3866277.2668000003</v>
      </c>
      <c r="AR340" s="564">
        <v>1.6055999999999999</v>
      </c>
    </row>
    <row r="341" spans="39:44">
      <c r="AM341" s="563">
        <f t="shared" ca="1" si="58"/>
        <v>45603</v>
      </c>
      <c r="AN341" s="564">
        <v>86.49</v>
      </c>
      <c r="AO341" s="564">
        <v>989738</v>
      </c>
      <c r="AP341" s="564">
        <v>44236.582000000002</v>
      </c>
      <c r="AQ341" s="564">
        <v>3826021.9771799999</v>
      </c>
      <c r="AR341" s="564">
        <v>1.5889</v>
      </c>
    </row>
    <row r="342" spans="39:44">
      <c r="AM342" s="563">
        <f t="shared" ca="1" si="58"/>
        <v>45602</v>
      </c>
      <c r="AN342" s="564">
        <v>84.57</v>
      </c>
      <c r="AO342" s="564">
        <v>1019539</v>
      </c>
      <c r="AP342" s="564">
        <v>44236.582000000002</v>
      </c>
      <c r="AQ342" s="564">
        <v>3741087.7397400001</v>
      </c>
      <c r="AR342" s="564">
        <v>1.5536000000000001</v>
      </c>
    </row>
    <row r="343" spans="39:44">
      <c r="AM343" s="563">
        <f t="shared" ca="1" si="58"/>
        <v>45601</v>
      </c>
      <c r="AN343" s="564">
        <v>84.57</v>
      </c>
      <c r="AO343" s="564">
        <v>1019539</v>
      </c>
      <c r="AP343" s="564">
        <v>44236.582000000002</v>
      </c>
      <c r="AQ343" s="564">
        <v>3741087.7397400001</v>
      </c>
      <c r="AR343" s="564">
        <v>1.5536000000000001</v>
      </c>
    </row>
    <row r="344" spans="39:44">
      <c r="AM344" s="563">
        <f t="shared" ca="1" si="58"/>
        <v>45600</v>
      </c>
      <c r="AN344" s="564">
        <v>84.57</v>
      </c>
      <c r="AO344" s="564">
        <v>1019539</v>
      </c>
      <c r="AP344" s="564">
        <v>44236.582000000002</v>
      </c>
      <c r="AQ344" s="564">
        <v>3741087.7397400001</v>
      </c>
      <c r="AR344" s="564">
        <v>1.5536000000000001</v>
      </c>
    </row>
    <row r="345" spans="39:44">
      <c r="AM345" s="563">
        <f t="shared" ca="1" si="58"/>
        <v>45599</v>
      </c>
      <c r="AN345" s="564">
        <v>79.62</v>
      </c>
      <c r="AO345" s="564">
        <v>1146252</v>
      </c>
      <c r="AP345" s="564">
        <v>44236.582000000002</v>
      </c>
      <c r="AQ345" s="564">
        <v>3522116.6588400002</v>
      </c>
      <c r="AR345" s="564">
        <v>1.4626999999999999</v>
      </c>
    </row>
    <row r="346" spans="39:44">
      <c r="AM346" s="563">
        <f t="shared" ca="1" si="58"/>
        <v>45598</v>
      </c>
      <c r="AN346" s="564">
        <v>75.41</v>
      </c>
      <c r="AO346" s="564">
        <v>1048698</v>
      </c>
      <c r="AP346" s="564">
        <v>44236.582000000002</v>
      </c>
      <c r="AQ346" s="564">
        <v>3335880.6486200001</v>
      </c>
      <c r="AR346" s="564">
        <v>1.3854</v>
      </c>
    </row>
    <row r="347" spans="39:44">
      <c r="AM347" s="563">
        <f t="shared" ca="1" si="58"/>
        <v>45597</v>
      </c>
      <c r="AN347" s="564">
        <v>76.84</v>
      </c>
      <c r="AO347" s="564">
        <v>1174025</v>
      </c>
      <c r="AP347" s="564">
        <v>44236.582000000002</v>
      </c>
      <c r="AQ347" s="564">
        <v>3399138.9608800001</v>
      </c>
      <c r="AR347" s="564">
        <v>1.4116</v>
      </c>
    </row>
    <row r="348" spans="39:44">
      <c r="AM348" s="563">
        <f t="shared" ca="1" si="58"/>
        <v>45596</v>
      </c>
      <c r="AN348" s="564">
        <v>74.84</v>
      </c>
      <c r="AO348" s="564">
        <v>595967</v>
      </c>
      <c r="AP348" s="564">
        <v>44236.582000000002</v>
      </c>
      <c r="AQ348" s="564">
        <v>3310665.7968800003</v>
      </c>
      <c r="AR348" s="564">
        <v>1.3749</v>
      </c>
    </row>
    <row r="349" spans="39:44">
      <c r="AM349" s="563">
        <f t="shared" ca="1" si="58"/>
        <v>45595</v>
      </c>
      <c r="AN349" s="564">
        <v>74.650000000000006</v>
      </c>
      <c r="AO349" s="564">
        <v>455381</v>
      </c>
      <c r="AP349" s="564">
        <v>44236.582000000002</v>
      </c>
      <c r="AQ349" s="564">
        <v>3302260.8463000003</v>
      </c>
      <c r="AR349" s="564">
        <v>1.3714</v>
      </c>
    </row>
    <row r="350" spans="39:44">
      <c r="AM350" s="563">
        <f t="shared" ca="1" si="58"/>
        <v>45594</v>
      </c>
      <c r="AN350" s="564">
        <v>74.650000000000006</v>
      </c>
      <c r="AO350" s="564">
        <v>455381</v>
      </c>
      <c r="AP350" s="564">
        <v>44236.582000000002</v>
      </c>
      <c r="AQ350" s="564">
        <v>3302260.8463000003</v>
      </c>
      <c r="AR350" s="564">
        <v>1.3714</v>
      </c>
    </row>
    <row r="351" spans="39:44">
      <c r="AM351" s="563">
        <f t="shared" ca="1" si="58"/>
        <v>45593</v>
      </c>
      <c r="AN351" s="564">
        <v>74.650000000000006</v>
      </c>
      <c r="AO351" s="564">
        <v>455381</v>
      </c>
      <c r="AP351" s="564">
        <v>44236.582000000002</v>
      </c>
      <c r="AQ351" s="564">
        <v>3302260.8463000003</v>
      </c>
      <c r="AR351" s="564">
        <v>1.3714</v>
      </c>
    </row>
    <row r="352" spans="39:44">
      <c r="AM352" s="563">
        <f t="shared" ca="1" si="58"/>
        <v>45592</v>
      </c>
      <c r="AN352" s="564">
        <v>73.25</v>
      </c>
      <c r="AO352" s="564">
        <v>1083263</v>
      </c>
      <c r="AP352" s="564">
        <v>44236.582000000002</v>
      </c>
      <c r="AQ352" s="564">
        <v>3240329.6315000001</v>
      </c>
      <c r="AR352" s="564">
        <v>1.3456999999999999</v>
      </c>
    </row>
    <row r="353" spans="39:44">
      <c r="AM353" s="563">
        <f t="shared" ca="1" si="58"/>
        <v>45591</v>
      </c>
      <c r="AN353" s="564">
        <v>73.14</v>
      </c>
      <c r="AO353" s="564">
        <v>770215</v>
      </c>
      <c r="AP353" s="564">
        <v>44236.582000000002</v>
      </c>
      <c r="AQ353" s="564">
        <v>3235463.6074800002</v>
      </c>
      <c r="AR353" s="564">
        <v>1.3436999999999999</v>
      </c>
    </row>
    <row r="354" spans="39:44">
      <c r="AM354" s="563">
        <f t="shared" ca="1" si="58"/>
        <v>45590</v>
      </c>
      <c r="AN354" s="564">
        <v>74.900000000000006</v>
      </c>
      <c r="AO354" s="564">
        <v>609273</v>
      </c>
      <c r="AP354" s="564">
        <v>44236.582000000002</v>
      </c>
      <c r="AQ354" s="564">
        <v>3313319.9918000004</v>
      </c>
      <c r="AR354" s="564">
        <v>1.3759999999999999</v>
      </c>
    </row>
    <row r="355" spans="39:44">
      <c r="AM355" s="563">
        <f t="shared" ca="1" si="58"/>
        <v>45589</v>
      </c>
      <c r="AN355" s="564">
        <v>74.61</v>
      </c>
      <c r="AO355" s="564">
        <v>381427</v>
      </c>
      <c r="AP355" s="564">
        <v>44236.582000000002</v>
      </c>
      <c r="AQ355" s="564">
        <v>3300491.3830200001</v>
      </c>
      <c r="AR355" s="564">
        <v>1.3707</v>
      </c>
    </row>
    <row r="356" spans="39:44">
      <c r="AM356" s="563">
        <f t="shared" ca="1" si="58"/>
        <v>45588</v>
      </c>
      <c r="AN356" s="564">
        <v>74.73</v>
      </c>
      <c r="AO356" s="564">
        <v>1263927</v>
      </c>
      <c r="AP356" s="564">
        <v>44236.582000000002</v>
      </c>
      <c r="AQ356" s="564">
        <v>3305799.7728600004</v>
      </c>
      <c r="AR356" s="564">
        <v>1.3729</v>
      </c>
    </row>
    <row r="357" spans="39:44">
      <c r="AM357" s="563">
        <f t="shared" ca="1" si="58"/>
        <v>45587</v>
      </c>
      <c r="AN357" s="564">
        <v>74.73</v>
      </c>
      <c r="AO357" s="564">
        <v>1263927</v>
      </c>
      <c r="AP357" s="564">
        <v>44236.582000000002</v>
      </c>
      <c r="AQ357" s="564">
        <v>3305799.7728600004</v>
      </c>
      <c r="AR357" s="564">
        <v>1.3729</v>
      </c>
    </row>
    <row r="358" spans="39:44">
      <c r="AM358" s="563">
        <f t="shared" ca="1" si="58"/>
        <v>45586</v>
      </c>
      <c r="AN358" s="564">
        <v>74.73</v>
      </c>
      <c r="AO358" s="564">
        <v>1263927</v>
      </c>
      <c r="AP358" s="564">
        <v>44236.582000000002</v>
      </c>
      <c r="AQ358" s="564">
        <v>3305799.7728600004</v>
      </c>
      <c r="AR358" s="564">
        <v>1.3729</v>
      </c>
    </row>
    <row r="359" spans="39:44">
      <c r="AM359" s="563">
        <f t="shared" ca="1" si="58"/>
        <v>45585</v>
      </c>
      <c r="AN359" s="564">
        <v>73.69</v>
      </c>
      <c r="AO359" s="564">
        <v>509476</v>
      </c>
      <c r="AP359" s="564">
        <v>44236.582000000002</v>
      </c>
      <c r="AQ359" s="564">
        <v>3259793.7275800002</v>
      </c>
      <c r="AR359" s="564">
        <v>1.3537999999999999</v>
      </c>
    </row>
    <row r="360" spans="39:44">
      <c r="AM360" s="563">
        <f t="shared" ca="1" si="58"/>
        <v>45584</v>
      </c>
      <c r="AN360" s="564">
        <v>71.319999999999993</v>
      </c>
      <c r="AO360" s="564">
        <v>510573</v>
      </c>
      <c r="AP360" s="564">
        <v>44236.582000000002</v>
      </c>
      <c r="AQ360" s="564">
        <v>3154953.0282399999</v>
      </c>
      <c r="AR360" s="564">
        <v>1.3102</v>
      </c>
    </row>
    <row r="361" spans="39:44">
      <c r="AM361" s="563">
        <f t="shared" ca="1" si="58"/>
        <v>45583</v>
      </c>
      <c r="AN361" s="564">
        <v>70.95</v>
      </c>
      <c r="AO361" s="564">
        <v>500336</v>
      </c>
      <c r="AP361" s="564">
        <v>44236.582000000002</v>
      </c>
      <c r="AQ361" s="564">
        <v>3138585.4929000004</v>
      </c>
      <c r="AR361" s="564">
        <v>1.3033999999999999</v>
      </c>
    </row>
    <row r="362" spans="39:44">
      <c r="AM362" s="563">
        <f t="shared" ca="1" si="58"/>
        <v>45582</v>
      </c>
      <c r="AN362" s="564">
        <v>70.11</v>
      </c>
      <c r="AO362" s="564">
        <v>353035</v>
      </c>
      <c r="AP362" s="564">
        <v>44236.582000000002</v>
      </c>
      <c r="AQ362" s="564">
        <v>3101426.7640200001</v>
      </c>
      <c r="AR362" s="564">
        <v>1.288</v>
      </c>
    </row>
    <row r="363" spans="39:44">
      <c r="AM363" s="563">
        <f t="shared" ca="1" si="58"/>
        <v>45581</v>
      </c>
      <c r="AN363" s="564">
        <v>69.38</v>
      </c>
      <c r="AO363" s="564">
        <v>621160</v>
      </c>
      <c r="AP363" s="564">
        <v>44236.582000000002</v>
      </c>
      <c r="AQ363" s="564">
        <v>3069134.0591600002</v>
      </c>
      <c r="AR363" s="564">
        <v>1.2746</v>
      </c>
    </row>
    <row r="364" spans="39:44">
      <c r="AM364" s="563">
        <f t="shared" ca="1" si="58"/>
        <v>45580</v>
      </c>
      <c r="AN364" s="564">
        <v>69.38</v>
      </c>
      <c r="AO364" s="564">
        <v>621160</v>
      </c>
      <c r="AP364" s="564">
        <v>44236.582000000002</v>
      </c>
      <c r="AQ364" s="564">
        <v>3069134.0591600002</v>
      </c>
      <c r="AR364" s="564">
        <v>1.2746</v>
      </c>
    </row>
    <row r="365" spans="39:44">
      <c r="AM365" s="563">
        <f t="shared" ca="1" si="58"/>
        <v>45579</v>
      </c>
      <c r="AN365" s="564">
        <v>69.38</v>
      </c>
      <c r="AO365" s="564">
        <v>621160</v>
      </c>
      <c r="AP365" s="564">
        <v>44236.582000000002</v>
      </c>
      <c r="AQ365" s="564">
        <v>3069134.0591600002</v>
      </c>
      <c r="AR365" s="564">
        <v>1.2746</v>
      </c>
    </row>
    <row r="366" spans="39:44">
      <c r="AM366" s="563">
        <f t="shared" ca="1" si="58"/>
        <v>45578</v>
      </c>
      <c r="AN366" s="564">
        <v>69.349999999999994</v>
      </c>
      <c r="AO366" s="564">
        <v>351975</v>
      </c>
      <c r="AP366" s="564">
        <v>44236.582000000002</v>
      </c>
      <c r="AQ366" s="564">
        <v>3067806.9616999999</v>
      </c>
      <c r="AR366" s="564">
        <v>1.274</v>
      </c>
    </row>
    <row r="367" spans="39:44">
      <c r="AM367" s="563">
        <f t="shared" ca="1" si="58"/>
        <v>45577</v>
      </c>
      <c r="AN367" s="564">
        <v>69.040000000000006</v>
      </c>
      <c r="AO367" s="564">
        <v>444666</v>
      </c>
      <c r="AP367" s="564">
        <v>44236.582000000002</v>
      </c>
      <c r="AQ367" s="564">
        <v>3054093.6212800005</v>
      </c>
      <c r="AR367" s="564">
        <v>1.2683</v>
      </c>
    </row>
    <row r="368" spans="39:44">
      <c r="AM368" s="563">
        <f t="shared" ca="1" si="58"/>
        <v>45576</v>
      </c>
      <c r="AN368" s="564">
        <v>69.290000000000006</v>
      </c>
      <c r="AO368" s="564">
        <v>506634</v>
      </c>
      <c r="AP368" s="564">
        <v>44236.582000000002</v>
      </c>
      <c r="AQ368" s="564">
        <v>3065152.7667800006</v>
      </c>
      <c r="AR368" s="564">
        <v>1.2728999999999999</v>
      </c>
    </row>
    <row r="369" spans="39:44">
      <c r="AM369" s="563">
        <f t="shared" ca="1" si="58"/>
        <v>45575</v>
      </c>
      <c r="AN369" s="564">
        <v>68.45</v>
      </c>
      <c r="AO369" s="564">
        <v>444922</v>
      </c>
      <c r="AP369" s="564">
        <v>44236.582000000002</v>
      </c>
      <c r="AQ369" s="564">
        <v>3027994.0379000003</v>
      </c>
      <c r="AR369" s="564">
        <v>1.2575000000000001</v>
      </c>
    </row>
    <row r="370" spans="39:44">
      <c r="AM370" s="563">
        <f t="shared" ca="1" si="58"/>
        <v>45574</v>
      </c>
      <c r="AN370" s="564">
        <v>69.010000000000005</v>
      </c>
      <c r="AO370" s="564">
        <v>693753</v>
      </c>
      <c r="AP370" s="564">
        <v>44236.582000000002</v>
      </c>
      <c r="AQ370" s="564">
        <v>3052766.5238200002</v>
      </c>
      <c r="AR370" s="564">
        <v>1.2678</v>
      </c>
    </row>
    <row r="371" spans="39:44">
      <c r="AM371" s="563">
        <f t="shared" ca="1" si="58"/>
        <v>45573</v>
      </c>
      <c r="AN371" s="564">
        <v>69.010000000000005</v>
      </c>
      <c r="AO371" s="564">
        <v>693753</v>
      </c>
      <c r="AP371" s="564">
        <v>44236.582000000002</v>
      </c>
      <c r="AQ371" s="564">
        <v>3052766.5238200002</v>
      </c>
      <c r="AR371" s="564">
        <v>1.2678</v>
      </c>
    </row>
    <row r="372" spans="39:44">
      <c r="AM372" s="563">
        <f t="shared" ca="1" si="58"/>
        <v>45572</v>
      </c>
      <c r="AN372" s="564">
        <v>69.010000000000005</v>
      </c>
      <c r="AO372" s="564">
        <v>693753</v>
      </c>
      <c r="AP372" s="564">
        <v>44236.582000000002</v>
      </c>
      <c r="AQ372" s="564">
        <v>3052766.5238200002</v>
      </c>
      <c r="AR372" s="564">
        <v>1.2678</v>
      </c>
    </row>
    <row r="373" spans="39:44">
      <c r="AM373" s="563">
        <f t="shared" ca="1" si="58"/>
        <v>45571</v>
      </c>
      <c r="AN373" s="564">
        <v>68.77</v>
      </c>
      <c r="AO373" s="564">
        <v>645499</v>
      </c>
      <c r="AP373" s="564">
        <v>44236.582000000002</v>
      </c>
      <c r="AQ373" s="564">
        <v>3042149.7441400001</v>
      </c>
      <c r="AR373" s="564">
        <v>1.2634000000000001</v>
      </c>
    </row>
    <row r="374" spans="39:44">
      <c r="AM374" s="563">
        <f t="shared" ca="1" si="58"/>
        <v>45570</v>
      </c>
      <c r="AN374" s="564">
        <v>68.94</v>
      </c>
      <c r="AO374" s="564">
        <v>502477</v>
      </c>
      <c r="AP374" s="564">
        <v>44236.582000000002</v>
      </c>
      <c r="AQ374" s="564">
        <v>3049669.9630800001</v>
      </c>
      <c r="AR374" s="564">
        <v>1.2665</v>
      </c>
    </row>
    <row r="375" spans="39:44">
      <c r="AM375" s="563">
        <f t="shared" ca="1" si="58"/>
        <v>45569</v>
      </c>
      <c r="AN375" s="564">
        <v>71.069999999999993</v>
      </c>
      <c r="AO375" s="564">
        <v>454185</v>
      </c>
      <c r="AP375" s="564">
        <v>44236.582000000002</v>
      </c>
      <c r="AQ375" s="564">
        <v>3143893.8827399998</v>
      </c>
      <c r="AR375" s="564">
        <v>1.3056000000000001</v>
      </c>
    </row>
    <row r="376" spans="39:44">
      <c r="AM376" s="563">
        <f t="shared" ca="1" si="58"/>
        <v>45568</v>
      </c>
      <c r="AN376" s="564">
        <v>72.040000000000006</v>
      </c>
      <c r="AO376" s="564">
        <v>302052</v>
      </c>
      <c r="AP376" s="564">
        <v>44236.582000000002</v>
      </c>
      <c r="AQ376" s="564">
        <v>3186803.3672800004</v>
      </c>
      <c r="AR376" s="564">
        <v>1.5086999999999999</v>
      </c>
    </row>
    <row r="377" spans="39:44">
      <c r="AM377" s="563">
        <f t="shared" ca="1" si="58"/>
        <v>45567</v>
      </c>
      <c r="AN377" s="564">
        <v>72.040000000000006</v>
      </c>
      <c r="AO377" s="564">
        <v>302052</v>
      </c>
      <c r="AP377" s="564">
        <v>44236.582000000002</v>
      </c>
      <c r="AQ377" s="564">
        <v>3186803.3672800004</v>
      </c>
      <c r="AR377" s="564">
        <v>1.5086999999999999</v>
      </c>
    </row>
    <row r="378" spans="39:44">
      <c r="AM378" s="563">
        <f t="shared" ca="1" si="58"/>
        <v>45566</v>
      </c>
      <c r="AN378" s="564">
        <v>72.040000000000006</v>
      </c>
      <c r="AO378" s="564">
        <v>302052</v>
      </c>
      <c r="AP378" s="564">
        <v>44236.582000000002</v>
      </c>
      <c r="AQ378" s="564">
        <v>3186803.3672800004</v>
      </c>
      <c r="AR378" s="564">
        <v>1.5086999999999999</v>
      </c>
    </row>
    <row r="379" spans="39:44">
      <c r="AM379" s="563">
        <f t="shared" ca="1" si="58"/>
        <v>45565</v>
      </c>
      <c r="AN379" s="564">
        <v>72.040000000000006</v>
      </c>
      <c r="AO379" s="564">
        <v>302052</v>
      </c>
      <c r="AP379" s="564">
        <v>44236.582000000002</v>
      </c>
      <c r="AQ379" s="564">
        <v>3186803.3672800004</v>
      </c>
      <c r="AR379" s="564">
        <v>1.5086999999999999</v>
      </c>
    </row>
    <row r="380" spans="39:44">
      <c r="AM380" s="563">
        <f t="shared" ca="1" si="58"/>
        <v>45564</v>
      </c>
      <c r="AN380" s="564">
        <v>71.84</v>
      </c>
      <c r="AO380" s="564">
        <v>211749</v>
      </c>
      <c r="AP380" s="564">
        <v>44236.582000000002</v>
      </c>
      <c r="AQ380" s="564">
        <v>3177956.0508800005</v>
      </c>
      <c r="AR380" s="564">
        <v>1.5044999999999999</v>
      </c>
    </row>
    <row r="381" spans="39:44">
      <c r="AM381" s="563">
        <f t="shared" ca="1" si="58"/>
        <v>45563</v>
      </c>
      <c r="AN381" s="564">
        <v>71.44</v>
      </c>
      <c r="AO381" s="564">
        <v>296725</v>
      </c>
      <c r="AP381" s="564">
        <v>44236.582000000002</v>
      </c>
      <c r="AQ381" s="564">
        <v>3160261.4180800002</v>
      </c>
      <c r="AR381" s="564">
        <v>1.4961</v>
      </c>
    </row>
    <row r="382" spans="39:44">
      <c r="AM382" s="563">
        <f t="shared" ca="1" si="58"/>
        <v>45562</v>
      </c>
      <c r="AN382" s="564">
        <v>71.290000000000006</v>
      </c>
      <c r="AO382" s="564">
        <v>515891</v>
      </c>
      <c r="AP382" s="564">
        <v>44236.582000000002</v>
      </c>
      <c r="AQ382" s="564">
        <v>3153625.9307800005</v>
      </c>
      <c r="AR382" s="564">
        <v>1.4930000000000001</v>
      </c>
    </row>
    <row r="383" spans="39:44">
      <c r="AM383" s="563">
        <f t="shared" ca="1" si="58"/>
        <v>45561</v>
      </c>
      <c r="AN383" s="564">
        <v>71.38</v>
      </c>
      <c r="AO383" s="564">
        <v>296978</v>
      </c>
      <c r="AP383" s="564">
        <v>44236.582000000002</v>
      </c>
      <c r="AQ383" s="564">
        <v>3157607.2231600001</v>
      </c>
      <c r="AR383" s="564">
        <v>1.4948999999999999</v>
      </c>
    </row>
    <row r="384" spans="39:44">
      <c r="AM384" s="563">
        <f t="shared" ca="1" si="58"/>
        <v>45560</v>
      </c>
      <c r="AN384" s="564">
        <v>71.45</v>
      </c>
      <c r="AO384" s="564">
        <v>334501</v>
      </c>
      <c r="AP384" s="564">
        <v>44236.582000000002</v>
      </c>
      <c r="AQ384" s="564">
        <v>3160703.7839000002</v>
      </c>
      <c r="AR384" s="564">
        <v>1.4963</v>
      </c>
    </row>
    <row r="385" spans="39:44">
      <c r="AM385" s="563">
        <f t="shared" ca="1" si="58"/>
        <v>45559</v>
      </c>
      <c r="AN385" s="564">
        <v>71.45</v>
      </c>
      <c r="AO385" s="564">
        <v>334501</v>
      </c>
      <c r="AP385" s="564">
        <v>44236.582000000002</v>
      </c>
      <c r="AQ385" s="564">
        <v>3160703.7839000002</v>
      </c>
      <c r="AR385" s="564">
        <v>1.4963</v>
      </c>
    </row>
    <row r="386" spans="39:44">
      <c r="AM386" s="563">
        <f t="shared" ca="1" si="58"/>
        <v>45558</v>
      </c>
      <c r="AN386" s="564">
        <v>71.45</v>
      </c>
      <c r="AO386" s="564">
        <v>334501</v>
      </c>
      <c r="AP386" s="564">
        <v>44236.582000000002</v>
      </c>
      <c r="AQ386" s="564">
        <v>3160703.7839000002</v>
      </c>
      <c r="AR386" s="564">
        <v>1.4963</v>
      </c>
    </row>
    <row r="387" spans="39:44">
      <c r="AM387" s="563">
        <f t="shared" ca="1" si="58"/>
        <v>45557</v>
      </c>
      <c r="AN387" s="564">
        <v>72.06</v>
      </c>
      <c r="AO387" s="564">
        <v>348946</v>
      </c>
      <c r="AP387" s="564">
        <v>44236.582000000002</v>
      </c>
      <c r="AQ387" s="564">
        <v>3187688.0989200003</v>
      </c>
      <c r="AR387" s="564">
        <v>1.5091000000000001</v>
      </c>
    </row>
    <row r="388" spans="39:44">
      <c r="AM388" s="563">
        <f t="shared" ca="1" si="58"/>
        <v>45556</v>
      </c>
      <c r="AN388" s="564">
        <v>71.89</v>
      </c>
      <c r="AO388" s="564">
        <v>329940</v>
      </c>
      <c r="AP388" s="564">
        <v>44236.582000000002</v>
      </c>
      <c r="AQ388" s="564">
        <v>3180167.8799800002</v>
      </c>
      <c r="AR388" s="564">
        <v>1.5055000000000001</v>
      </c>
    </row>
    <row r="389" spans="39:44">
      <c r="AM389" s="563">
        <f t="shared" ref="AM389:AM452" ca="1" si="59">AM388-1</f>
        <v>45555</v>
      </c>
      <c r="AN389" s="564">
        <v>71.84</v>
      </c>
      <c r="AO389" s="564">
        <v>386289</v>
      </c>
      <c r="AP389" s="564">
        <v>44236.582000000002</v>
      </c>
      <c r="AQ389" s="564">
        <v>3177956.0508800005</v>
      </c>
      <c r="AR389" s="564">
        <v>1.5044999999999999</v>
      </c>
    </row>
    <row r="390" spans="39:44">
      <c r="AM390" s="563">
        <f t="shared" ca="1" si="59"/>
        <v>45554</v>
      </c>
      <c r="AN390" s="564">
        <v>71.77</v>
      </c>
      <c r="AO390" s="564">
        <v>506233</v>
      </c>
      <c r="AP390" s="564">
        <v>44236.582000000002</v>
      </c>
      <c r="AQ390" s="564">
        <v>3174859.4901399999</v>
      </c>
      <c r="AR390" s="564">
        <v>1.5029999999999999</v>
      </c>
    </row>
    <row r="391" spans="39:44">
      <c r="AM391" s="563">
        <f t="shared" ca="1" si="59"/>
        <v>45553</v>
      </c>
      <c r="AN391" s="564">
        <v>70.739999999999995</v>
      </c>
      <c r="AO391" s="564">
        <v>338413</v>
      </c>
      <c r="AP391" s="564">
        <v>44236.582000000002</v>
      </c>
      <c r="AQ391" s="564">
        <v>3129295.8106800001</v>
      </c>
      <c r="AR391" s="564">
        <v>1.4814000000000001</v>
      </c>
    </row>
    <row r="392" spans="39:44">
      <c r="AM392" s="563">
        <f t="shared" ca="1" si="59"/>
        <v>45552</v>
      </c>
      <c r="AN392" s="564">
        <v>70.739999999999995</v>
      </c>
      <c r="AO392" s="564">
        <v>338413</v>
      </c>
      <c r="AP392" s="564">
        <v>44236.582000000002</v>
      </c>
      <c r="AQ392" s="564">
        <v>3129295.8106800001</v>
      </c>
      <c r="AR392" s="564">
        <v>1.4814000000000001</v>
      </c>
    </row>
    <row r="393" spans="39:44">
      <c r="AM393" s="563">
        <f t="shared" ca="1" si="59"/>
        <v>45551</v>
      </c>
      <c r="AN393" s="564">
        <v>70.739999999999995</v>
      </c>
      <c r="AO393" s="564">
        <v>338413</v>
      </c>
      <c r="AP393" s="564">
        <v>44236.582000000002</v>
      </c>
      <c r="AQ393" s="564">
        <v>3129295.8106800001</v>
      </c>
      <c r="AR393" s="564">
        <v>1.4814000000000001</v>
      </c>
    </row>
    <row r="394" spans="39:44">
      <c r="AM394" s="563">
        <f t="shared" ca="1" si="59"/>
        <v>45550</v>
      </c>
      <c r="AN394" s="564">
        <v>70.5</v>
      </c>
      <c r="AO394" s="564">
        <v>321515</v>
      </c>
      <c r="AP394" s="564">
        <v>44236.582000000002</v>
      </c>
      <c r="AQ394" s="564">
        <v>3118679.031</v>
      </c>
      <c r="AR394" s="564">
        <v>1.4763999999999999</v>
      </c>
    </row>
    <row r="395" spans="39:44">
      <c r="AM395" s="563">
        <f t="shared" ca="1" si="59"/>
        <v>45549</v>
      </c>
      <c r="AN395" s="564">
        <v>70.27</v>
      </c>
      <c r="AO395" s="564">
        <v>303628</v>
      </c>
      <c r="AP395" s="564">
        <v>44236.582000000002</v>
      </c>
      <c r="AQ395" s="564">
        <v>3108504.6171399998</v>
      </c>
      <c r="AR395" s="564">
        <v>1.4716</v>
      </c>
    </row>
    <row r="396" spans="39:44">
      <c r="AM396" s="563">
        <f t="shared" ca="1" si="59"/>
        <v>45548</v>
      </c>
      <c r="AN396" s="564">
        <v>70.16</v>
      </c>
      <c r="AO396" s="564">
        <v>296743</v>
      </c>
      <c r="AP396" s="564">
        <v>44236.582000000002</v>
      </c>
      <c r="AQ396" s="564">
        <v>3103638.5931199999</v>
      </c>
      <c r="AR396" s="564">
        <v>1.4693000000000001</v>
      </c>
    </row>
    <row r="397" spans="39:44">
      <c r="AM397" s="563">
        <f t="shared" ca="1" si="59"/>
        <v>45547</v>
      </c>
      <c r="AN397" s="564">
        <v>69.599999999999994</v>
      </c>
      <c r="AO397" s="564">
        <v>300119</v>
      </c>
      <c r="AP397" s="564">
        <v>44238.766000000003</v>
      </c>
      <c r="AQ397" s="564">
        <v>3079018.1135999998</v>
      </c>
      <c r="AR397" s="564">
        <v>1.4576</v>
      </c>
    </row>
    <row r="398" spans="39:44">
      <c r="AM398" s="563">
        <f t="shared" ca="1" si="59"/>
        <v>45546</v>
      </c>
      <c r="AN398" s="564">
        <v>70.319999999999993</v>
      </c>
      <c r="AO398" s="564">
        <v>321400</v>
      </c>
      <c r="AP398" s="564">
        <v>44238.766000000003</v>
      </c>
      <c r="AQ398" s="564">
        <v>3110870.0251199999</v>
      </c>
      <c r="AR398" s="564">
        <v>1.4726999999999999</v>
      </c>
    </row>
    <row r="399" spans="39:44">
      <c r="AM399" s="563">
        <f t="shared" ca="1" si="59"/>
        <v>45545</v>
      </c>
      <c r="AN399" s="564">
        <v>70.319999999999993</v>
      </c>
      <c r="AO399" s="564">
        <v>321400</v>
      </c>
      <c r="AP399" s="564">
        <v>44238.766000000003</v>
      </c>
      <c r="AQ399" s="564">
        <v>3110870.0251199999</v>
      </c>
      <c r="AR399" s="564">
        <v>1.4726999999999999</v>
      </c>
    </row>
    <row r="400" spans="39:44">
      <c r="AM400" s="563">
        <f t="shared" ca="1" si="59"/>
        <v>45544</v>
      </c>
      <c r="AN400" s="564">
        <v>70.319999999999993</v>
      </c>
      <c r="AO400" s="564">
        <v>321400</v>
      </c>
      <c r="AP400" s="564">
        <v>44238.766000000003</v>
      </c>
      <c r="AQ400" s="564">
        <v>3110870.0251199999</v>
      </c>
      <c r="AR400" s="564">
        <v>1.4726999999999999</v>
      </c>
    </row>
    <row r="401" spans="39:44">
      <c r="AM401" s="563">
        <f t="shared" ca="1" si="59"/>
        <v>45543</v>
      </c>
      <c r="AN401" s="564">
        <v>69.989999999999995</v>
      </c>
      <c r="AO401" s="564">
        <v>307332</v>
      </c>
      <c r="AP401" s="564">
        <v>44238.766000000003</v>
      </c>
      <c r="AQ401" s="564">
        <v>3096271.2323400001</v>
      </c>
      <c r="AR401" s="564">
        <v>1.4657</v>
      </c>
    </row>
    <row r="402" spans="39:44">
      <c r="AM402" s="563">
        <f t="shared" ca="1" si="59"/>
        <v>45542</v>
      </c>
      <c r="AN402" s="564">
        <v>69.86</v>
      </c>
      <c r="AO402" s="564">
        <v>371777</v>
      </c>
      <c r="AP402" s="564">
        <v>44238.766000000003</v>
      </c>
      <c r="AQ402" s="564">
        <v>3090520.19276</v>
      </c>
      <c r="AR402" s="564">
        <v>1.4630000000000001</v>
      </c>
    </row>
    <row r="403" spans="39:44">
      <c r="AM403" s="563">
        <f t="shared" ca="1" si="59"/>
        <v>45541</v>
      </c>
      <c r="AN403" s="564">
        <v>69.19</v>
      </c>
      <c r="AO403" s="564">
        <v>629558</v>
      </c>
      <c r="AP403" s="564">
        <v>44238.766000000003</v>
      </c>
      <c r="AQ403" s="564">
        <v>3060880.21954</v>
      </c>
      <c r="AR403" s="564">
        <v>1.4490000000000001</v>
      </c>
    </row>
    <row r="404" spans="39:44">
      <c r="AM404" s="563">
        <f t="shared" ca="1" si="59"/>
        <v>45540</v>
      </c>
      <c r="AN404" s="564">
        <v>68.760000000000005</v>
      </c>
      <c r="AO404" s="564">
        <v>501795</v>
      </c>
      <c r="AP404" s="564">
        <v>44238.766000000003</v>
      </c>
      <c r="AQ404" s="564">
        <v>3041857.5501600006</v>
      </c>
      <c r="AR404" s="564">
        <v>1.44</v>
      </c>
    </row>
    <row r="405" spans="39:44">
      <c r="AM405" s="563">
        <f t="shared" ca="1" si="59"/>
        <v>45539</v>
      </c>
      <c r="AN405" s="564">
        <v>70.8</v>
      </c>
      <c r="AO405" s="564">
        <v>500273</v>
      </c>
      <c r="AP405" s="564">
        <v>44238.766000000003</v>
      </c>
      <c r="AQ405" s="564">
        <v>3132104.6328000003</v>
      </c>
      <c r="AR405" s="564">
        <v>1.4826999999999999</v>
      </c>
    </row>
    <row r="406" spans="39:44">
      <c r="AM406" s="563">
        <f t="shared" ca="1" si="59"/>
        <v>45538</v>
      </c>
      <c r="AN406" s="564">
        <v>70.8</v>
      </c>
      <c r="AO406" s="564">
        <v>500273</v>
      </c>
      <c r="AP406" s="564">
        <v>44238.766000000003</v>
      </c>
      <c r="AQ406" s="564">
        <v>3132104.6328000003</v>
      </c>
      <c r="AR406" s="564">
        <v>1.4826999999999999</v>
      </c>
    </row>
    <row r="407" spans="39:44">
      <c r="AM407" s="563">
        <f t="shared" ca="1" si="59"/>
        <v>45537</v>
      </c>
      <c r="AN407" s="564">
        <v>70.8</v>
      </c>
      <c r="AO407" s="564">
        <v>500273</v>
      </c>
      <c r="AP407" s="564">
        <v>44238.766000000003</v>
      </c>
      <c r="AQ407" s="564">
        <v>3132104.6328000003</v>
      </c>
      <c r="AR407" s="564">
        <v>1.4826999999999999</v>
      </c>
    </row>
    <row r="408" spans="39:44">
      <c r="AM408" s="563">
        <f t="shared" ca="1" si="59"/>
        <v>45536</v>
      </c>
      <c r="AN408" s="564">
        <v>72.150000000000006</v>
      </c>
      <c r="AO408" s="564">
        <v>572469</v>
      </c>
      <c r="AP408" s="564">
        <v>44238.766000000003</v>
      </c>
      <c r="AQ408" s="564">
        <v>3191826.9669000003</v>
      </c>
      <c r="AR408" s="564">
        <v>1.5109999999999999</v>
      </c>
    </row>
    <row r="409" spans="39:44">
      <c r="AM409" s="563">
        <f t="shared" ca="1" si="59"/>
        <v>45535</v>
      </c>
      <c r="AN409" s="564">
        <v>71.569999999999993</v>
      </c>
      <c r="AO409" s="564">
        <v>382824</v>
      </c>
      <c r="AP409" s="564">
        <v>44238.766000000003</v>
      </c>
      <c r="AQ409" s="564">
        <v>3166168.4826199999</v>
      </c>
      <c r="AR409" s="564">
        <v>1.4987999999999999</v>
      </c>
    </row>
    <row r="410" spans="39:44">
      <c r="AM410" s="563">
        <f t="shared" ca="1" si="59"/>
        <v>45534</v>
      </c>
      <c r="AN410" s="564">
        <v>71.78</v>
      </c>
      <c r="AO410" s="564">
        <v>497436</v>
      </c>
      <c r="AP410" s="564">
        <v>44238.766000000003</v>
      </c>
      <c r="AQ410" s="564">
        <v>3175458.6234800001</v>
      </c>
      <c r="AR410" s="564">
        <v>1.5032000000000001</v>
      </c>
    </row>
    <row r="411" spans="39:44">
      <c r="AM411" s="563">
        <f t="shared" ca="1" si="59"/>
        <v>45533</v>
      </c>
      <c r="AN411" s="564">
        <v>70.56</v>
      </c>
      <c r="AO411" s="564">
        <v>586666</v>
      </c>
      <c r="AP411" s="564">
        <v>44238.766000000003</v>
      </c>
      <c r="AQ411" s="564">
        <v>3121487.3289600005</v>
      </c>
      <c r="AR411" s="564">
        <v>1.4777</v>
      </c>
    </row>
    <row r="412" spans="39:44">
      <c r="AM412" s="563">
        <f t="shared" ca="1" si="59"/>
        <v>45532</v>
      </c>
      <c r="AN412" s="564">
        <v>70.83</v>
      </c>
      <c r="AO412" s="564">
        <v>656542</v>
      </c>
      <c r="AP412" s="564">
        <v>44238.766000000003</v>
      </c>
      <c r="AQ412" s="564">
        <v>3133431.7957800003</v>
      </c>
      <c r="AR412" s="564">
        <v>1.4833000000000001</v>
      </c>
    </row>
    <row r="413" spans="39:44">
      <c r="AM413" s="563">
        <f t="shared" ca="1" si="59"/>
        <v>45531</v>
      </c>
      <c r="AN413" s="564">
        <v>70.83</v>
      </c>
      <c r="AO413" s="564">
        <v>656542</v>
      </c>
      <c r="AP413" s="564">
        <v>44238.766000000003</v>
      </c>
      <c r="AQ413" s="564">
        <v>3133431.7957800003</v>
      </c>
      <c r="AR413" s="564">
        <v>1.4833000000000001</v>
      </c>
    </row>
    <row r="414" spans="39:44">
      <c r="AM414" s="563">
        <f t="shared" ca="1" si="59"/>
        <v>45530</v>
      </c>
      <c r="AN414" s="564">
        <v>70.83</v>
      </c>
      <c r="AO414" s="564">
        <v>656542</v>
      </c>
      <c r="AP414" s="564">
        <v>44238.766000000003</v>
      </c>
      <c r="AQ414" s="564">
        <v>3133431.7957800003</v>
      </c>
      <c r="AR414" s="564">
        <v>1.4833000000000001</v>
      </c>
    </row>
    <row r="415" spans="39:44">
      <c r="AM415" s="563">
        <f t="shared" ca="1" si="59"/>
        <v>45529</v>
      </c>
      <c r="AN415" s="564">
        <v>71.05</v>
      </c>
      <c r="AO415" s="564">
        <v>852730</v>
      </c>
      <c r="AP415" s="564">
        <v>44238.766000000003</v>
      </c>
      <c r="AQ415" s="564">
        <v>3143164.3243</v>
      </c>
      <c r="AR415" s="564">
        <v>1.4879</v>
      </c>
    </row>
    <row r="416" spans="39:44">
      <c r="AM416" s="563">
        <f t="shared" ca="1" si="59"/>
        <v>45528</v>
      </c>
      <c r="AN416" s="564">
        <v>66.86</v>
      </c>
      <c r="AO416" s="564">
        <v>1187723</v>
      </c>
      <c r="AP416" s="564">
        <v>44238.766000000003</v>
      </c>
      <c r="AQ416" s="564">
        <v>2957803.8947600001</v>
      </c>
      <c r="AR416" s="564">
        <v>1.4001999999999999</v>
      </c>
    </row>
    <row r="417" spans="39:44">
      <c r="AM417" s="563">
        <f t="shared" ca="1" si="59"/>
        <v>45527</v>
      </c>
      <c r="AN417" s="564">
        <v>64.83</v>
      </c>
      <c r="AO417" s="564">
        <v>541319</v>
      </c>
      <c r="AP417" s="564">
        <v>44238.766000000003</v>
      </c>
      <c r="AQ417" s="564">
        <v>2867999.1997799999</v>
      </c>
      <c r="AR417" s="564">
        <v>1.3576999999999999</v>
      </c>
    </row>
    <row r="418" spans="39:44">
      <c r="AM418" s="563">
        <f t="shared" ca="1" si="59"/>
        <v>45526</v>
      </c>
      <c r="AN418" s="564">
        <v>64.489999999999995</v>
      </c>
      <c r="AO418" s="564">
        <v>534295</v>
      </c>
      <c r="AP418" s="564">
        <v>44238.326000000001</v>
      </c>
      <c r="AQ418" s="564">
        <v>2852929.6437399997</v>
      </c>
      <c r="AR418" s="564">
        <v>1.3506</v>
      </c>
    </row>
    <row r="419" spans="39:44">
      <c r="AM419" s="563">
        <f t="shared" ca="1" si="59"/>
        <v>45525</v>
      </c>
      <c r="AN419" s="564">
        <v>65.2</v>
      </c>
      <c r="AO419" s="564">
        <v>422150</v>
      </c>
      <c r="AP419" s="564">
        <v>44238.326000000001</v>
      </c>
      <c r="AQ419" s="564">
        <v>2884338.8552000001</v>
      </c>
      <c r="AR419" s="564">
        <v>1.3653999999999999</v>
      </c>
    </row>
    <row r="420" spans="39:44">
      <c r="AM420" s="563">
        <f t="shared" ca="1" si="59"/>
        <v>45524</v>
      </c>
      <c r="AN420" s="564">
        <v>65.2</v>
      </c>
      <c r="AO420" s="564">
        <v>422150</v>
      </c>
      <c r="AP420" s="564">
        <v>44238.326000000001</v>
      </c>
      <c r="AQ420" s="564">
        <v>2884338.8552000001</v>
      </c>
      <c r="AR420" s="564">
        <v>1.3653999999999999</v>
      </c>
    </row>
    <row r="421" spans="39:44">
      <c r="AM421" s="563">
        <f t="shared" ca="1" si="59"/>
        <v>45523</v>
      </c>
      <c r="AN421" s="564">
        <v>65.2</v>
      </c>
      <c r="AO421" s="564">
        <v>422150</v>
      </c>
      <c r="AP421" s="564">
        <v>44238.326000000001</v>
      </c>
      <c r="AQ421" s="564">
        <v>2884338.8552000001</v>
      </c>
      <c r="AR421" s="564">
        <v>1.3653999999999999</v>
      </c>
    </row>
    <row r="422" spans="39:44">
      <c r="AM422" s="563">
        <f t="shared" ca="1" si="59"/>
        <v>45522</v>
      </c>
      <c r="AN422" s="564">
        <v>65.400000000000006</v>
      </c>
      <c r="AO422" s="564">
        <v>526733</v>
      </c>
      <c r="AP422" s="564">
        <v>44238.326000000001</v>
      </c>
      <c r="AQ422" s="564">
        <v>2893186.5204000003</v>
      </c>
      <c r="AR422" s="564">
        <v>1.3695999999999999</v>
      </c>
    </row>
    <row r="423" spans="39:44">
      <c r="AM423" s="563">
        <f t="shared" ca="1" si="59"/>
        <v>45521</v>
      </c>
      <c r="AN423" s="564">
        <v>65.61</v>
      </c>
      <c r="AO423" s="564">
        <v>986612</v>
      </c>
      <c r="AP423" s="564">
        <v>44238.326000000001</v>
      </c>
      <c r="AQ423" s="564">
        <v>2902476.56886</v>
      </c>
      <c r="AR423" s="564">
        <v>1.3740000000000001</v>
      </c>
    </row>
    <row r="424" spans="39:44">
      <c r="AM424" s="563">
        <f t="shared" ca="1" si="59"/>
        <v>45520</v>
      </c>
      <c r="AN424" s="564">
        <v>64.319999999999993</v>
      </c>
      <c r="AO424" s="564">
        <v>427418</v>
      </c>
      <c r="AP424" s="564">
        <v>44238.326000000001</v>
      </c>
      <c r="AQ424" s="564">
        <v>2845409.1283199997</v>
      </c>
      <c r="AR424" s="564">
        <v>1.347</v>
      </c>
    </row>
    <row r="425" spans="39:44">
      <c r="AM425" s="563">
        <f t="shared" ca="1" si="59"/>
        <v>45519</v>
      </c>
      <c r="AN425" s="564">
        <v>62.74</v>
      </c>
      <c r="AO425" s="564">
        <v>375224</v>
      </c>
      <c r="AP425" s="564">
        <v>44238.326000000001</v>
      </c>
      <c r="AQ425" s="564">
        <v>2775512.5732400003</v>
      </c>
      <c r="AR425" s="564">
        <v>1.3139000000000001</v>
      </c>
    </row>
    <row r="426" spans="39:44">
      <c r="AM426" s="563">
        <f t="shared" ca="1" si="59"/>
        <v>45518</v>
      </c>
      <c r="AN426" s="564">
        <v>63.14</v>
      </c>
      <c r="AO426" s="564">
        <v>410155</v>
      </c>
      <c r="AP426" s="564">
        <v>44238.326000000001</v>
      </c>
      <c r="AQ426" s="564">
        <v>2793207.9036400001</v>
      </c>
      <c r="AR426" s="564">
        <v>1.3223</v>
      </c>
    </row>
    <row r="427" spans="39:44">
      <c r="AM427" s="563">
        <f t="shared" ca="1" si="59"/>
        <v>45517</v>
      </c>
      <c r="AN427" s="564">
        <v>63.14</v>
      </c>
      <c r="AO427" s="564">
        <v>410155</v>
      </c>
      <c r="AP427" s="564">
        <v>44238.326000000001</v>
      </c>
      <c r="AQ427" s="564">
        <v>2793207.9036400001</v>
      </c>
      <c r="AR427" s="564">
        <v>1.3223</v>
      </c>
    </row>
    <row r="428" spans="39:44">
      <c r="AM428" s="563">
        <f t="shared" ca="1" si="59"/>
        <v>45516</v>
      </c>
      <c r="AN428" s="564">
        <v>63.14</v>
      </c>
      <c r="AO428" s="564">
        <v>410155</v>
      </c>
      <c r="AP428" s="564">
        <v>44238.326000000001</v>
      </c>
      <c r="AQ428" s="564">
        <v>2793207.9036400001</v>
      </c>
      <c r="AR428" s="564">
        <v>1.3223</v>
      </c>
    </row>
    <row r="429" spans="39:44">
      <c r="AM429" s="563">
        <f t="shared" ca="1" si="59"/>
        <v>45515</v>
      </c>
      <c r="AN429" s="564">
        <v>63.19</v>
      </c>
      <c r="AO429" s="564">
        <v>371573</v>
      </c>
      <c r="AP429" s="564">
        <v>44238.326000000001</v>
      </c>
      <c r="AQ429" s="564">
        <v>2795419.8199399998</v>
      </c>
      <c r="AR429" s="564">
        <v>1.3232999999999999</v>
      </c>
    </row>
    <row r="430" spans="39:44">
      <c r="AM430" s="563">
        <f t="shared" ca="1" si="59"/>
        <v>45514</v>
      </c>
      <c r="AN430" s="564">
        <v>63.01</v>
      </c>
      <c r="AO430" s="564">
        <v>305299</v>
      </c>
      <c r="AP430" s="564">
        <v>44238.326000000001</v>
      </c>
      <c r="AQ430" s="564">
        <v>2787456.9212599997</v>
      </c>
      <c r="AR430" s="564">
        <v>1.3196000000000001</v>
      </c>
    </row>
    <row r="431" spans="39:44">
      <c r="AM431" s="563">
        <f t="shared" ca="1" si="59"/>
        <v>45513</v>
      </c>
      <c r="AN431" s="564">
        <v>62.5</v>
      </c>
      <c r="AO431" s="564">
        <v>457607</v>
      </c>
      <c r="AP431" s="564">
        <v>44238.326000000001</v>
      </c>
      <c r="AQ431" s="564">
        <v>2764895.375</v>
      </c>
      <c r="AR431" s="564">
        <v>1.3089</v>
      </c>
    </row>
    <row r="432" spans="39:44">
      <c r="AM432" s="563">
        <f t="shared" ca="1" si="59"/>
        <v>45512</v>
      </c>
      <c r="AN432" s="564">
        <v>62.87</v>
      </c>
      <c r="AO432" s="564">
        <v>306883</v>
      </c>
      <c r="AP432" s="564">
        <v>44238.326000000001</v>
      </c>
      <c r="AQ432" s="564">
        <v>2781263.5556199998</v>
      </c>
      <c r="AR432" s="564">
        <v>1.3166</v>
      </c>
    </row>
    <row r="433" spans="39:44">
      <c r="AM433" s="563">
        <f t="shared" ca="1" si="59"/>
        <v>45511</v>
      </c>
      <c r="AN433" s="564">
        <v>62.34</v>
      </c>
      <c r="AO433" s="564">
        <v>334842</v>
      </c>
      <c r="AP433" s="564">
        <v>44238.326000000001</v>
      </c>
      <c r="AQ433" s="564">
        <v>2757817.2428400004</v>
      </c>
      <c r="AR433" s="564">
        <v>1.3055000000000001</v>
      </c>
    </row>
    <row r="434" spans="39:44">
      <c r="AM434" s="563">
        <f t="shared" ca="1" si="59"/>
        <v>45510</v>
      </c>
      <c r="AN434" s="564">
        <v>62.34</v>
      </c>
      <c r="AO434" s="564">
        <v>334842</v>
      </c>
      <c r="AP434" s="564">
        <v>44238.326000000001</v>
      </c>
      <c r="AQ434" s="564">
        <v>2757817.2428400004</v>
      </c>
      <c r="AR434" s="564">
        <v>1.3055000000000001</v>
      </c>
    </row>
    <row r="435" spans="39:44">
      <c r="AM435" s="563">
        <f t="shared" ca="1" si="59"/>
        <v>45509</v>
      </c>
      <c r="AN435" s="564">
        <v>62.34</v>
      </c>
      <c r="AO435" s="564">
        <v>334842</v>
      </c>
      <c r="AP435" s="564">
        <v>44238.326000000001</v>
      </c>
      <c r="AQ435" s="564">
        <v>2757817.2428400004</v>
      </c>
      <c r="AR435" s="564">
        <v>1.3055000000000001</v>
      </c>
    </row>
    <row r="436" spans="39:44">
      <c r="AM436" s="563">
        <f t="shared" ca="1" si="59"/>
        <v>45508</v>
      </c>
      <c r="AN436" s="564">
        <v>62.16</v>
      </c>
      <c r="AO436" s="564">
        <v>163477</v>
      </c>
      <c r="AP436" s="564">
        <v>44238.326000000001</v>
      </c>
      <c r="AQ436" s="564">
        <v>2749854.3441599999</v>
      </c>
      <c r="AR436" s="564">
        <v>1.3018000000000001</v>
      </c>
    </row>
    <row r="437" spans="39:44">
      <c r="AM437" s="563">
        <f t="shared" ca="1" si="59"/>
        <v>45507</v>
      </c>
      <c r="AN437" s="564">
        <v>62.16</v>
      </c>
      <c r="AO437" s="564">
        <v>163477</v>
      </c>
      <c r="AP437" s="564">
        <v>44238.326000000001</v>
      </c>
      <c r="AQ437" s="564">
        <v>2749854.3441599999</v>
      </c>
      <c r="AR437" s="564">
        <v>1.3018000000000001</v>
      </c>
    </row>
    <row r="438" spans="39:44">
      <c r="AM438" s="563">
        <f t="shared" ca="1" si="59"/>
        <v>45506</v>
      </c>
      <c r="AN438" s="564">
        <v>61.82</v>
      </c>
      <c r="AO438" s="564">
        <v>358145</v>
      </c>
      <c r="AP438" s="564">
        <v>44238.326000000001</v>
      </c>
      <c r="AQ438" s="564">
        <v>2734813.3133200002</v>
      </c>
      <c r="AR438" s="564">
        <v>1.2946</v>
      </c>
    </row>
    <row r="439" spans="39:44">
      <c r="AM439" s="563">
        <f t="shared" ca="1" si="59"/>
        <v>45505</v>
      </c>
      <c r="AN439" s="564">
        <v>62.78</v>
      </c>
      <c r="AO439" s="564">
        <v>508430</v>
      </c>
      <c r="AP439" s="564">
        <v>44238.326000000001</v>
      </c>
      <c r="AQ439" s="564">
        <v>2777282.1062799999</v>
      </c>
      <c r="AR439" s="564">
        <v>1.3147</v>
      </c>
    </row>
    <row r="440" spans="39:44">
      <c r="AM440" s="563">
        <f t="shared" ca="1" si="59"/>
        <v>45504</v>
      </c>
      <c r="AN440" s="564">
        <v>61.11</v>
      </c>
      <c r="AO440" s="564">
        <v>1998001</v>
      </c>
      <c r="AP440" s="564">
        <v>44238.326000000001</v>
      </c>
      <c r="AQ440" s="564">
        <v>2703404.1018599998</v>
      </c>
      <c r="AR440" s="564">
        <v>1.2798</v>
      </c>
    </row>
    <row r="441" spans="39:44">
      <c r="AM441" s="563">
        <f t="shared" ca="1" si="59"/>
        <v>45503</v>
      </c>
      <c r="AN441" s="564">
        <v>61.11</v>
      </c>
      <c r="AO441" s="564">
        <v>1998001</v>
      </c>
      <c r="AP441" s="564">
        <v>44238.326000000001</v>
      </c>
      <c r="AQ441" s="564">
        <v>2703404.1018599998</v>
      </c>
      <c r="AR441" s="564">
        <v>1.2798</v>
      </c>
    </row>
    <row r="442" spans="39:44">
      <c r="AM442" s="563">
        <f t="shared" ca="1" si="59"/>
        <v>45502</v>
      </c>
      <c r="AN442" s="564">
        <v>61.11</v>
      </c>
      <c r="AO442" s="564">
        <v>1998001</v>
      </c>
      <c r="AP442" s="564">
        <v>44238.326000000001</v>
      </c>
      <c r="AQ442" s="564">
        <v>2703404.1018599998</v>
      </c>
      <c r="AR442" s="564">
        <v>1.2798</v>
      </c>
    </row>
    <row r="443" spans="39:44">
      <c r="AM443" s="563">
        <f t="shared" ca="1" si="59"/>
        <v>45501</v>
      </c>
      <c r="AN443" s="564">
        <v>60.48</v>
      </c>
      <c r="AO443" s="564">
        <v>411586</v>
      </c>
      <c r="AP443" s="564">
        <v>44238.326000000001</v>
      </c>
      <c r="AQ443" s="564">
        <v>2675533.9564799997</v>
      </c>
      <c r="AR443" s="564">
        <v>1.2665999999999999</v>
      </c>
    </row>
    <row r="444" spans="39:44">
      <c r="AM444" s="563">
        <f t="shared" ca="1" si="59"/>
        <v>45500</v>
      </c>
      <c r="AN444" s="564">
        <v>60.6</v>
      </c>
      <c r="AO444" s="564">
        <v>553491</v>
      </c>
      <c r="AP444" s="564">
        <v>44238.326000000001</v>
      </c>
      <c r="AQ444" s="564">
        <v>2680842.5556000001</v>
      </c>
      <c r="AR444" s="564">
        <v>1.2690999999999999</v>
      </c>
    </row>
    <row r="445" spans="39:44">
      <c r="AM445" s="563">
        <f t="shared" ca="1" si="59"/>
        <v>45499</v>
      </c>
      <c r="AN445" s="564">
        <v>60.8</v>
      </c>
      <c r="AO445" s="564">
        <v>533070</v>
      </c>
      <c r="AP445" s="564">
        <v>44238.326000000001</v>
      </c>
      <c r="AQ445" s="564">
        <v>2689690.2207999998</v>
      </c>
      <c r="AR445" s="564">
        <v>1.2733000000000001</v>
      </c>
    </row>
    <row r="446" spans="39:44">
      <c r="AM446" s="563">
        <f t="shared" ca="1" si="59"/>
        <v>45498</v>
      </c>
      <c r="AN446" s="564">
        <v>60.87</v>
      </c>
      <c r="AO446" s="564">
        <v>546528</v>
      </c>
      <c r="AP446" s="564">
        <v>44238.326000000001</v>
      </c>
      <c r="AQ446" s="564">
        <v>2692786.90362</v>
      </c>
      <c r="AR446" s="564">
        <v>1.2746999999999999</v>
      </c>
    </row>
    <row r="447" spans="39:44">
      <c r="AM447" s="563">
        <f t="shared" ca="1" si="59"/>
        <v>45497</v>
      </c>
      <c r="AN447" s="564">
        <v>58.27</v>
      </c>
      <c r="AO447" s="564">
        <v>3993241</v>
      </c>
      <c r="AP447" s="564">
        <v>44238.326000000001</v>
      </c>
      <c r="AQ447" s="564">
        <v>2577767.2560200002</v>
      </c>
      <c r="AR447" s="564">
        <v>1.2202999999999999</v>
      </c>
    </row>
    <row r="448" spans="39:44">
      <c r="AM448" s="563">
        <f t="shared" ca="1" si="59"/>
        <v>45496</v>
      </c>
      <c r="AN448" s="564">
        <v>58.27</v>
      </c>
      <c r="AO448" s="564">
        <v>3993241</v>
      </c>
      <c r="AP448" s="564">
        <v>44238.326000000001</v>
      </c>
      <c r="AQ448" s="564">
        <v>2577767.2560200002</v>
      </c>
      <c r="AR448" s="564">
        <v>1.2202999999999999</v>
      </c>
    </row>
    <row r="449" spans="39:44">
      <c r="AM449" s="563">
        <f t="shared" ca="1" si="59"/>
        <v>45495</v>
      </c>
      <c r="AN449" s="564">
        <v>58.27</v>
      </c>
      <c r="AO449" s="564">
        <v>3993241</v>
      </c>
      <c r="AP449" s="564">
        <v>44238.326000000001</v>
      </c>
      <c r="AQ449" s="564">
        <v>2577767.2560200002</v>
      </c>
      <c r="AR449" s="564">
        <v>1.2202999999999999</v>
      </c>
    </row>
    <row r="450" spans="39:44">
      <c r="AM450" s="563">
        <f t="shared" ca="1" si="59"/>
        <v>45494</v>
      </c>
      <c r="AN450" s="564">
        <v>58.17</v>
      </c>
      <c r="AO450" s="564">
        <v>511343</v>
      </c>
      <c r="AP450" s="564">
        <v>44238.326000000001</v>
      </c>
      <c r="AQ450" s="564">
        <v>2573343.4234200004</v>
      </c>
      <c r="AR450" s="564">
        <v>1.2181999999999999</v>
      </c>
    </row>
    <row r="451" spans="39:44">
      <c r="AM451" s="563">
        <f t="shared" ca="1" si="59"/>
        <v>45493</v>
      </c>
      <c r="AN451" s="564">
        <v>58.93</v>
      </c>
      <c r="AO451" s="564">
        <v>549362</v>
      </c>
      <c r="AP451" s="564">
        <v>44238.326000000001</v>
      </c>
      <c r="AQ451" s="564">
        <v>2606964.55118</v>
      </c>
      <c r="AR451" s="564">
        <v>1.2341</v>
      </c>
    </row>
    <row r="452" spans="39:44">
      <c r="AM452" s="563">
        <f t="shared" ca="1" si="59"/>
        <v>45492</v>
      </c>
      <c r="AN452" s="564">
        <v>58.93</v>
      </c>
      <c r="AO452" s="564">
        <v>549362</v>
      </c>
      <c r="AP452" s="564">
        <v>44238.326000000001</v>
      </c>
      <c r="AQ452" s="564">
        <v>2606964.55118</v>
      </c>
      <c r="AR452" s="564">
        <v>1.2341</v>
      </c>
    </row>
    <row r="453" spans="39:44">
      <c r="AM453" s="563">
        <f t="shared" ref="AM453:AM516" ca="1" si="60">AM452-1</f>
        <v>45491</v>
      </c>
      <c r="AN453" s="564">
        <v>58.69</v>
      </c>
      <c r="AO453" s="564">
        <v>528602</v>
      </c>
      <c r="AP453" s="564">
        <v>44238.326000000001</v>
      </c>
      <c r="AQ453" s="564">
        <v>2596347.3529400001</v>
      </c>
      <c r="AR453" s="564">
        <v>1.2291000000000001</v>
      </c>
    </row>
    <row r="454" spans="39:44">
      <c r="AM454" s="563">
        <f t="shared" ca="1" si="60"/>
        <v>45490</v>
      </c>
      <c r="AN454" s="564">
        <v>58.63</v>
      </c>
      <c r="AO454" s="564">
        <v>330960</v>
      </c>
      <c r="AP454" s="564">
        <v>44238.326000000001</v>
      </c>
      <c r="AQ454" s="564">
        <v>2593693.0533799999</v>
      </c>
      <c r="AR454" s="564">
        <v>1.2278</v>
      </c>
    </row>
    <row r="455" spans="39:44">
      <c r="AM455" s="563">
        <f t="shared" ca="1" si="60"/>
        <v>45489</v>
      </c>
      <c r="AN455" s="564">
        <v>58.63</v>
      </c>
      <c r="AO455" s="564">
        <v>330960</v>
      </c>
      <c r="AP455" s="564">
        <v>44238.326000000001</v>
      </c>
      <c r="AQ455" s="564">
        <v>2593693.0533799999</v>
      </c>
      <c r="AR455" s="564">
        <v>1.2278</v>
      </c>
    </row>
    <row r="456" spans="39:44">
      <c r="AM456" s="563">
        <f t="shared" ca="1" si="60"/>
        <v>45488</v>
      </c>
      <c r="AN456" s="564">
        <v>58.63</v>
      </c>
      <c r="AO456" s="564">
        <v>330960</v>
      </c>
      <c r="AP456" s="564">
        <v>44238.326000000001</v>
      </c>
      <c r="AQ456" s="564">
        <v>2593693.0533799999</v>
      </c>
      <c r="AR456" s="564">
        <v>1.2278</v>
      </c>
    </row>
    <row r="457" spans="39:44">
      <c r="AM457" s="563">
        <f t="shared" ca="1" si="60"/>
        <v>45487</v>
      </c>
      <c r="AN457" s="564">
        <v>58.84</v>
      </c>
      <c r="AO457" s="564">
        <v>306904</v>
      </c>
      <c r="AP457" s="564">
        <v>44238.326000000001</v>
      </c>
      <c r="AQ457" s="564">
        <v>2602983.1018400001</v>
      </c>
      <c r="AR457" s="564">
        <v>1.2322</v>
      </c>
    </row>
    <row r="458" spans="39:44">
      <c r="AM458" s="563">
        <f t="shared" ca="1" si="60"/>
        <v>45486</v>
      </c>
      <c r="AN458" s="564">
        <v>58.56</v>
      </c>
      <c r="AO458" s="564">
        <v>255182</v>
      </c>
      <c r="AP458" s="564">
        <v>44238.326000000001</v>
      </c>
      <c r="AQ458" s="564">
        <v>2590596.3705600002</v>
      </c>
      <c r="AR458" s="564">
        <v>1.2263999999999999</v>
      </c>
    </row>
    <row r="459" spans="39:44">
      <c r="AM459" s="563">
        <f t="shared" ca="1" si="60"/>
        <v>45485</v>
      </c>
      <c r="AN459" s="564">
        <v>58.57</v>
      </c>
      <c r="AO459" s="564">
        <v>329378</v>
      </c>
      <c r="AP459" s="564">
        <v>44238.326000000001</v>
      </c>
      <c r="AQ459" s="564">
        <v>2591038.7538200002</v>
      </c>
      <c r="AR459" s="564">
        <v>1.2265999999999999</v>
      </c>
    </row>
    <row r="460" spans="39:44">
      <c r="AM460" s="563">
        <f t="shared" ca="1" si="60"/>
        <v>45484</v>
      </c>
      <c r="AN460" s="564">
        <v>57.97</v>
      </c>
      <c r="AO460" s="564">
        <v>471798</v>
      </c>
      <c r="AP460" s="564">
        <v>44238.326000000001</v>
      </c>
      <c r="AQ460" s="564">
        <v>2564495.7582200002</v>
      </c>
      <c r="AR460" s="564">
        <v>1.214</v>
      </c>
    </row>
    <row r="461" spans="39:44">
      <c r="AM461" s="563">
        <f t="shared" ca="1" si="60"/>
        <v>45483</v>
      </c>
      <c r="AN461" s="564">
        <v>58.11</v>
      </c>
      <c r="AO461" s="564">
        <v>265864</v>
      </c>
      <c r="AP461" s="564">
        <v>44238.326000000001</v>
      </c>
      <c r="AQ461" s="564">
        <v>2570689.1238600002</v>
      </c>
      <c r="AR461" s="564">
        <v>1.2169000000000001</v>
      </c>
    </row>
    <row r="462" spans="39:44">
      <c r="AM462" s="563">
        <f t="shared" ca="1" si="60"/>
        <v>45482</v>
      </c>
      <c r="AN462" s="564">
        <v>58.11</v>
      </c>
      <c r="AO462" s="564">
        <v>265864</v>
      </c>
      <c r="AP462" s="564">
        <v>44238.326000000001</v>
      </c>
      <c r="AQ462" s="564">
        <v>2570689.1238600002</v>
      </c>
      <c r="AR462" s="564">
        <v>1.2169000000000001</v>
      </c>
    </row>
    <row r="463" spans="39:44">
      <c r="AM463" s="563">
        <f t="shared" ca="1" si="60"/>
        <v>45481</v>
      </c>
      <c r="AN463" s="564">
        <v>58.11</v>
      </c>
      <c r="AO463" s="564">
        <v>265864</v>
      </c>
      <c r="AP463" s="564">
        <v>44238.326000000001</v>
      </c>
      <c r="AQ463" s="564">
        <v>2570689.1238600002</v>
      </c>
      <c r="AR463" s="564">
        <v>1.2169000000000001</v>
      </c>
    </row>
    <row r="464" spans="39:44">
      <c r="AM464" s="563">
        <f t="shared" ca="1" si="60"/>
        <v>45480</v>
      </c>
      <c r="AN464" s="564">
        <v>58.68</v>
      </c>
      <c r="AO464" s="564">
        <v>493996</v>
      </c>
      <c r="AP464" s="564">
        <v>44238.326000000001</v>
      </c>
      <c r="AQ464" s="564">
        <v>2595904.9696800001</v>
      </c>
      <c r="AR464" s="564">
        <v>1.2289000000000001</v>
      </c>
    </row>
    <row r="465" spans="39:44">
      <c r="AM465" s="563">
        <f t="shared" ca="1" si="60"/>
        <v>45479</v>
      </c>
      <c r="AN465" s="564">
        <v>58.08</v>
      </c>
      <c r="AO465" s="564">
        <v>517640</v>
      </c>
      <c r="AP465" s="564">
        <v>44238.326000000001</v>
      </c>
      <c r="AQ465" s="564">
        <v>2569361.9740800001</v>
      </c>
      <c r="AR465" s="564">
        <v>1.2162999999999999</v>
      </c>
    </row>
    <row r="466" spans="39:44">
      <c r="AM466" s="563">
        <f t="shared" ca="1" si="60"/>
        <v>45478</v>
      </c>
      <c r="AN466" s="564">
        <v>60.81</v>
      </c>
      <c r="AO466" s="564">
        <v>591633</v>
      </c>
      <c r="AP466" s="564">
        <v>44238.326000000001</v>
      </c>
      <c r="AQ466" s="564">
        <v>2690132.6040600003</v>
      </c>
      <c r="AR466" s="564">
        <v>1.2735000000000001</v>
      </c>
    </row>
    <row r="467" spans="39:44">
      <c r="AM467" s="563">
        <f t="shared" ca="1" si="60"/>
        <v>45477</v>
      </c>
      <c r="AN467" s="564">
        <v>61.12</v>
      </c>
      <c r="AO467" s="564">
        <v>612940</v>
      </c>
      <c r="AP467" s="564">
        <v>44238.326000000001</v>
      </c>
      <c r="AQ467" s="564">
        <v>2703846.4851199999</v>
      </c>
      <c r="AR467" s="564">
        <v>1.28</v>
      </c>
    </row>
    <row r="468" spans="39:44">
      <c r="AM468" s="563">
        <f t="shared" ca="1" si="60"/>
        <v>45476</v>
      </c>
      <c r="AN468" s="564">
        <v>61.67</v>
      </c>
      <c r="AO468" s="564">
        <v>602416</v>
      </c>
      <c r="AP468" s="564">
        <v>44238.326000000001</v>
      </c>
      <c r="AQ468" s="564">
        <v>2728177.5644200002</v>
      </c>
      <c r="AR468" s="564">
        <v>1.2648999999999999</v>
      </c>
    </row>
    <row r="469" spans="39:44">
      <c r="AM469" s="563">
        <f t="shared" ca="1" si="60"/>
        <v>45475</v>
      </c>
      <c r="AN469" s="564">
        <v>61.67</v>
      </c>
      <c r="AO469" s="564">
        <v>602416</v>
      </c>
      <c r="AP469" s="564">
        <v>44238.326000000001</v>
      </c>
      <c r="AQ469" s="564">
        <v>2728177.5644200002</v>
      </c>
      <c r="AR469" s="564">
        <v>1.2648999999999999</v>
      </c>
    </row>
    <row r="470" spans="39:44">
      <c r="AM470" s="563">
        <f t="shared" ca="1" si="60"/>
        <v>45474</v>
      </c>
      <c r="AN470" s="564">
        <v>61.67</v>
      </c>
      <c r="AO470" s="564">
        <v>602416</v>
      </c>
      <c r="AP470" s="564">
        <v>44238.326000000001</v>
      </c>
      <c r="AQ470" s="564">
        <v>2728177.5644200002</v>
      </c>
      <c r="AR470" s="564">
        <v>1.2648999999999999</v>
      </c>
    </row>
    <row r="471" spans="39:44">
      <c r="AM471" s="563">
        <f t="shared" ca="1" si="60"/>
        <v>45473</v>
      </c>
      <c r="AN471" s="564">
        <v>60.12</v>
      </c>
      <c r="AO471" s="564">
        <v>1678639</v>
      </c>
      <c r="AP471" s="564">
        <v>44238.326000000001</v>
      </c>
      <c r="AQ471" s="564">
        <v>2659608.15912</v>
      </c>
      <c r="AR471" s="564">
        <v>1.2331000000000001</v>
      </c>
    </row>
    <row r="472" spans="39:44">
      <c r="AM472" s="563">
        <f t="shared" ca="1" si="60"/>
        <v>45472</v>
      </c>
      <c r="AN472" s="564">
        <v>60.57</v>
      </c>
      <c r="AO472" s="564">
        <v>818719</v>
      </c>
      <c r="AP472" s="564">
        <v>44238.326000000001</v>
      </c>
      <c r="AQ472" s="564">
        <v>2679515.40582</v>
      </c>
      <c r="AR472" s="564">
        <v>1.2423999999999999</v>
      </c>
    </row>
    <row r="473" spans="39:44">
      <c r="AM473" s="563">
        <f t="shared" ca="1" si="60"/>
        <v>45471</v>
      </c>
      <c r="AN473" s="564">
        <v>60.53</v>
      </c>
      <c r="AO473" s="564">
        <v>732490</v>
      </c>
      <c r="AP473" s="564">
        <v>44238.326000000001</v>
      </c>
      <c r="AQ473" s="564">
        <v>2677745.8727800003</v>
      </c>
      <c r="AR473" s="564">
        <v>1.2415</v>
      </c>
    </row>
    <row r="474" spans="39:44">
      <c r="AM474" s="563">
        <f t="shared" ca="1" si="60"/>
        <v>45470</v>
      </c>
      <c r="AN474" s="564">
        <v>60.35</v>
      </c>
      <c r="AO474" s="564">
        <v>386133</v>
      </c>
      <c r="AP474" s="564">
        <v>44238.326000000001</v>
      </c>
      <c r="AQ474" s="564">
        <v>2669782.9741000002</v>
      </c>
      <c r="AR474" s="564">
        <v>1.2379</v>
      </c>
    </row>
    <row r="475" spans="39:44">
      <c r="AM475" s="563">
        <f t="shared" ca="1" si="60"/>
        <v>45469</v>
      </c>
      <c r="AN475" s="564">
        <v>60.35</v>
      </c>
      <c r="AO475" s="564">
        <v>386133</v>
      </c>
      <c r="AP475" s="564">
        <v>44238.326000000001</v>
      </c>
      <c r="AQ475" s="564">
        <v>2669782.9741000002</v>
      </c>
      <c r="AR475" s="564">
        <v>1.2379</v>
      </c>
    </row>
    <row r="476" spans="39:44">
      <c r="AM476" s="563">
        <f t="shared" ca="1" si="60"/>
        <v>45468</v>
      </c>
      <c r="AN476" s="564">
        <v>60.35</v>
      </c>
      <c r="AO476" s="564">
        <v>386133</v>
      </c>
      <c r="AP476" s="564">
        <v>44238.326000000001</v>
      </c>
      <c r="AQ476" s="564">
        <v>2669782.9741000002</v>
      </c>
      <c r="AR476" s="564">
        <v>1.2379</v>
      </c>
    </row>
    <row r="477" spans="39:44">
      <c r="AM477" s="563">
        <f t="shared" ca="1" si="60"/>
        <v>45467</v>
      </c>
      <c r="AN477" s="564">
        <v>60.35</v>
      </c>
      <c r="AO477" s="564">
        <v>386133</v>
      </c>
      <c r="AP477" s="564">
        <v>44238.326000000001</v>
      </c>
      <c r="AQ477" s="564">
        <v>2669782.9741000002</v>
      </c>
      <c r="AR477" s="564">
        <v>1.2379</v>
      </c>
    </row>
    <row r="478" spans="39:44">
      <c r="AM478" s="563">
        <f t="shared" ca="1" si="60"/>
        <v>45466</v>
      </c>
      <c r="AN478" s="564">
        <v>59.71</v>
      </c>
      <c r="AO478" s="564">
        <v>628530</v>
      </c>
      <c r="AP478" s="564">
        <v>44238.326000000001</v>
      </c>
      <c r="AQ478" s="564">
        <v>2641470.4454600001</v>
      </c>
      <c r="AR478" s="564">
        <v>1.2246999999999999</v>
      </c>
    </row>
    <row r="479" spans="39:44">
      <c r="AM479" s="563">
        <f t="shared" ca="1" si="60"/>
        <v>45465</v>
      </c>
      <c r="AN479" s="564">
        <v>59.82</v>
      </c>
      <c r="AO479" s="564">
        <v>661679</v>
      </c>
      <c r="AP479" s="564">
        <v>44238.326000000001</v>
      </c>
      <c r="AQ479" s="564">
        <v>2646336.66132</v>
      </c>
      <c r="AR479" s="564">
        <v>1.2270000000000001</v>
      </c>
    </row>
    <row r="480" spans="39:44">
      <c r="AM480" s="563">
        <f t="shared" ca="1" si="60"/>
        <v>45464</v>
      </c>
      <c r="AN480" s="564">
        <v>61.07</v>
      </c>
      <c r="AO480" s="564">
        <v>736647</v>
      </c>
      <c r="AP480" s="564">
        <v>44238.326000000001</v>
      </c>
      <c r="AQ480" s="564">
        <v>2701634.5688200002</v>
      </c>
      <c r="AR480" s="564">
        <v>1.2525999999999999</v>
      </c>
    </row>
    <row r="481" spans="39:44">
      <c r="AM481" s="563">
        <f t="shared" ca="1" si="60"/>
        <v>45463</v>
      </c>
      <c r="AN481" s="564">
        <v>59.38</v>
      </c>
      <c r="AO481" s="564">
        <v>437257</v>
      </c>
      <c r="AP481" s="564">
        <v>44238.326000000001</v>
      </c>
      <c r="AQ481" s="564">
        <v>2626871.79788</v>
      </c>
      <c r="AR481" s="564">
        <v>1.218</v>
      </c>
    </row>
    <row r="482" spans="39:44">
      <c r="AM482" s="563">
        <f t="shared" ca="1" si="60"/>
        <v>45462</v>
      </c>
      <c r="AN482" s="564">
        <v>58.18</v>
      </c>
      <c r="AO482" s="564">
        <v>409565</v>
      </c>
      <c r="AP482" s="564">
        <v>44238.326000000001</v>
      </c>
      <c r="AQ482" s="564">
        <v>2573785.8066799999</v>
      </c>
      <c r="AR482" s="564">
        <v>1.1933</v>
      </c>
    </row>
    <row r="483" spans="39:44">
      <c r="AM483" s="563">
        <f t="shared" ca="1" si="60"/>
        <v>45461</v>
      </c>
      <c r="AN483" s="564">
        <v>58.18</v>
      </c>
      <c r="AO483" s="564">
        <v>409565</v>
      </c>
      <c r="AP483" s="564">
        <v>44238.326000000001</v>
      </c>
      <c r="AQ483" s="564">
        <v>2573785.8066799999</v>
      </c>
      <c r="AR483" s="564">
        <v>1.1933</v>
      </c>
    </row>
    <row r="484" spans="39:44">
      <c r="AM484" s="563">
        <f t="shared" ca="1" si="60"/>
        <v>45460</v>
      </c>
      <c r="AN484" s="564">
        <v>58.18</v>
      </c>
      <c r="AO484" s="564">
        <v>409565</v>
      </c>
      <c r="AP484" s="564">
        <v>44238.326000000001</v>
      </c>
      <c r="AQ484" s="564">
        <v>2573785.8066799999</v>
      </c>
      <c r="AR484" s="564">
        <v>1.1933</v>
      </c>
    </row>
    <row r="485" spans="39:44">
      <c r="AM485" s="563">
        <f t="shared" ca="1" si="60"/>
        <v>45459</v>
      </c>
      <c r="AN485" s="564">
        <v>58.29</v>
      </c>
      <c r="AO485" s="564">
        <v>356529</v>
      </c>
      <c r="AP485" s="564">
        <v>44238.326000000001</v>
      </c>
      <c r="AQ485" s="564">
        <v>2578652.0225399998</v>
      </c>
      <c r="AR485" s="564">
        <v>1.1956</v>
      </c>
    </row>
    <row r="486" spans="39:44">
      <c r="AM486" s="563">
        <f t="shared" ca="1" si="60"/>
        <v>45458</v>
      </c>
      <c r="AN486" s="564">
        <v>57.8</v>
      </c>
      <c r="AO486" s="564">
        <v>408590</v>
      </c>
      <c r="AP486" s="564">
        <v>44238.326000000001</v>
      </c>
      <c r="AQ486" s="564">
        <v>2556975.2428000001</v>
      </c>
      <c r="AR486" s="564">
        <v>1.1856</v>
      </c>
    </row>
    <row r="487" spans="39:44">
      <c r="AM487" s="563">
        <f t="shared" ca="1" si="60"/>
        <v>45457</v>
      </c>
      <c r="AN487" s="564">
        <v>58.55</v>
      </c>
      <c r="AO487" s="564">
        <v>459509</v>
      </c>
      <c r="AP487" s="564">
        <v>44238.326000000001</v>
      </c>
      <c r="AQ487" s="564">
        <v>2590153.9873000002</v>
      </c>
      <c r="AR487" s="564">
        <v>1.2009000000000001</v>
      </c>
    </row>
    <row r="488" spans="39:44">
      <c r="AM488" s="563">
        <f t="shared" ca="1" si="60"/>
        <v>45456</v>
      </c>
      <c r="AN488" s="564">
        <v>57.5</v>
      </c>
      <c r="AO488" s="564">
        <v>474762</v>
      </c>
      <c r="AP488" s="564">
        <v>44238.326000000001</v>
      </c>
      <c r="AQ488" s="564">
        <v>2543703.7450000001</v>
      </c>
      <c r="AR488" s="564">
        <v>1.1794</v>
      </c>
    </row>
    <row r="489" spans="39:44">
      <c r="AM489" s="563">
        <f t="shared" ca="1" si="60"/>
        <v>45455</v>
      </c>
      <c r="AN489" s="564">
        <v>57.28</v>
      </c>
      <c r="AO489" s="564">
        <v>361837</v>
      </c>
      <c r="AP489" s="564">
        <v>44238.326000000001</v>
      </c>
      <c r="AQ489" s="564">
        <v>2533971.3132799999</v>
      </c>
      <c r="AR489" s="564">
        <v>1.1749000000000001</v>
      </c>
    </row>
    <row r="490" spans="39:44">
      <c r="AM490" s="563">
        <f t="shared" ca="1" si="60"/>
        <v>45454</v>
      </c>
      <c r="AN490" s="564">
        <v>57.28</v>
      </c>
      <c r="AO490" s="564">
        <v>361837</v>
      </c>
      <c r="AP490" s="564">
        <v>44238.326000000001</v>
      </c>
      <c r="AQ490" s="564">
        <v>2533971.3132799999</v>
      </c>
      <c r="AR490" s="564">
        <v>1.1749000000000001</v>
      </c>
    </row>
    <row r="491" spans="39:44">
      <c r="AM491" s="563">
        <f t="shared" ca="1" si="60"/>
        <v>45453</v>
      </c>
      <c r="AN491" s="564">
        <v>57.28</v>
      </c>
      <c r="AO491" s="564">
        <v>361837</v>
      </c>
      <c r="AP491" s="564">
        <v>44238.326000000001</v>
      </c>
      <c r="AQ491" s="564">
        <v>2533971.3132799999</v>
      </c>
      <c r="AR491" s="564">
        <v>1.1749000000000001</v>
      </c>
    </row>
    <row r="492" spans="39:44">
      <c r="AM492" s="563">
        <f t="shared" ca="1" si="60"/>
        <v>45452</v>
      </c>
      <c r="AN492" s="564">
        <v>58.11</v>
      </c>
      <c r="AO492" s="564">
        <v>373614</v>
      </c>
      <c r="AP492" s="564">
        <v>44238.326000000001</v>
      </c>
      <c r="AQ492" s="564">
        <v>2570689.1238600002</v>
      </c>
      <c r="AR492" s="564">
        <v>1.1919</v>
      </c>
    </row>
    <row r="493" spans="39:44">
      <c r="AM493" s="563">
        <f t="shared" ca="1" si="60"/>
        <v>45451</v>
      </c>
      <c r="AN493" s="564">
        <v>57.38</v>
      </c>
      <c r="AO493" s="564">
        <v>354299</v>
      </c>
      <c r="AP493" s="564">
        <v>44238.326000000001</v>
      </c>
      <c r="AQ493" s="564">
        <v>2538395.1458800002</v>
      </c>
      <c r="AR493" s="564">
        <v>1.1769000000000001</v>
      </c>
    </row>
    <row r="494" spans="39:44">
      <c r="AM494" s="563">
        <f t="shared" ca="1" si="60"/>
        <v>45450</v>
      </c>
      <c r="AN494" s="564">
        <v>57.08</v>
      </c>
      <c r="AO494" s="564">
        <v>441916</v>
      </c>
      <c r="AP494" s="564">
        <v>44238.326000000001</v>
      </c>
      <c r="AQ494" s="564">
        <v>2525123.6480800002</v>
      </c>
      <c r="AR494" s="564">
        <v>1.1708000000000001</v>
      </c>
    </row>
    <row r="495" spans="39:44">
      <c r="AM495" s="563">
        <f t="shared" ca="1" si="60"/>
        <v>45449</v>
      </c>
      <c r="AN495" s="564">
        <v>56.92</v>
      </c>
      <c r="AO495" s="564">
        <v>594483</v>
      </c>
      <c r="AP495" s="564">
        <v>44238.326000000001</v>
      </c>
      <c r="AQ495" s="564">
        <v>2518045.5159200002</v>
      </c>
      <c r="AR495" s="564">
        <v>1.1675</v>
      </c>
    </row>
    <row r="496" spans="39:44">
      <c r="AM496" s="563">
        <f t="shared" ca="1" si="60"/>
        <v>45448</v>
      </c>
      <c r="AN496" s="564">
        <v>56.8</v>
      </c>
      <c r="AO496" s="564">
        <v>546948</v>
      </c>
      <c r="AP496" s="564">
        <v>44238.326000000001</v>
      </c>
      <c r="AQ496" s="564">
        <v>2512736.9167999998</v>
      </c>
      <c r="AR496" s="564">
        <v>1.165</v>
      </c>
    </row>
    <row r="497" spans="39:44">
      <c r="AM497" s="563">
        <f t="shared" ca="1" si="60"/>
        <v>45447</v>
      </c>
      <c r="AN497" s="564">
        <v>56.8</v>
      </c>
      <c r="AO497" s="564">
        <v>546948</v>
      </c>
      <c r="AP497" s="564">
        <v>44238.326000000001</v>
      </c>
      <c r="AQ497" s="564">
        <v>2512736.9167999998</v>
      </c>
      <c r="AR497" s="564">
        <v>1.165</v>
      </c>
    </row>
    <row r="498" spans="39:44">
      <c r="AM498" s="563">
        <f t="shared" ca="1" si="60"/>
        <v>45446</v>
      </c>
      <c r="AN498" s="564">
        <v>56.8</v>
      </c>
      <c r="AO498" s="564">
        <v>546948</v>
      </c>
      <c r="AP498" s="564">
        <v>44238.326000000001</v>
      </c>
      <c r="AQ498" s="564">
        <v>2512736.9167999998</v>
      </c>
      <c r="AR498" s="564">
        <v>1.165</v>
      </c>
    </row>
    <row r="499" spans="39:44">
      <c r="AM499" s="563">
        <f t="shared" ca="1" si="60"/>
        <v>45445</v>
      </c>
      <c r="AN499" s="564">
        <v>57.52</v>
      </c>
      <c r="AO499" s="564">
        <v>630082</v>
      </c>
      <c r="AP499" s="564">
        <v>44238.326000000001</v>
      </c>
      <c r="AQ499" s="564">
        <v>2544588.5115200002</v>
      </c>
      <c r="AR499" s="564">
        <v>1.1798</v>
      </c>
    </row>
    <row r="500" spans="39:44">
      <c r="AM500" s="563">
        <f t="shared" ca="1" si="60"/>
        <v>45444</v>
      </c>
      <c r="AN500" s="564">
        <v>55.25</v>
      </c>
      <c r="AO500" s="564">
        <v>607047</v>
      </c>
      <c r="AP500" s="564">
        <v>44238.326000000001</v>
      </c>
      <c r="AQ500" s="564">
        <v>2444167.5115</v>
      </c>
      <c r="AR500" s="564">
        <v>1.1332</v>
      </c>
    </row>
    <row r="501" spans="39:44">
      <c r="AM501" s="563">
        <f t="shared" ca="1" si="60"/>
        <v>45443</v>
      </c>
      <c r="AN501" s="564">
        <v>55.33</v>
      </c>
      <c r="AO501" s="564">
        <v>692404</v>
      </c>
      <c r="AP501" s="564">
        <v>44238.326000000001</v>
      </c>
      <c r="AQ501" s="564">
        <v>2447706.5775799998</v>
      </c>
      <c r="AR501" s="564">
        <v>1.1349</v>
      </c>
    </row>
    <row r="502" spans="39:44">
      <c r="AM502" s="563">
        <f t="shared" ca="1" si="60"/>
        <v>45442</v>
      </c>
      <c r="AN502" s="564">
        <v>57.66</v>
      </c>
      <c r="AO502" s="564">
        <v>760433</v>
      </c>
      <c r="AP502" s="564">
        <v>44238.326000000001</v>
      </c>
      <c r="AQ502" s="564">
        <v>2550781.8771599997</v>
      </c>
      <c r="AR502" s="564">
        <v>1.1827000000000001</v>
      </c>
    </row>
    <row r="503" spans="39:44">
      <c r="AM503" s="563">
        <f t="shared" ca="1" si="60"/>
        <v>45441</v>
      </c>
      <c r="AN503" s="564">
        <v>56.87</v>
      </c>
      <c r="AO503" s="564">
        <v>652181</v>
      </c>
      <c r="AP503" s="564">
        <v>44238.326000000001</v>
      </c>
      <c r="AQ503" s="564">
        <v>2515833.59962</v>
      </c>
      <c r="AR503" s="564">
        <v>1.1665000000000001</v>
      </c>
    </row>
    <row r="504" spans="39:44">
      <c r="AM504" s="563">
        <f t="shared" ca="1" si="60"/>
        <v>45440</v>
      </c>
      <c r="AN504" s="564">
        <v>56.87</v>
      </c>
      <c r="AO504" s="564">
        <v>652181</v>
      </c>
      <c r="AP504" s="564">
        <v>44238.326000000001</v>
      </c>
      <c r="AQ504" s="564">
        <v>2515833.59962</v>
      </c>
      <c r="AR504" s="564">
        <v>1.1665000000000001</v>
      </c>
    </row>
    <row r="505" spans="39:44">
      <c r="AM505" s="563">
        <f t="shared" ca="1" si="60"/>
        <v>45439</v>
      </c>
      <c r="AN505" s="564">
        <v>56.87</v>
      </c>
      <c r="AO505" s="564">
        <v>652181</v>
      </c>
      <c r="AP505" s="564">
        <v>44238.326000000001</v>
      </c>
      <c r="AQ505" s="564">
        <v>2515833.59962</v>
      </c>
      <c r="AR505" s="564">
        <v>1.1665000000000001</v>
      </c>
    </row>
    <row r="506" spans="39:44">
      <c r="AM506" s="563">
        <f t="shared" ca="1" si="60"/>
        <v>45438</v>
      </c>
      <c r="AN506" s="564">
        <v>58.11</v>
      </c>
      <c r="AO506" s="564">
        <v>583442</v>
      </c>
      <c r="AP506" s="564">
        <v>44238.326000000001</v>
      </c>
      <c r="AQ506" s="564">
        <v>2570689.1238600002</v>
      </c>
      <c r="AR506" s="564">
        <v>1.1919</v>
      </c>
    </row>
    <row r="507" spans="39:44">
      <c r="AM507" s="563">
        <f t="shared" ca="1" si="60"/>
        <v>45437</v>
      </c>
      <c r="AN507" s="564">
        <v>58.82</v>
      </c>
      <c r="AO507" s="564">
        <v>555614</v>
      </c>
      <c r="AP507" s="564">
        <v>44238.326000000001</v>
      </c>
      <c r="AQ507" s="564">
        <v>2602098.3353200001</v>
      </c>
      <c r="AR507" s="564">
        <v>1.2064999999999999</v>
      </c>
    </row>
    <row r="508" spans="39:44">
      <c r="AM508" s="563">
        <f t="shared" ca="1" si="60"/>
        <v>45436</v>
      </c>
      <c r="AN508" s="564">
        <v>59.68</v>
      </c>
      <c r="AO508" s="564">
        <v>719457</v>
      </c>
      <c r="AP508" s="564">
        <v>44238.326000000001</v>
      </c>
      <c r="AQ508" s="564">
        <v>2640143.29568</v>
      </c>
      <c r="AR508" s="564">
        <v>1.2241</v>
      </c>
    </row>
    <row r="509" spans="39:44">
      <c r="AM509" s="563">
        <f t="shared" ca="1" si="60"/>
        <v>45435</v>
      </c>
      <c r="AN509" s="564">
        <v>59.7</v>
      </c>
      <c r="AO509" s="564">
        <v>687250</v>
      </c>
      <c r="AP509" s="564">
        <v>44238.326000000001</v>
      </c>
      <c r="AQ509" s="564">
        <v>2641028.0622</v>
      </c>
      <c r="AR509" s="564">
        <v>1.2244999999999999</v>
      </c>
    </row>
    <row r="510" spans="39:44">
      <c r="AM510" s="563">
        <f t="shared" ca="1" si="60"/>
        <v>45434</v>
      </c>
      <c r="AN510" s="564">
        <v>60.09</v>
      </c>
      <c r="AO510" s="564">
        <v>754298</v>
      </c>
      <c r="AP510" s="564">
        <v>44238.326000000001</v>
      </c>
      <c r="AQ510" s="564">
        <v>2658281.0093400003</v>
      </c>
      <c r="AR510" s="564">
        <v>1.2324999999999999</v>
      </c>
    </row>
    <row r="511" spans="39:44">
      <c r="AM511" s="563">
        <f t="shared" ca="1" si="60"/>
        <v>45433</v>
      </c>
      <c r="AN511" s="564">
        <v>60.09</v>
      </c>
      <c r="AO511" s="564">
        <v>754298</v>
      </c>
      <c r="AP511" s="564">
        <v>44238.326000000001</v>
      </c>
      <c r="AQ511" s="564">
        <v>2658281.0093400003</v>
      </c>
      <c r="AR511" s="564">
        <v>1.2324999999999999</v>
      </c>
    </row>
    <row r="512" spans="39:44">
      <c r="AM512" s="563">
        <f t="shared" ca="1" si="60"/>
        <v>45432</v>
      </c>
      <c r="AN512" s="564">
        <v>60.09</v>
      </c>
      <c r="AO512" s="564">
        <v>754298</v>
      </c>
      <c r="AP512" s="564">
        <v>44238.326000000001</v>
      </c>
      <c r="AQ512" s="564">
        <v>2658281.0093400003</v>
      </c>
      <c r="AR512" s="564">
        <v>1.2324999999999999</v>
      </c>
    </row>
    <row r="513" spans="39:44">
      <c r="AM513" s="563">
        <f t="shared" ca="1" si="60"/>
        <v>45431</v>
      </c>
      <c r="AN513" s="564">
        <v>59.22</v>
      </c>
      <c r="AO513" s="564">
        <v>868783</v>
      </c>
      <c r="AP513" s="564">
        <v>44238.326000000001</v>
      </c>
      <c r="AQ513" s="564">
        <v>2619793.6657199999</v>
      </c>
      <c r="AR513" s="564">
        <v>1.2146999999999999</v>
      </c>
    </row>
    <row r="514" spans="39:44">
      <c r="AM514" s="563">
        <f t="shared" ca="1" si="60"/>
        <v>45430</v>
      </c>
      <c r="AN514" s="564">
        <v>60.36</v>
      </c>
      <c r="AO514" s="564">
        <v>751108</v>
      </c>
      <c r="AP514" s="564">
        <v>44238.326000000001</v>
      </c>
      <c r="AQ514" s="564">
        <v>2670225.3573600003</v>
      </c>
      <c r="AR514" s="564">
        <v>1.2381</v>
      </c>
    </row>
    <row r="515" spans="39:44">
      <c r="AM515" s="563">
        <f t="shared" ca="1" si="60"/>
        <v>45429</v>
      </c>
      <c r="AN515" s="564">
        <v>61.9</v>
      </c>
      <c r="AO515" s="564">
        <v>546398</v>
      </c>
      <c r="AP515" s="564">
        <v>44238.326000000001</v>
      </c>
      <c r="AQ515" s="564">
        <v>2738352.3794</v>
      </c>
      <c r="AR515" s="564">
        <v>1.2696000000000001</v>
      </c>
    </row>
    <row r="516" spans="39:44">
      <c r="AM516" s="563">
        <f t="shared" ca="1" si="60"/>
        <v>45428</v>
      </c>
      <c r="AN516" s="564">
        <v>60.33</v>
      </c>
      <c r="AO516" s="564">
        <v>677100</v>
      </c>
      <c r="AP516" s="564">
        <v>44238.326000000001</v>
      </c>
      <c r="AQ516" s="564">
        <v>2668898.2075800002</v>
      </c>
      <c r="AR516" s="564">
        <v>1.2374000000000001</v>
      </c>
    </row>
    <row r="517" spans="39:44">
      <c r="AM517" s="563">
        <f t="shared" ref="AM517:AM580" ca="1" si="61">AM516-1</f>
        <v>45427</v>
      </c>
      <c r="AN517" s="564">
        <v>60.46</v>
      </c>
      <c r="AO517" s="564">
        <v>589633</v>
      </c>
      <c r="AP517" s="564">
        <v>44238.326000000001</v>
      </c>
      <c r="AQ517" s="564">
        <v>2674649.1899600001</v>
      </c>
      <c r="AR517" s="564">
        <v>1.2401</v>
      </c>
    </row>
    <row r="518" spans="39:44">
      <c r="AM518" s="563">
        <f t="shared" ca="1" si="61"/>
        <v>45426</v>
      </c>
      <c r="AN518" s="564">
        <v>60.46</v>
      </c>
      <c r="AO518" s="564">
        <v>589633</v>
      </c>
      <c r="AP518" s="564">
        <v>44238.326000000001</v>
      </c>
      <c r="AQ518" s="564">
        <v>2674649.1899600001</v>
      </c>
      <c r="AR518" s="564">
        <v>1.2401</v>
      </c>
    </row>
    <row r="519" spans="39:44">
      <c r="AM519" s="563">
        <f t="shared" ca="1" si="61"/>
        <v>45425</v>
      </c>
      <c r="AN519" s="564">
        <v>60.46</v>
      </c>
      <c r="AO519" s="564">
        <v>589633</v>
      </c>
      <c r="AP519" s="564">
        <v>44238.326000000001</v>
      </c>
      <c r="AQ519" s="564">
        <v>2674649.1899600001</v>
      </c>
      <c r="AR519" s="564">
        <v>1.2401</v>
      </c>
    </row>
    <row r="520" spans="39:44">
      <c r="AM520" s="563">
        <f t="shared" ca="1" si="61"/>
        <v>45424</v>
      </c>
      <c r="AN520" s="564">
        <v>60.92</v>
      </c>
      <c r="AO520" s="564">
        <v>660735</v>
      </c>
      <c r="AP520" s="564">
        <v>44238.326000000001</v>
      </c>
      <c r="AQ520" s="564">
        <v>2694998.8199200002</v>
      </c>
      <c r="AR520" s="564">
        <v>1.2495000000000001</v>
      </c>
    </row>
    <row r="521" spans="39:44">
      <c r="AM521" s="563">
        <f t="shared" ca="1" si="61"/>
        <v>45423</v>
      </c>
      <c r="AN521" s="564">
        <v>61.51</v>
      </c>
      <c r="AO521" s="564">
        <v>587664</v>
      </c>
      <c r="AP521" s="564">
        <v>44238.326000000001</v>
      </c>
      <c r="AQ521" s="564">
        <v>2721099.4322600001</v>
      </c>
      <c r="AR521" s="564">
        <v>1.2616000000000001</v>
      </c>
    </row>
    <row r="522" spans="39:44">
      <c r="AM522" s="563">
        <f t="shared" ca="1" si="61"/>
        <v>45422</v>
      </c>
      <c r="AN522" s="564">
        <v>62.46</v>
      </c>
      <c r="AO522" s="564">
        <v>596566</v>
      </c>
      <c r="AP522" s="564">
        <v>44238.326000000001</v>
      </c>
      <c r="AQ522" s="564">
        <v>2763125.8419599999</v>
      </c>
      <c r="AR522" s="564">
        <v>1.2810999999999999</v>
      </c>
    </row>
    <row r="523" spans="39:44">
      <c r="AM523" s="563">
        <f t="shared" ca="1" si="61"/>
        <v>45421</v>
      </c>
      <c r="AN523" s="564">
        <v>62.92</v>
      </c>
      <c r="AO523" s="564">
        <v>629837</v>
      </c>
      <c r="AP523" s="564">
        <v>44238.326000000001</v>
      </c>
      <c r="AQ523" s="564">
        <v>2783475.4719199999</v>
      </c>
      <c r="AR523" s="564">
        <v>1.2906</v>
      </c>
    </row>
    <row r="524" spans="39:44">
      <c r="AM524" s="563">
        <f t="shared" ca="1" si="61"/>
        <v>45420</v>
      </c>
      <c r="AN524" s="564">
        <v>62.9</v>
      </c>
      <c r="AO524" s="564">
        <v>1232797</v>
      </c>
      <c r="AP524" s="564">
        <v>44238.326000000001</v>
      </c>
      <c r="AQ524" s="564">
        <v>2782590.7053999999</v>
      </c>
      <c r="AR524" s="564">
        <v>1.2902</v>
      </c>
    </row>
    <row r="525" spans="39:44">
      <c r="AM525" s="563">
        <f t="shared" ca="1" si="61"/>
        <v>45419</v>
      </c>
      <c r="AN525" s="564">
        <v>62.9</v>
      </c>
      <c r="AO525" s="564">
        <v>1232797</v>
      </c>
      <c r="AP525" s="564">
        <v>44238.326000000001</v>
      </c>
      <c r="AQ525" s="564">
        <v>2782590.7053999999</v>
      </c>
      <c r="AR525" s="564">
        <v>1.2902</v>
      </c>
    </row>
    <row r="526" spans="39:44">
      <c r="AM526" s="563">
        <f t="shared" ca="1" si="61"/>
        <v>45418</v>
      </c>
      <c r="AN526" s="564">
        <v>62.9</v>
      </c>
      <c r="AO526" s="564">
        <v>1232797</v>
      </c>
      <c r="AP526" s="564">
        <v>44238.326000000001</v>
      </c>
      <c r="AQ526" s="564">
        <v>2782590.7053999999</v>
      </c>
      <c r="AR526" s="564">
        <v>1.2902</v>
      </c>
    </row>
    <row r="527" spans="39:44">
      <c r="AM527" s="563">
        <f t="shared" ca="1" si="61"/>
        <v>45417</v>
      </c>
      <c r="AN527" s="564">
        <v>62.8</v>
      </c>
      <c r="AO527" s="564">
        <v>931432</v>
      </c>
      <c r="AP527" s="564">
        <v>44238.326000000001</v>
      </c>
      <c r="AQ527" s="564">
        <v>2778166.8728</v>
      </c>
      <c r="AR527" s="564">
        <v>1.2881</v>
      </c>
    </row>
    <row r="528" spans="39:44">
      <c r="AM528" s="563">
        <f t="shared" ca="1" si="61"/>
        <v>45416</v>
      </c>
      <c r="AN528" s="564">
        <v>61.04</v>
      </c>
      <c r="AO528" s="564">
        <v>2223053</v>
      </c>
      <c r="AP528" s="564">
        <v>44238.326000000001</v>
      </c>
      <c r="AQ528" s="564">
        <v>2700307.4190400001</v>
      </c>
      <c r="AR528" s="564">
        <v>1.252</v>
      </c>
    </row>
    <row r="529" spans="39:44">
      <c r="AM529" s="563">
        <f t="shared" ca="1" si="61"/>
        <v>45415</v>
      </c>
      <c r="AN529" s="564">
        <v>58.91</v>
      </c>
      <c r="AO529" s="564">
        <v>2089305</v>
      </c>
      <c r="AP529" s="564">
        <v>44238.326000000001</v>
      </c>
      <c r="AQ529" s="564">
        <v>2606079.7846599999</v>
      </c>
      <c r="AR529" s="564">
        <v>1.2082999999999999</v>
      </c>
    </row>
    <row r="530" spans="39:44">
      <c r="AM530" s="563">
        <f t="shared" ca="1" si="61"/>
        <v>45414</v>
      </c>
      <c r="AN530" s="564">
        <v>58.55</v>
      </c>
      <c r="AO530" s="564">
        <v>595572</v>
      </c>
      <c r="AP530" s="564">
        <v>44182.612999999998</v>
      </c>
      <c r="AQ530" s="564">
        <v>2586891.9911499997</v>
      </c>
      <c r="AR530" s="564">
        <v>1.2009000000000001</v>
      </c>
    </row>
    <row r="531" spans="39:44">
      <c r="AM531" s="563">
        <f t="shared" ca="1" si="61"/>
        <v>45413</v>
      </c>
      <c r="AN531" s="564">
        <v>58.85</v>
      </c>
      <c r="AO531" s="564">
        <v>670570</v>
      </c>
      <c r="AP531" s="564">
        <v>44182.612999999998</v>
      </c>
      <c r="AQ531" s="564">
        <v>2600146.7750499998</v>
      </c>
      <c r="AR531" s="564">
        <v>1.2071000000000001</v>
      </c>
    </row>
    <row r="532" spans="39:44">
      <c r="AM532" s="563">
        <f t="shared" ca="1" si="61"/>
        <v>45412</v>
      </c>
      <c r="AN532" s="564">
        <v>58.85</v>
      </c>
      <c r="AO532" s="564">
        <v>670570</v>
      </c>
      <c r="AP532" s="564">
        <v>44182.612999999998</v>
      </c>
      <c r="AQ532" s="564">
        <v>2600146.7750499998</v>
      </c>
      <c r="AR532" s="564">
        <v>1.2071000000000001</v>
      </c>
    </row>
    <row r="533" spans="39:44">
      <c r="AM533" s="563">
        <f t="shared" ca="1" si="61"/>
        <v>45411</v>
      </c>
      <c r="AN533" s="564">
        <v>58.85</v>
      </c>
      <c r="AO533" s="564">
        <v>670570</v>
      </c>
      <c r="AP533" s="564">
        <v>44182.612999999998</v>
      </c>
      <c r="AQ533" s="564">
        <v>2600146.7750499998</v>
      </c>
      <c r="AR533" s="564">
        <v>1.2071000000000001</v>
      </c>
    </row>
    <row r="534" spans="39:44">
      <c r="AM534" s="563">
        <f t="shared" ca="1" si="61"/>
        <v>45410</v>
      </c>
      <c r="AN534" s="564">
        <v>58.85</v>
      </c>
      <c r="AO534" s="564">
        <v>670570</v>
      </c>
      <c r="AP534" s="564">
        <v>44182.612999999998</v>
      </c>
      <c r="AQ534" s="564">
        <v>2600146.7750499998</v>
      </c>
      <c r="AR534" s="564">
        <v>1.2071000000000001</v>
      </c>
    </row>
    <row r="535" spans="39:44">
      <c r="AM535" s="563">
        <f t="shared" ca="1" si="61"/>
        <v>45409</v>
      </c>
      <c r="AN535" s="564">
        <v>58.62</v>
      </c>
      <c r="AO535" s="564">
        <v>650611</v>
      </c>
      <c r="AP535" s="564">
        <v>44182.612999999998</v>
      </c>
      <c r="AQ535" s="564">
        <v>2589984.7740599997</v>
      </c>
      <c r="AR535" s="564">
        <v>1.2023999999999999</v>
      </c>
    </row>
    <row r="536" spans="39:44">
      <c r="AM536" s="563">
        <f t="shared" ca="1" si="61"/>
        <v>45408</v>
      </c>
      <c r="AN536" s="564">
        <v>59.46</v>
      </c>
      <c r="AO536" s="564">
        <v>609487</v>
      </c>
      <c r="AP536" s="564">
        <v>44182.612999999998</v>
      </c>
      <c r="AQ536" s="564">
        <v>2627098.1689800001</v>
      </c>
      <c r="AR536" s="564">
        <v>1.2196</v>
      </c>
    </row>
    <row r="537" spans="39:44">
      <c r="AM537" s="563">
        <f t="shared" ca="1" si="61"/>
        <v>45407</v>
      </c>
      <c r="AN537" s="564">
        <v>59.6</v>
      </c>
      <c r="AO537" s="564">
        <v>654105</v>
      </c>
      <c r="AP537" s="564">
        <v>44182.612999999998</v>
      </c>
      <c r="AQ537" s="564">
        <v>2633283.7347999997</v>
      </c>
      <c r="AR537" s="564">
        <v>1.2224999999999999</v>
      </c>
    </row>
    <row r="538" spans="39:44">
      <c r="AM538" s="563">
        <f t="shared" ca="1" si="61"/>
        <v>45406</v>
      </c>
      <c r="AN538" s="564">
        <v>61.17</v>
      </c>
      <c r="AO538" s="564">
        <v>674042</v>
      </c>
      <c r="AP538" s="564">
        <v>44182.612999999998</v>
      </c>
      <c r="AQ538" s="564">
        <v>2702650.4372100001</v>
      </c>
      <c r="AR538" s="564">
        <v>1.2546999999999999</v>
      </c>
    </row>
    <row r="539" spans="39:44">
      <c r="AM539" s="563">
        <f t="shared" ca="1" si="61"/>
        <v>45405</v>
      </c>
      <c r="AN539" s="564">
        <v>61.17</v>
      </c>
      <c r="AO539" s="564">
        <v>674042</v>
      </c>
      <c r="AP539" s="564">
        <v>44182.612999999998</v>
      </c>
      <c r="AQ539" s="564">
        <v>2702650.4372100001</v>
      </c>
      <c r="AR539" s="564">
        <v>1.2546999999999999</v>
      </c>
    </row>
    <row r="540" spans="39:44">
      <c r="AM540" s="563">
        <f t="shared" ca="1" si="61"/>
        <v>45404</v>
      </c>
      <c r="AN540" s="564">
        <v>61.17</v>
      </c>
      <c r="AO540" s="564">
        <v>674042</v>
      </c>
      <c r="AP540" s="564">
        <v>44182.612999999998</v>
      </c>
      <c r="AQ540" s="564">
        <v>2702650.4372100001</v>
      </c>
      <c r="AR540" s="564">
        <v>1.2546999999999999</v>
      </c>
    </row>
    <row r="541" spans="39:44">
      <c r="AM541" s="563">
        <f t="shared" ca="1" si="61"/>
        <v>45403</v>
      </c>
      <c r="AN541" s="564">
        <v>61.84</v>
      </c>
      <c r="AO541" s="564">
        <v>502675</v>
      </c>
      <c r="AP541" s="564">
        <v>44182.612999999998</v>
      </c>
      <c r="AQ541" s="564">
        <v>2732252.78792</v>
      </c>
      <c r="AR541" s="564">
        <v>1.2684</v>
      </c>
    </row>
    <row r="542" spans="39:44">
      <c r="AM542" s="563">
        <f t="shared" ca="1" si="61"/>
        <v>45402</v>
      </c>
      <c r="AN542" s="564">
        <v>61.65</v>
      </c>
      <c r="AO542" s="564">
        <v>662903</v>
      </c>
      <c r="AP542" s="564">
        <v>44182.612999999998</v>
      </c>
      <c r="AQ542" s="564">
        <v>2723858.0914499997</v>
      </c>
      <c r="AR542" s="564">
        <v>1.2645</v>
      </c>
    </row>
    <row r="543" spans="39:44">
      <c r="AM543" s="563">
        <f t="shared" ca="1" si="61"/>
        <v>45401</v>
      </c>
      <c r="AN543" s="564">
        <v>60.72</v>
      </c>
      <c r="AO543" s="564">
        <v>426366</v>
      </c>
      <c r="AP543" s="564">
        <v>44182.612999999998</v>
      </c>
      <c r="AQ543" s="564">
        <v>2682768.2613599999</v>
      </c>
      <c r="AR543" s="564">
        <v>1.2454000000000001</v>
      </c>
    </row>
    <row r="544" spans="39:44">
      <c r="AM544" s="563">
        <f t="shared" ca="1" si="61"/>
        <v>45400</v>
      </c>
      <c r="AN544" s="564">
        <v>60.44</v>
      </c>
      <c r="AO544" s="564">
        <v>585282</v>
      </c>
      <c r="AP544" s="564">
        <v>44182.612999999998</v>
      </c>
      <c r="AQ544" s="564">
        <v>2670397.1297199996</v>
      </c>
      <c r="AR544" s="564">
        <v>1.2397</v>
      </c>
    </row>
    <row r="545" spans="39:44">
      <c r="AM545" s="563">
        <f t="shared" ca="1" si="61"/>
        <v>45399</v>
      </c>
      <c r="AN545" s="564">
        <v>59.41</v>
      </c>
      <c r="AO545" s="564">
        <v>3003503</v>
      </c>
      <c r="AP545" s="564">
        <v>44182.612999999998</v>
      </c>
      <c r="AQ545" s="564">
        <v>2624889.0383299999</v>
      </c>
      <c r="AR545" s="564">
        <v>1.2185999999999999</v>
      </c>
    </row>
    <row r="546" spans="39:44">
      <c r="AM546" s="563">
        <f t="shared" ca="1" si="61"/>
        <v>45398</v>
      </c>
      <c r="AN546" s="564">
        <v>59.41</v>
      </c>
      <c r="AO546" s="564">
        <v>3003503</v>
      </c>
      <c r="AP546" s="564">
        <v>44182.612999999998</v>
      </c>
      <c r="AQ546" s="564">
        <v>2624889.0383299999</v>
      </c>
      <c r="AR546" s="564">
        <v>1.2185999999999999</v>
      </c>
    </row>
    <row r="547" spans="39:44">
      <c r="AM547" s="563">
        <f t="shared" ca="1" si="61"/>
        <v>45397</v>
      </c>
      <c r="AN547" s="564">
        <v>59.41</v>
      </c>
      <c r="AO547" s="564">
        <v>3003503</v>
      </c>
      <c r="AP547" s="564">
        <v>44182.612999999998</v>
      </c>
      <c r="AQ547" s="564">
        <v>2624889.0383299999</v>
      </c>
      <c r="AR547" s="564">
        <v>1.2185999999999999</v>
      </c>
    </row>
    <row r="548" spans="39:44">
      <c r="AM548" s="563">
        <f t="shared" ca="1" si="61"/>
        <v>45396</v>
      </c>
      <c r="AN548" s="564">
        <v>59.4</v>
      </c>
      <c r="AO548" s="564">
        <v>515542</v>
      </c>
      <c r="AP548" s="564">
        <v>44182.612999999998</v>
      </c>
      <c r="AQ548" s="564">
        <v>2624447.2122</v>
      </c>
      <c r="AR548" s="564">
        <v>1.2183999999999999</v>
      </c>
    </row>
    <row r="549" spans="39:44">
      <c r="AM549" s="563">
        <f t="shared" ca="1" si="61"/>
        <v>45395</v>
      </c>
      <c r="AN549" s="564">
        <v>59.4</v>
      </c>
      <c r="AO549" s="564">
        <v>736155</v>
      </c>
      <c r="AP549" s="564">
        <v>44182.612999999998</v>
      </c>
      <c r="AQ549" s="564">
        <v>2624447.2122</v>
      </c>
      <c r="AR549" s="564">
        <v>1.2183999999999999</v>
      </c>
    </row>
    <row r="550" spans="39:44">
      <c r="AM550" s="563">
        <f t="shared" ca="1" si="61"/>
        <v>45394</v>
      </c>
      <c r="AN550" s="564">
        <v>59.34</v>
      </c>
      <c r="AO550" s="564">
        <v>939378</v>
      </c>
      <c r="AP550" s="564">
        <v>44182.612999999998</v>
      </c>
      <c r="AQ550" s="564">
        <v>2621796.2554199998</v>
      </c>
      <c r="AR550" s="564">
        <v>1.2171000000000001</v>
      </c>
    </row>
    <row r="551" spans="39:44">
      <c r="AM551" s="563">
        <f t="shared" ca="1" si="61"/>
        <v>45393</v>
      </c>
      <c r="AN551" s="564">
        <v>58.49</v>
      </c>
      <c r="AO551" s="564">
        <v>593400</v>
      </c>
      <c r="AP551" s="564">
        <v>44182.612999999998</v>
      </c>
      <c r="AQ551" s="564">
        <v>2584241.03437</v>
      </c>
      <c r="AR551" s="564">
        <v>1.1997</v>
      </c>
    </row>
    <row r="552" spans="39:44">
      <c r="AM552" s="563">
        <f t="shared" ca="1" si="61"/>
        <v>45392</v>
      </c>
      <c r="AN552" s="564">
        <v>57.84</v>
      </c>
      <c r="AO552" s="564">
        <v>367389</v>
      </c>
      <c r="AP552" s="564">
        <v>44182.612999999998</v>
      </c>
      <c r="AQ552" s="564">
        <v>2555522.33592</v>
      </c>
      <c r="AR552" s="564">
        <v>1.1863999999999999</v>
      </c>
    </row>
    <row r="553" spans="39:44">
      <c r="AM553" s="563">
        <f t="shared" ca="1" si="61"/>
        <v>45391</v>
      </c>
      <c r="AN553" s="564">
        <v>57.84</v>
      </c>
      <c r="AO553" s="564">
        <v>367389</v>
      </c>
      <c r="AP553" s="564">
        <v>44182.612999999998</v>
      </c>
      <c r="AQ553" s="564">
        <v>2555522.33592</v>
      </c>
      <c r="AR553" s="564">
        <v>1.1863999999999999</v>
      </c>
    </row>
    <row r="554" spans="39:44">
      <c r="AM554" s="563">
        <f t="shared" ca="1" si="61"/>
        <v>45390</v>
      </c>
      <c r="AN554" s="564">
        <v>57.84</v>
      </c>
      <c r="AO554" s="564">
        <v>367389</v>
      </c>
      <c r="AP554" s="564">
        <v>44182.612999999998</v>
      </c>
      <c r="AQ554" s="564">
        <v>2555522.33592</v>
      </c>
      <c r="AR554" s="564">
        <v>1.1863999999999999</v>
      </c>
    </row>
    <row r="555" spans="39:44">
      <c r="AM555" s="563">
        <f t="shared" ca="1" si="61"/>
        <v>45389</v>
      </c>
      <c r="AN555" s="564">
        <v>57.54</v>
      </c>
      <c r="AO555" s="564">
        <v>385548</v>
      </c>
      <c r="AP555" s="564">
        <v>44182.612999999998</v>
      </c>
      <c r="AQ555" s="564">
        <v>2542267.5520199998</v>
      </c>
      <c r="AR555" s="564">
        <v>1.1801999999999999</v>
      </c>
    </row>
    <row r="556" spans="39:44">
      <c r="AM556" s="563">
        <f t="shared" ca="1" si="61"/>
        <v>45388</v>
      </c>
      <c r="AN556" s="564">
        <v>57.17</v>
      </c>
      <c r="AO556" s="564">
        <v>396297</v>
      </c>
      <c r="AP556" s="564">
        <v>44182.612999999998</v>
      </c>
      <c r="AQ556" s="564">
        <v>2525919.9852100001</v>
      </c>
      <c r="AR556" s="564">
        <v>1.1726000000000001</v>
      </c>
    </row>
    <row r="557" spans="39:44">
      <c r="AM557" s="563">
        <f t="shared" ca="1" si="61"/>
        <v>45387</v>
      </c>
      <c r="AN557" s="564">
        <v>56.85</v>
      </c>
      <c r="AO557" s="564">
        <v>478050</v>
      </c>
      <c r="AP557" s="564">
        <v>44182.612999999998</v>
      </c>
      <c r="AQ557" s="564">
        <v>2511781.54905</v>
      </c>
      <c r="AR557" s="564">
        <v>1.1660999999999999</v>
      </c>
    </row>
    <row r="558" spans="39:44">
      <c r="AM558" s="563">
        <f t="shared" ca="1" si="61"/>
        <v>45386</v>
      </c>
      <c r="AN558" s="564">
        <v>56.66</v>
      </c>
      <c r="AO558" s="564">
        <v>533928</v>
      </c>
      <c r="AP558" s="564">
        <v>44182.612999999998</v>
      </c>
      <c r="AQ558" s="564">
        <v>2503386.8525799997</v>
      </c>
      <c r="AR558" s="564">
        <v>1.1621999999999999</v>
      </c>
    </row>
    <row r="559" spans="39:44">
      <c r="AM559" s="563">
        <f t="shared" ca="1" si="61"/>
        <v>45385</v>
      </c>
      <c r="AN559" s="564">
        <v>55.8</v>
      </c>
      <c r="AO559" s="564">
        <v>676811</v>
      </c>
      <c r="AP559" s="564">
        <v>44182.612999999998</v>
      </c>
      <c r="AQ559" s="564">
        <v>2465389.8054</v>
      </c>
      <c r="AR559" s="564">
        <v>1.0177</v>
      </c>
    </row>
    <row r="560" spans="39:44">
      <c r="AM560" s="563">
        <f t="shared" ca="1" si="61"/>
        <v>45384</v>
      </c>
      <c r="AN560" s="564">
        <v>55.8</v>
      </c>
      <c r="AO560" s="564">
        <v>676811</v>
      </c>
      <c r="AP560" s="564">
        <v>44182.612999999998</v>
      </c>
      <c r="AQ560" s="564">
        <v>2465389.8054</v>
      </c>
      <c r="AR560" s="564">
        <v>1.0177</v>
      </c>
    </row>
    <row r="561" spans="39:44">
      <c r="AM561" s="563">
        <f t="shared" ca="1" si="61"/>
        <v>45383</v>
      </c>
      <c r="AN561" s="564">
        <v>55.8</v>
      </c>
      <c r="AO561" s="564">
        <v>676811</v>
      </c>
      <c r="AP561" s="564">
        <v>44182.612999999998</v>
      </c>
      <c r="AQ561" s="564">
        <v>2465389.8054</v>
      </c>
      <c r="AR561" s="564">
        <v>1.0177</v>
      </c>
    </row>
    <row r="562" spans="39:44">
      <c r="AM562" s="563">
        <f t="shared" ca="1" si="61"/>
        <v>45382</v>
      </c>
      <c r="AN562" s="564">
        <v>57.49</v>
      </c>
      <c r="AO562" s="564">
        <v>420294</v>
      </c>
      <c r="AP562" s="564">
        <v>44182.612999999998</v>
      </c>
      <c r="AQ562" s="564">
        <v>2540058.4213700001</v>
      </c>
      <c r="AR562" s="564">
        <v>1.0486</v>
      </c>
    </row>
    <row r="563" spans="39:44">
      <c r="AM563" s="563">
        <f t="shared" ca="1" si="61"/>
        <v>45381</v>
      </c>
      <c r="AN563" s="564">
        <v>57.4</v>
      </c>
      <c r="AO563" s="564">
        <v>370869</v>
      </c>
      <c r="AP563" s="564">
        <v>44182.612999999998</v>
      </c>
      <c r="AQ563" s="564">
        <v>2536081.9861999997</v>
      </c>
      <c r="AR563" s="564">
        <v>1.0468999999999999</v>
      </c>
    </row>
    <row r="564" spans="39:44">
      <c r="AM564" s="563">
        <f t="shared" ca="1" si="61"/>
        <v>45380</v>
      </c>
      <c r="AN564" s="564">
        <v>57.95</v>
      </c>
      <c r="AO564" s="564">
        <v>392226</v>
      </c>
      <c r="AP564" s="564">
        <v>44182.612999999998</v>
      </c>
      <c r="AQ564" s="564">
        <v>2560382.4233499998</v>
      </c>
      <c r="AR564" s="564">
        <v>1.0569999999999999</v>
      </c>
    </row>
    <row r="565" spans="39:44">
      <c r="AM565" s="563">
        <f t="shared" ca="1" si="61"/>
        <v>45379</v>
      </c>
      <c r="AN565" s="564">
        <v>58.44</v>
      </c>
      <c r="AO565" s="564">
        <v>455968</v>
      </c>
      <c r="AP565" s="564">
        <v>44182.612999999998</v>
      </c>
      <c r="AQ565" s="564">
        <v>2582031.9037199998</v>
      </c>
      <c r="AR565" s="564">
        <v>1.0659000000000001</v>
      </c>
    </row>
    <row r="566" spans="39:44">
      <c r="AM566" s="563">
        <f t="shared" ca="1" si="61"/>
        <v>45378</v>
      </c>
      <c r="AN566" s="564">
        <v>57.42</v>
      </c>
      <c r="AO566" s="564">
        <v>325826</v>
      </c>
      <c r="AP566" s="564">
        <v>44182.612999999998</v>
      </c>
      <c r="AQ566" s="564">
        <v>2536965.63846</v>
      </c>
      <c r="AR566" s="564">
        <v>1.0472999999999999</v>
      </c>
    </row>
    <row r="567" spans="39:44">
      <c r="AM567" s="563">
        <f t="shared" ca="1" si="61"/>
        <v>45377</v>
      </c>
      <c r="AN567" s="564">
        <v>57.42</v>
      </c>
      <c r="AO567" s="564">
        <v>325826</v>
      </c>
      <c r="AP567" s="564">
        <v>44182.612999999998</v>
      </c>
      <c r="AQ567" s="564">
        <v>2536965.63846</v>
      </c>
      <c r="AR567" s="564">
        <v>1.0472999999999999</v>
      </c>
    </row>
    <row r="568" spans="39:44">
      <c r="AM568" s="563">
        <f t="shared" ca="1" si="61"/>
        <v>45376</v>
      </c>
      <c r="AN568" s="564">
        <v>57.42</v>
      </c>
      <c r="AO568" s="564">
        <v>325826</v>
      </c>
      <c r="AP568" s="564">
        <v>44182.612999999998</v>
      </c>
      <c r="AQ568" s="564">
        <v>2536965.63846</v>
      </c>
      <c r="AR568" s="564">
        <v>1.0472999999999999</v>
      </c>
    </row>
    <row r="569" spans="39:44">
      <c r="AM569" s="563">
        <f t="shared" ca="1" si="61"/>
        <v>45375</v>
      </c>
      <c r="AN569" s="564">
        <v>57.41</v>
      </c>
      <c r="AO569" s="564">
        <v>486760</v>
      </c>
      <c r="AP569" s="564">
        <v>44182.612999999998</v>
      </c>
      <c r="AQ569" s="564">
        <v>2536523.8123299996</v>
      </c>
      <c r="AR569" s="564">
        <v>1.0470999999999999</v>
      </c>
    </row>
    <row r="570" spans="39:44">
      <c r="AM570" s="563">
        <f t="shared" ca="1" si="61"/>
        <v>45374</v>
      </c>
      <c r="AN570" s="564">
        <v>57.295000000000002</v>
      </c>
      <c r="AO570" s="564">
        <v>578525</v>
      </c>
      <c r="AP570" s="564">
        <v>44182.612999999998</v>
      </c>
      <c r="AQ570" s="564">
        <v>2531442.8118349998</v>
      </c>
      <c r="AR570" s="564">
        <v>1.0449999999999999</v>
      </c>
    </row>
    <row r="571" spans="39:44">
      <c r="AM571" s="563">
        <f t="shared" ca="1" si="61"/>
        <v>45373</v>
      </c>
      <c r="AN571" s="564">
        <v>58.32</v>
      </c>
      <c r="AO571" s="564">
        <v>611333</v>
      </c>
      <c r="AP571" s="564">
        <v>44182.612999999998</v>
      </c>
      <c r="AQ571" s="564">
        <v>2576729.99016</v>
      </c>
      <c r="AR571" s="564">
        <v>1.0637000000000001</v>
      </c>
    </row>
    <row r="572" spans="39:44">
      <c r="AM572" s="563">
        <f t="shared" ca="1" si="61"/>
        <v>45372</v>
      </c>
      <c r="AN572" s="564">
        <v>57.325000000000003</v>
      </c>
      <c r="AO572" s="564">
        <v>358048</v>
      </c>
      <c r="AP572" s="564">
        <v>44182.612999999998</v>
      </c>
      <c r="AQ572" s="564">
        <v>2532768.2902250001</v>
      </c>
      <c r="AR572" s="564">
        <v>1.0456000000000001</v>
      </c>
    </row>
    <row r="573" spans="39:44">
      <c r="AM573" s="563">
        <f t="shared" ca="1" si="61"/>
        <v>45371</v>
      </c>
      <c r="AN573" s="564">
        <v>57.325000000000003</v>
      </c>
      <c r="AO573" s="564">
        <v>358048</v>
      </c>
      <c r="AP573" s="564">
        <v>44182.612999999998</v>
      </c>
      <c r="AQ573" s="564">
        <v>2532768.2902250001</v>
      </c>
      <c r="AR573" s="564">
        <v>1.0456000000000001</v>
      </c>
    </row>
    <row r="574" spans="39:44">
      <c r="AM574" s="563">
        <f t="shared" ca="1" si="61"/>
        <v>45370</v>
      </c>
      <c r="AN574" s="564">
        <v>57.325000000000003</v>
      </c>
      <c r="AO574" s="564">
        <v>358048</v>
      </c>
      <c r="AP574" s="564">
        <v>44182.612999999998</v>
      </c>
      <c r="AQ574" s="564">
        <v>2532768.2902250001</v>
      </c>
      <c r="AR574" s="564">
        <v>1.0456000000000001</v>
      </c>
    </row>
    <row r="575" spans="39:44">
      <c r="AM575" s="563">
        <f t="shared" ca="1" si="61"/>
        <v>45369</v>
      </c>
      <c r="AN575" s="564">
        <v>57.325000000000003</v>
      </c>
      <c r="AO575" s="564">
        <v>358048</v>
      </c>
      <c r="AP575" s="564">
        <v>44182.612999999998</v>
      </c>
      <c r="AQ575" s="564">
        <v>2532768.2902250001</v>
      </c>
      <c r="AR575" s="564">
        <v>1.0456000000000001</v>
      </c>
    </row>
    <row r="576" spans="39:44">
      <c r="AM576" s="563">
        <f t="shared" ca="1" si="61"/>
        <v>45368</v>
      </c>
      <c r="AN576" s="564">
        <v>57.09</v>
      </c>
      <c r="AO576" s="564">
        <v>447888</v>
      </c>
      <c r="AP576" s="564">
        <v>44182.612999999998</v>
      </c>
      <c r="AQ576" s="564">
        <v>2522385.3761700001</v>
      </c>
      <c r="AR576" s="564">
        <v>1.0412999999999999</v>
      </c>
    </row>
    <row r="577" spans="39:44">
      <c r="AM577" s="563">
        <f t="shared" ca="1" si="61"/>
        <v>45367</v>
      </c>
      <c r="AN577" s="564">
        <v>55.884999999999998</v>
      </c>
      <c r="AO577" s="564">
        <v>437226</v>
      </c>
      <c r="AP577" s="564">
        <v>44182.612999999998</v>
      </c>
      <c r="AQ577" s="564">
        <v>2469145.3275049999</v>
      </c>
      <c r="AR577" s="564">
        <v>1.0193000000000001</v>
      </c>
    </row>
    <row r="578" spans="39:44">
      <c r="AM578" s="563">
        <f t="shared" ca="1" si="61"/>
        <v>45366</v>
      </c>
      <c r="AN578" s="564">
        <v>54.96</v>
      </c>
      <c r="AO578" s="564">
        <v>493697</v>
      </c>
      <c r="AP578" s="564">
        <v>44182.612999999998</v>
      </c>
      <c r="AQ578" s="564">
        <v>2428276.4104800001</v>
      </c>
      <c r="AR578" s="564">
        <v>1.0024</v>
      </c>
    </row>
    <row r="579" spans="39:44">
      <c r="AM579" s="563">
        <f t="shared" ca="1" si="61"/>
        <v>45365</v>
      </c>
      <c r="AN579" s="564">
        <v>56.09</v>
      </c>
      <c r="AO579" s="564">
        <v>468944</v>
      </c>
      <c r="AP579" s="564">
        <v>44182.612999999998</v>
      </c>
      <c r="AQ579" s="564">
        <v>2478202.7631700002</v>
      </c>
      <c r="AR579" s="564">
        <v>1.0229999999999999</v>
      </c>
    </row>
    <row r="580" spans="39:44">
      <c r="AM580" s="563">
        <f t="shared" ca="1" si="61"/>
        <v>45364</v>
      </c>
      <c r="AN580" s="564">
        <v>55.56</v>
      </c>
      <c r="AO580" s="564">
        <v>317914</v>
      </c>
      <c r="AP580" s="564">
        <v>44182.612999999998</v>
      </c>
      <c r="AQ580" s="564">
        <v>2454785.9782799999</v>
      </c>
      <c r="AR580" s="564">
        <v>1.0134000000000001</v>
      </c>
    </row>
    <row r="581" spans="39:44">
      <c r="AM581" s="563">
        <f t="shared" ref="AM581:AM644" ca="1" si="62">AM580-1</f>
        <v>45363</v>
      </c>
      <c r="AN581" s="564">
        <v>55.56</v>
      </c>
      <c r="AO581" s="564">
        <v>317914</v>
      </c>
      <c r="AP581" s="564">
        <v>44182.612999999998</v>
      </c>
      <c r="AQ581" s="564">
        <v>2454785.9782799999</v>
      </c>
      <c r="AR581" s="564">
        <v>1.0134000000000001</v>
      </c>
    </row>
    <row r="582" spans="39:44">
      <c r="AM582" s="563">
        <f t="shared" ca="1" si="62"/>
        <v>45362</v>
      </c>
      <c r="AN582" s="564">
        <v>55.56</v>
      </c>
      <c r="AO582" s="564">
        <v>317914</v>
      </c>
      <c r="AP582" s="564">
        <v>44182.612999999998</v>
      </c>
      <c r="AQ582" s="564">
        <v>2454785.9782799999</v>
      </c>
      <c r="AR582" s="564">
        <v>1.0134000000000001</v>
      </c>
    </row>
    <row r="583" spans="39:44">
      <c r="AM583" s="563">
        <f t="shared" ca="1" si="62"/>
        <v>45361</v>
      </c>
      <c r="AN583" s="564">
        <v>55.5</v>
      </c>
      <c r="AO583" s="564">
        <v>383725</v>
      </c>
      <c r="AP583" s="564">
        <v>44182.612999999998</v>
      </c>
      <c r="AQ583" s="564">
        <v>2452135.0214999998</v>
      </c>
      <c r="AR583" s="564">
        <v>1.0123</v>
      </c>
    </row>
    <row r="584" spans="39:44">
      <c r="AM584" s="563">
        <f t="shared" ca="1" si="62"/>
        <v>45360</v>
      </c>
      <c r="AN584" s="564">
        <v>55.76</v>
      </c>
      <c r="AO584" s="564">
        <v>441099</v>
      </c>
      <c r="AP584" s="564">
        <v>44182.612999999998</v>
      </c>
      <c r="AQ584" s="564">
        <v>2463622.5008799997</v>
      </c>
      <c r="AR584" s="564">
        <v>1.0169999999999999</v>
      </c>
    </row>
    <row r="585" spans="39:44">
      <c r="AM585" s="563">
        <f t="shared" ca="1" si="62"/>
        <v>45359</v>
      </c>
      <c r="AN585" s="564">
        <v>56.17</v>
      </c>
      <c r="AO585" s="564">
        <v>374152</v>
      </c>
      <c r="AP585" s="564">
        <v>44182.612999999998</v>
      </c>
      <c r="AQ585" s="564">
        <v>2481737.3722099997</v>
      </c>
      <c r="AR585" s="564">
        <v>1.0245</v>
      </c>
    </row>
    <row r="586" spans="39:44">
      <c r="AM586" s="563">
        <f t="shared" ca="1" si="62"/>
        <v>45358</v>
      </c>
      <c r="AN586" s="564">
        <v>55.88</v>
      </c>
      <c r="AO586" s="564">
        <v>410030</v>
      </c>
      <c r="AP586" s="564">
        <v>44182.612999999998</v>
      </c>
      <c r="AQ586" s="564">
        <v>2468924.41444</v>
      </c>
      <c r="AR586" s="564">
        <v>1.0192000000000001</v>
      </c>
    </row>
    <row r="587" spans="39:44">
      <c r="AM587" s="563">
        <f t="shared" ca="1" si="62"/>
        <v>45357</v>
      </c>
      <c r="AN587" s="564">
        <v>56.94</v>
      </c>
      <c r="AO587" s="564">
        <v>541773</v>
      </c>
      <c r="AP587" s="564">
        <v>44182.612999999998</v>
      </c>
      <c r="AQ587" s="564">
        <v>2515757.98422</v>
      </c>
      <c r="AR587" s="564">
        <v>1.0385</v>
      </c>
    </row>
    <row r="588" spans="39:44">
      <c r="AM588" s="563">
        <f t="shared" ca="1" si="62"/>
        <v>45356</v>
      </c>
      <c r="AN588" s="564">
        <v>56.94</v>
      </c>
      <c r="AO588" s="564">
        <v>541773</v>
      </c>
      <c r="AP588" s="564">
        <v>44182.612999999998</v>
      </c>
      <c r="AQ588" s="564">
        <v>2515757.98422</v>
      </c>
      <c r="AR588" s="564">
        <v>1.0385</v>
      </c>
    </row>
    <row r="589" spans="39:44">
      <c r="AM589" s="563">
        <f t="shared" ca="1" si="62"/>
        <v>45355</v>
      </c>
      <c r="AN589" s="564">
        <v>56.94</v>
      </c>
      <c r="AO589" s="564">
        <v>541773</v>
      </c>
      <c r="AP589" s="564">
        <v>44182.612999999998</v>
      </c>
      <c r="AQ589" s="564">
        <v>2515757.98422</v>
      </c>
      <c r="AR589" s="564">
        <v>1.0385</v>
      </c>
    </row>
    <row r="590" spans="39:44">
      <c r="AM590" s="563">
        <f t="shared" ca="1" si="62"/>
        <v>45354</v>
      </c>
      <c r="AN590" s="564">
        <v>56.1</v>
      </c>
      <c r="AO590" s="564">
        <v>394735</v>
      </c>
      <c r="AP590" s="564">
        <v>44182.612999999998</v>
      </c>
      <c r="AQ590" s="564">
        <v>2478644.5893000001</v>
      </c>
      <c r="AR590" s="564">
        <v>1.0232000000000001</v>
      </c>
    </row>
    <row r="591" spans="39:44">
      <c r="AM591" s="563">
        <f t="shared" ca="1" si="62"/>
        <v>45353</v>
      </c>
      <c r="AN591" s="564">
        <v>55.42</v>
      </c>
      <c r="AO591" s="564">
        <v>719018</v>
      </c>
      <c r="AP591" s="564">
        <v>44182.612999999998</v>
      </c>
      <c r="AQ591" s="564">
        <v>2448600.4124599998</v>
      </c>
      <c r="AR591" s="564">
        <v>1.0107999999999999</v>
      </c>
    </row>
    <row r="592" spans="39:44">
      <c r="AM592" s="563">
        <f t="shared" ca="1" si="62"/>
        <v>45352</v>
      </c>
      <c r="AN592" s="564">
        <v>55.59</v>
      </c>
      <c r="AO592" s="564">
        <v>607871</v>
      </c>
      <c r="AP592" s="564">
        <v>44182.612999999998</v>
      </c>
      <c r="AQ592" s="564">
        <v>2456111.4566700002</v>
      </c>
      <c r="AR592" s="564">
        <v>1.0139</v>
      </c>
    </row>
    <row r="593" spans="39:44">
      <c r="AM593" s="563">
        <f t="shared" ca="1" si="62"/>
        <v>45351</v>
      </c>
      <c r="AN593" s="564">
        <v>55.05</v>
      </c>
      <c r="AO593" s="564">
        <v>742493</v>
      </c>
      <c r="AP593" s="564">
        <v>44182.612999999998</v>
      </c>
      <c r="AQ593" s="564">
        <v>2432252.8456499996</v>
      </c>
      <c r="AR593" s="564">
        <v>1.0041</v>
      </c>
    </row>
    <row r="594" spans="39:44">
      <c r="AM594" s="563">
        <f t="shared" ca="1" si="62"/>
        <v>45350</v>
      </c>
      <c r="AN594" s="564">
        <v>56.16</v>
      </c>
      <c r="AO594" s="564">
        <v>330722</v>
      </c>
      <c r="AP594" s="564">
        <v>44182.612999999998</v>
      </c>
      <c r="AQ594" s="564">
        <v>2481295.5460799998</v>
      </c>
      <c r="AR594" s="564">
        <v>1.0243</v>
      </c>
    </row>
    <row r="595" spans="39:44">
      <c r="AM595" s="563">
        <f t="shared" ca="1" si="62"/>
        <v>45349</v>
      </c>
      <c r="AN595" s="564">
        <v>56.16</v>
      </c>
      <c r="AO595" s="564">
        <v>330722</v>
      </c>
      <c r="AP595" s="564">
        <v>44182.612999999998</v>
      </c>
      <c r="AQ595" s="564">
        <v>2481295.5460799998</v>
      </c>
      <c r="AR595" s="564">
        <v>1.0243</v>
      </c>
    </row>
    <row r="596" spans="39:44">
      <c r="AM596" s="563">
        <f t="shared" ca="1" si="62"/>
        <v>45348</v>
      </c>
      <c r="AN596" s="564">
        <v>56.16</v>
      </c>
      <c r="AO596" s="564">
        <v>330722</v>
      </c>
      <c r="AP596" s="564">
        <v>44182.612999999998</v>
      </c>
      <c r="AQ596" s="564">
        <v>2481295.5460799998</v>
      </c>
      <c r="AR596" s="564">
        <v>1.0243</v>
      </c>
    </row>
    <row r="597" spans="39:44">
      <c r="AM597" s="563">
        <f t="shared" ca="1" si="62"/>
        <v>45347</v>
      </c>
      <c r="AN597" s="564">
        <v>56.24</v>
      </c>
      <c r="AO597" s="564">
        <v>570420</v>
      </c>
      <c r="AP597" s="564">
        <v>44182.612999999998</v>
      </c>
      <c r="AQ597" s="564">
        <v>2484830.1551199998</v>
      </c>
      <c r="AR597" s="564">
        <v>1.0258</v>
      </c>
    </row>
    <row r="598" spans="39:44">
      <c r="AM598" s="563">
        <f t="shared" ca="1" si="62"/>
        <v>45346</v>
      </c>
      <c r="AN598" s="564">
        <v>54.69</v>
      </c>
      <c r="AO598" s="564">
        <v>400399</v>
      </c>
      <c r="AP598" s="564">
        <v>44182.612999999998</v>
      </c>
      <c r="AQ598" s="564">
        <v>2416347.1049699998</v>
      </c>
      <c r="AR598" s="564">
        <v>0.99750000000000005</v>
      </c>
    </row>
    <row r="599" spans="39:44">
      <c r="AM599" s="563">
        <f t="shared" ca="1" si="62"/>
        <v>45345</v>
      </c>
      <c r="AN599" s="564">
        <v>54.84</v>
      </c>
      <c r="AO599" s="564">
        <v>475698</v>
      </c>
      <c r="AP599" s="564">
        <v>44182.612999999998</v>
      </c>
      <c r="AQ599" s="564">
        <v>2422974.4969199998</v>
      </c>
      <c r="AR599" s="564">
        <v>1.0002</v>
      </c>
    </row>
    <row r="600" spans="39:44">
      <c r="AM600" s="563">
        <f t="shared" ca="1" si="62"/>
        <v>45344</v>
      </c>
      <c r="AN600" s="564">
        <v>55.06</v>
      </c>
      <c r="AO600" s="564">
        <v>627146</v>
      </c>
      <c r="AP600" s="564">
        <v>44182.612999999998</v>
      </c>
      <c r="AQ600" s="564">
        <v>2432694.67178</v>
      </c>
      <c r="AR600" s="564">
        <v>1.0043</v>
      </c>
    </row>
    <row r="601" spans="39:44">
      <c r="AM601" s="563">
        <f t="shared" ca="1" si="62"/>
        <v>45343</v>
      </c>
      <c r="AN601" s="564">
        <v>54.15</v>
      </c>
      <c r="AO601" s="564">
        <v>400252</v>
      </c>
      <c r="AP601" s="564">
        <v>44182.612999999998</v>
      </c>
      <c r="AQ601" s="564">
        <v>2392488.49395</v>
      </c>
      <c r="AR601" s="564">
        <v>0.98770000000000002</v>
      </c>
    </row>
    <row r="602" spans="39:44">
      <c r="AM602" s="563">
        <f t="shared" ca="1" si="62"/>
        <v>45342</v>
      </c>
      <c r="AN602" s="564">
        <v>54.15</v>
      </c>
      <c r="AO602" s="564">
        <v>400252</v>
      </c>
      <c r="AP602" s="564">
        <v>44182.612999999998</v>
      </c>
      <c r="AQ602" s="564">
        <v>2392488.49395</v>
      </c>
      <c r="AR602" s="564">
        <v>0.98770000000000002</v>
      </c>
    </row>
    <row r="603" spans="39:44">
      <c r="AM603" s="563">
        <f t="shared" ca="1" si="62"/>
        <v>45341</v>
      </c>
      <c r="AN603" s="564">
        <v>54.15</v>
      </c>
      <c r="AO603" s="564">
        <v>400252</v>
      </c>
      <c r="AP603" s="564">
        <v>44182.612999999998</v>
      </c>
      <c r="AQ603" s="564">
        <v>2392488.49395</v>
      </c>
      <c r="AR603" s="564">
        <v>0.98770000000000002</v>
      </c>
    </row>
    <row r="604" spans="39:44">
      <c r="AM604" s="563">
        <f t="shared" ca="1" si="62"/>
        <v>45340</v>
      </c>
      <c r="AN604" s="564">
        <v>54.29</v>
      </c>
      <c r="AO604" s="564">
        <v>388047</v>
      </c>
      <c r="AP604" s="564">
        <v>44182.612999999998</v>
      </c>
      <c r="AQ604" s="564">
        <v>2398674.0597699997</v>
      </c>
      <c r="AR604" s="564">
        <v>0.99019999999999997</v>
      </c>
    </row>
    <row r="605" spans="39:44">
      <c r="AM605" s="563">
        <f t="shared" ca="1" si="62"/>
        <v>45339</v>
      </c>
      <c r="AN605" s="564">
        <v>54.12</v>
      </c>
      <c r="AO605" s="564">
        <v>434210</v>
      </c>
      <c r="AP605" s="564">
        <v>44182.612999999998</v>
      </c>
      <c r="AQ605" s="564">
        <v>2391163.0155599997</v>
      </c>
      <c r="AR605" s="564">
        <v>0.98709999999999998</v>
      </c>
    </row>
    <row r="606" spans="39:44">
      <c r="AM606" s="563">
        <f t="shared" ca="1" si="62"/>
        <v>45338</v>
      </c>
      <c r="AN606" s="564">
        <v>54.39</v>
      </c>
      <c r="AO606" s="564">
        <v>433796</v>
      </c>
      <c r="AP606" s="564">
        <v>44182.612999999998</v>
      </c>
      <c r="AQ606" s="564">
        <v>2403092.3210700001</v>
      </c>
      <c r="AR606" s="564">
        <v>0.99199999999999999</v>
      </c>
    </row>
    <row r="607" spans="39:44">
      <c r="AM607" s="563">
        <f t="shared" ca="1" si="62"/>
        <v>45337</v>
      </c>
      <c r="AN607" s="564">
        <v>54.91</v>
      </c>
      <c r="AO607" s="564">
        <v>403851</v>
      </c>
      <c r="AP607" s="564">
        <v>44182.612999999998</v>
      </c>
      <c r="AQ607" s="564">
        <v>2426067.2798299999</v>
      </c>
      <c r="AR607" s="564">
        <v>1.0015000000000001</v>
      </c>
    </row>
    <row r="608" spans="39:44">
      <c r="AM608" s="563">
        <f t="shared" ca="1" si="62"/>
        <v>45336</v>
      </c>
      <c r="AN608" s="564">
        <v>54.91</v>
      </c>
      <c r="AO608" s="564">
        <v>403851</v>
      </c>
      <c r="AP608" s="564">
        <v>44182.612999999998</v>
      </c>
      <c r="AQ608" s="564">
        <v>2426067.2798299999</v>
      </c>
      <c r="AR608" s="564">
        <v>1.0015000000000001</v>
      </c>
    </row>
    <row r="609" spans="39:44">
      <c r="AM609" s="563">
        <f t="shared" ca="1" si="62"/>
        <v>45335</v>
      </c>
      <c r="AN609" s="564">
        <v>54.91</v>
      </c>
      <c r="AO609" s="564">
        <v>403851</v>
      </c>
      <c r="AP609" s="564">
        <v>44182.612999999998</v>
      </c>
      <c r="AQ609" s="564">
        <v>2426067.2798299999</v>
      </c>
      <c r="AR609" s="564">
        <v>1.0015000000000001</v>
      </c>
    </row>
    <row r="610" spans="39:44">
      <c r="AM610" s="563">
        <f t="shared" ca="1" si="62"/>
        <v>45334</v>
      </c>
      <c r="AN610" s="564">
        <v>54.91</v>
      </c>
      <c r="AO610" s="564">
        <v>403851</v>
      </c>
      <c r="AP610" s="564">
        <v>44182.612999999998</v>
      </c>
      <c r="AQ610" s="564">
        <v>2426067.2798299999</v>
      </c>
      <c r="AR610" s="564">
        <v>1.0015000000000001</v>
      </c>
    </row>
    <row r="611" spans="39:44">
      <c r="AM611" s="563">
        <f t="shared" ca="1" si="62"/>
        <v>45333</v>
      </c>
      <c r="AN611" s="564">
        <v>54.24</v>
      </c>
      <c r="AO611" s="564">
        <v>479208</v>
      </c>
      <c r="AP611" s="564">
        <v>44182.612999999998</v>
      </c>
      <c r="AQ611" s="564">
        <v>2396464.92912</v>
      </c>
      <c r="AR611" s="564">
        <v>0.98929999999999996</v>
      </c>
    </row>
    <row r="612" spans="39:44">
      <c r="AM612" s="563">
        <f t="shared" ca="1" si="62"/>
        <v>45332</v>
      </c>
      <c r="AN612" s="564">
        <v>54.54</v>
      </c>
      <c r="AO612" s="564">
        <v>432218</v>
      </c>
      <c r="AP612" s="564">
        <v>44182.612999999998</v>
      </c>
      <c r="AQ612" s="564">
        <v>2409719.7130199997</v>
      </c>
      <c r="AR612" s="564">
        <v>0.99480000000000002</v>
      </c>
    </row>
    <row r="613" spans="39:44">
      <c r="AM613" s="563">
        <f t="shared" ca="1" si="62"/>
        <v>45331</v>
      </c>
      <c r="AN613" s="564">
        <v>54.45</v>
      </c>
      <c r="AO613" s="564">
        <v>593934</v>
      </c>
      <c r="AP613" s="564">
        <v>44182.612999999998</v>
      </c>
      <c r="AQ613" s="564">
        <v>2405743.2778500002</v>
      </c>
      <c r="AR613" s="564">
        <v>0.99309999999999998</v>
      </c>
    </row>
    <row r="614" spans="39:44">
      <c r="AM614" s="563">
        <f t="shared" ca="1" si="62"/>
        <v>45330</v>
      </c>
      <c r="AN614" s="564">
        <v>55.24</v>
      </c>
      <c r="AO614" s="564">
        <v>657785</v>
      </c>
      <c r="AP614" s="564">
        <v>44182.612999999998</v>
      </c>
      <c r="AQ614" s="564">
        <v>2440647.5421199999</v>
      </c>
      <c r="AR614" s="564">
        <v>1.0075000000000001</v>
      </c>
    </row>
    <row r="615" spans="39:44">
      <c r="AM615" s="563">
        <f t="shared" ca="1" si="62"/>
        <v>45329</v>
      </c>
      <c r="AN615" s="564">
        <v>55.31</v>
      </c>
      <c r="AO615" s="564">
        <v>987329</v>
      </c>
      <c r="AP615" s="564">
        <v>44182.612999999998</v>
      </c>
      <c r="AQ615" s="564">
        <v>2443740.3250299999</v>
      </c>
      <c r="AR615" s="564">
        <v>1.0087999999999999</v>
      </c>
    </row>
    <row r="616" spans="39:44">
      <c r="AM616" s="563">
        <f t="shared" ca="1" si="62"/>
        <v>45328</v>
      </c>
      <c r="AN616" s="564">
        <v>55.31</v>
      </c>
      <c r="AO616" s="564">
        <v>987329</v>
      </c>
      <c r="AP616" s="564">
        <v>44182.612999999998</v>
      </c>
      <c r="AQ616" s="564">
        <v>2443740.3250299999</v>
      </c>
      <c r="AR616" s="564">
        <v>1.0087999999999999</v>
      </c>
    </row>
    <row r="617" spans="39:44">
      <c r="AM617" s="563">
        <f t="shared" ca="1" si="62"/>
        <v>45327</v>
      </c>
      <c r="AN617" s="564">
        <v>55.31</v>
      </c>
      <c r="AO617" s="564">
        <v>987329</v>
      </c>
      <c r="AP617" s="564">
        <v>44182.612999999998</v>
      </c>
      <c r="AQ617" s="564">
        <v>2443740.3250299999</v>
      </c>
      <c r="AR617" s="564">
        <v>1.0087999999999999</v>
      </c>
    </row>
    <row r="618" spans="39:44">
      <c r="AM618" s="563">
        <f t="shared" ca="1" si="62"/>
        <v>45326</v>
      </c>
      <c r="AN618" s="564">
        <v>56.3</v>
      </c>
      <c r="AO618" s="564">
        <v>2055855</v>
      </c>
      <c r="AP618" s="564">
        <v>44182.612999999998</v>
      </c>
      <c r="AQ618" s="564">
        <v>2487481.1118999999</v>
      </c>
      <c r="AR618" s="564">
        <v>1.0268999999999999</v>
      </c>
    </row>
    <row r="619" spans="39:44">
      <c r="AM619" s="563">
        <f t="shared" ca="1" si="62"/>
        <v>45325</v>
      </c>
      <c r="AN619" s="564">
        <v>54.86</v>
      </c>
      <c r="AO619" s="564">
        <v>1609492</v>
      </c>
      <c r="AP619" s="564">
        <v>44182.612999999998</v>
      </c>
      <c r="AQ619" s="564">
        <v>2423858.1491799997</v>
      </c>
      <c r="AR619" s="564">
        <v>1.0005999999999999</v>
      </c>
    </row>
    <row r="620" spans="39:44">
      <c r="AM620" s="563">
        <f t="shared" ca="1" si="62"/>
        <v>45324</v>
      </c>
      <c r="AN620" s="564">
        <v>56.68</v>
      </c>
      <c r="AO620" s="564">
        <v>769043</v>
      </c>
      <c r="AP620" s="564">
        <v>44182.612999999998</v>
      </c>
      <c r="AQ620" s="564">
        <v>2504270.5048400001</v>
      </c>
      <c r="AR620" s="564">
        <v>1.0338000000000001</v>
      </c>
    </row>
    <row r="621" spans="39:44">
      <c r="AM621" s="563">
        <f t="shared" ca="1" si="62"/>
        <v>45323</v>
      </c>
      <c r="AN621" s="564">
        <v>57.39</v>
      </c>
      <c r="AO621" s="564">
        <v>598658</v>
      </c>
      <c r="AP621" s="564">
        <v>44182.612999999998</v>
      </c>
      <c r="AQ621" s="564">
        <v>2535640.1600699998</v>
      </c>
      <c r="AR621" s="564">
        <v>1.0467</v>
      </c>
    </row>
    <row r="622" spans="39:44">
      <c r="AM622" s="563">
        <f t="shared" ca="1" si="62"/>
        <v>45322</v>
      </c>
      <c r="AN622" s="564">
        <v>57.39</v>
      </c>
      <c r="AO622" s="564">
        <v>598658</v>
      </c>
      <c r="AP622" s="564">
        <v>44182.612999999998</v>
      </c>
      <c r="AQ622" s="564">
        <v>2535640.1600699998</v>
      </c>
      <c r="AR622" s="564">
        <v>1.0467</v>
      </c>
    </row>
    <row r="623" spans="39:44">
      <c r="AM623" s="563">
        <f t="shared" ca="1" si="62"/>
        <v>45321</v>
      </c>
      <c r="AN623" s="564">
        <v>57.39</v>
      </c>
      <c r="AO623" s="564">
        <v>598658</v>
      </c>
      <c r="AP623" s="564">
        <v>44182.612999999998</v>
      </c>
      <c r="AQ623" s="564">
        <v>2535640.1600699998</v>
      </c>
      <c r="AR623" s="564">
        <v>1.0467</v>
      </c>
    </row>
    <row r="624" spans="39:44">
      <c r="AM624" s="563">
        <f t="shared" ca="1" si="62"/>
        <v>45320</v>
      </c>
      <c r="AN624" s="564">
        <v>57.39</v>
      </c>
      <c r="AO624" s="564">
        <v>598658</v>
      </c>
      <c r="AP624" s="564">
        <v>44182.612999999998</v>
      </c>
      <c r="AQ624" s="564">
        <v>2535640.1600699998</v>
      </c>
      <c r="AR624" s="564">
        <v>1.0467</v>
      </c>
    </row>
    <row r="625" spans="39:44">
      <c r="AM625" s="563">
        <f t="shared" ca="1" si="62"/>
        <v>45319</v>
      </c>
      <c r="AN625" s="564">
        <v>57.66</v>
      </c>
      <c r="AO625" s="564">
        <v>557972</v>
      </c>
      <c r="AP625" s="564">
        <v>44182.612999999998</v>
      </c>
      <c r="AQ625" s="564">
        <v>2547569.4655799996</v>
      </c>
      <c r="AR625" s="564">
        <v>1.0517000000000001</v>
      </c>
    </row>
    <row r="626" spans="39:44">
      <c r="AM626" s="563">
        <f t="shared" ca="1" si="62"/>
        <v>45318</v>
      </c>
      <c r="AN626" s="564">
        <v>56.68</v>
      </c>
      <c r="AO626" s="564">
        <v>545695</v>
      </c>
      <c r="AP626" s="564">
        <v>44182.612999999998</v>
      </c>
      <c r="AQ626" s="564">
        <v>2504270.5048400001</v>
      </c>
      <c r="AR626" s="564">
        <v>1.0338000000000001</v>
      </c>
    </row>
    <row r="627" spans="39:44">
      <c r="AM627" s="563">
        <f t="shared" ca="1" si="62"/>
        <v>45317</v>
      </c>
      <c r="AN627" s="564">
        <v>56.64</v>
      </c>
      <c r="AO627" s="564">
        <v>433307</v>
      </c>
      <c r="AP627" s="564">
        <v>44182.612999999998</v>
      </c>
      <c r="AQ627" s="564">
        <v>2502503.2003199998</v>
      </c>
      <c r="AR627" s="564">
        <v>1.0330999999999999</v>
      </c>
    </row>
    <row r="628" spans="39:44">
      <c r="AM628" s="563">
        <f t="shared" ca="1" si="62"/>
        <v>45316</v>
      </c>
      <c r="AN628" s="564">
        <v>56.71</v>
      </c>
      <c r="AO628" s="564">
        <v>468884</v>
      </c>
      <c r="AP628" s="564">
        <v>44182.612999999998</v>
      </c>
      <c r="AQ628" s="564">
        <v>2505595.9832299999</v>
      </c>
      <c r="AR628" s="564">
        <v>1.0343</v>
      </c>
    </row>
    <row r="629" spans="39:44">
      <c r="AM629" s="563">
        <f t="shared" ca="1" si="62"/>
        <v>45315</v>
      </c>
      <c r="AN629" s="564">
        <v>56.71</v>
      </c>
      <c r="AO629" s="564">
        <v>468884</v>
      </c>
      <c r="AP629" s="564">
        <v>44182.612999999998</v>
      </c>
      <c r="AQ629" s="564">
        <v>2505595.9832299999</v>
      </c>
      <c r="AR629" s="564">
        <v>1.0343</v>
      </c>
    </row>
    <row r="630" spans="39:44">
      <c r="AM630" s="563">
        <f t="shared" ca="1" si="62"/>
        <v>45314</v>
      </c>
      <c r="AN630" s="564">
        <v>56.71</v>
      </c>
      <c r="AO630" s="564">
        <v>468884</v>
      </c>
      <c r="AP630" s="564">
        <v>44182.612999999998</v>
      </c>
      <c r="AQ630" s="564">
        <v>2505595.9832299999</v>
      </c>
      <c r="AR630" s="564">
        <v>1.0343</v>
      </c>
    </row>
    <row r="631" spans="39:44">
      <c r="AM631" s="563">
        <f t="shared" ca="1" si="62"/>
        <v>45313</v>
      </c>
      <c r="AN631" s="564">
        <v>56.71</v>
      </c>
      <c r="AO631" s="564">
        <v>468884</v>
      </c>
      <c r="AP631" s="564">
        <v>44182.612999999998</v>
      </c>
      <c r="AQ631" s="564">
        <v>2505595.9832299999</v>
      </c>
      <c r="AR631" s="564">
        <v>1.0343</v>
      </c>
    </row>
    <row r="632" spans="39:44">
      <c r="AM632" s="563">
        <f t="shared" ca="1" si="62"/>
        <v>45312</v>
      </c>
      <c r="AN632" s="564">
        <v>56.08</v>
      </c>
      <c r="AO632" s="564">
        <v>729564</v>
      </c>
      <c r="AP632" s="564">
        <v>44182.612999999998</v>
      </c>
      <c r="AQ632" s="564">
        <v>2477760.9370399998</v>
      </c>
      <c r="AR632" s="564">
        <v>1.0228999999999999</v>
      </c>
    </row>
    <row r="633" spans="39:44">
      <c r="AM633" s="563">
        <f t="shared" ca="1" si="62"/>
        <v>45311</v>
      </c>
      <c r="AN633" s="564">
        <v>55.22</v>
      </c>
      <c r="AO633" s="564">
        <v>740132</v>
      </c>
      <c r="AP633" s="564">
        <v>44182.612999999998</v>
      </c>
      <c r="AQ633" s="564">
        <v>2439763.88986</v>
      </c>
      <c r="AR633" s="564">
        <v>1.0072000000000001</v>
      </c>
    </row>
    <row r="634" spans="39:44">
      <c r="AM634" s="563">
        <f t="shared" ca="1" si="62"/>
        <v>45310</v>
      </c>
      <c r="AN634" s="564">
        <v>56.93</v>
      </c>
      <c r="AO634" s="564">
        <v>710663</v>
      </c>
      <c r="AP634" s="564">
        <v>44182.612999999998</v>
      </c>
      <c r="AQ634" s="564">
        <v>2515316.15809</v>
      </c>
      <c r="AR634" s="564">
        <v>1.0384</v>
      </c>
    </row>
    <row r="635" spans="39:44">
      <c r="AM635" s="563">
        <f t="shared" ca="1" si="62"/>
        <v>45309</v>
      </c>
      <c r="AN635" s="564">
        <v>55.19</v>
      </c>
      <c r="AO635" s="564">
        <v>687503</v>
      </c>
      <c r="AP635" s="564">
        <v>44182.612999999998</v>
      </c>
      <c r="AQ635" s="564">
        <v>2438438.4114699997</v>
      </c>
      <c r="AR635" s="564">
        <v>1.0065999999999999</v>
      </c>
    </row>
    <row r="636" spans="39:44">
      <c r="AM636" s="563">
        <f t="shared" ca="1" si="62"/>
        <v>45308</v>
      </c>
      <c r="AN636" s="564">
        <v>55.44</v>
      </c>
      <c r="AO636" s="564">
        <v>1838341</v>
      </c>
      <c r="AP636" s="564">
        <v>44182.612999999998</v>
      </c>
      <c r="AQ636" s="564">
        <v>2449484.0647199997</v>
      </c>
      <c r="AR636" s="564">
        <v>1.0112000000000001</v>
      </c>
    </row>
    <row r="637" spans="39:44">
      <c r="AM637" s="563">
        <f t="shared" ca="1" si="62"/>
        <v>45307</v>
      </c>
      <c r="AN637" s="564">
        <v>55.44</v>
      </c>
      <c r="AO637" s="564">
        <v>1838341</v>
      </c>
      <c r="AP637" s="564">
        <v>44182.612999999998</v>
      </c>
      <c r="AQ637" s="564">
        <v>2449484.0647199997</v>
      </c>
      <c r="AR637" s="564">
        <v>1.0112000000000001</v>
      </c>
    </row>
    <row r="638" spans="39:44">
      <c r="AM638" s="563">
        <f t="shared" ca="1" si="62"/>
        <v>45306</v>
      </c>
      <c r="AN638" s="564">
        <v>55.44</v>
      </c>
      <c r="AO638" s="564">
        <v>1838341</v>
      </c>
      <c r="AP638" s="564">
        <v>44182.612999999998</v>
      </c>
      <c r="AQ638" s="564">
        <v>2449484.0647199997</v>
      </c>
      <c r="AR638" s="564">
        <v>1.0112000000000001</v>
      </c>
    </row>
    <row r="639" spans="39:44">
      <c r="AM639" s="563">
        <f t="shared" ca="1" si="62"/>
        <v>45305</v>
      </c>
      <c r="AN639" s="564">
        <v>55.22</v>
      </c>
      <c r="AO639" s="564">
        <v>1549304</v>
      </c>
      <c r="AP639" s="564">
        <v>44182.612999999998</v>
      </c>
      <c r="AQ639" s="564">
        <v>2439763.88986</v>
      </c>
      <c r="AR639" s="564">
        <v>1.0072000000000001</v>
      </c>
    </row>
    <row r="640" spans="39:44">
      <c r="AM640" s="563">
        <f t="shared" ca="1" si="62"/>
        <v>45304</v>
      </c>
      <c r="AN640" s="564">
        <v>53.93</v>
      </c>
      <c r="AO640" s="564">
        <v>2404783</v>
      </c>
      <c r="AP640" s="564">
        <v>44182.612999999998</v>
      </c>
      <c r="AQ640" s="564">
        <v>2382768.3190899999</v>
      </c>
      <c r="AR640" s="564">
        <v>0.98360000000000003</v>
      </c>
    </row>
    <row r="641" spans="39:44">
      <c r="AM641" s="563">
        <f t="shared" ca="1" si="62"/>
        <v>45303</v>
      </c>
      <c r="AN641" s="564">
        <v>48.89</v>
      </c>
      <c r="AO641" s="564">
        <v>878685</v>
      </c>
      <c r="AP641" s="564">
        <v>44182.612999999998</v>
      </c>
      <c r="AQ641" s="564">
        <v>2160087.9495699997</v>
      </c>
      <c r="AR641" s="564">
        <v>0.89170000000000005</v>
      </c>
    </row>
    <row r="642" spans="39:44">
      <c r="AM642" s="563">
        <f t="shared" ca="1" si="62"/>
        <v>45302</v>
      </c>
      <c r="AN642" s="564">
        <v>50.78</v>
      </c>
      <c r="AO642" s="564">
        <v>596914</v>
      </c>
      <c r="AP642" s="564">
        <v>44182.612999999998</v>
      </c>
      <c r="AQ642" s="564">
        <v>2243593.0881400001</v>
      </c>
      <c r="AR642" s="564">
        <v>0.92620000000000002</v>
      </c>
    </row>
    <row r="643" spans="39:44">
      <c r="AM643" s="563">
        <f t="shared" ca="1" si="62"/>
        <v>45301</v>
      </c>
      <c r="AN643" s="564">
        <v>51.7</v>
      </c>
      <c r="AO643" s="564">
        <v>631791</v>
      </c>
      <c r="AP643" s="564">
        <v>44182.612999999998</v>
      </c>
      <c r="AQ643" s="564">
        <v>2284241.0921</v>
      </c>
      <c r="AR643" s="564">
        <v>0.94299999999999995</v>
      </c>
    </row>
    <row r="644" spans="39:44">
      <c r="AM644" s="563">
        <f t="shared" ca="1" si="62"/>
        <v>45300</v>
      </c>
      <c r="AN644" s="564">
        <v>51.7</v>
      </c>
      <c r="AO644" s="564">
        <v>631791</v>
      </c>
      <c r="AP644" s="564">
        <v>44182.612999999998</v>
      </c>
      <c r="AQ644" s="564">
        <v>2284241.0921</v>
      </c>
      <c r="AR644" s="564">
        <v>0.94299999999999995</v>
      </c>
    </row>
    <row r="645" spans="39:44">
      <c r="AM645" s="563">
        <f t="shared" ref="AM645:AM708" ca="1" si="63">AM644-1</f>
        <v>45299</v>
      </c>
      <c r="AN645" s="564">
        <v>51.7</v>
      </c>
      <c r="AO645" s="564">
        <v>631791</v>
      </c>
      <c r="AP645" s="564">
        <v>44182.612999999998</v>
      </c>
      <c r="AQ645" s="564">
        <v>2284241.0921</v>
      </c>
      <c r="AR645" s="564">
        <v>0.94299999999999995</v>
      </c>
    </row>
    <row r="646" spans="39:44">
      <c r="AM646" s="563">
        <f t="shared" ca="1" si="63"/>
        <v>45298</v>
      </c>
      <c r="AN646" s="564">
        <v>50.97</v>
      </c>
      <c r="AO646" s="564">
        <v>469269</v>
      </c>
      <c r="AP646" s="564">
        <v>44182.612999999998</v>
      </c>
      <c r="AQ646" s="564">
        <v>2251987.78461</v>
      </c>
      <c r="AR646" s="564">
        <v>0.92969999999999997</v>
      </c>
    </row>
    <row r="647" spans="39:44">
      <c r="AM647" s="563">
        <f t="shared" ca="1" si="63"/>
        <v>45297</v>
      </c>
      <c r="AN647" s="564">
        <v>49.97</v>
      </c>
      <c r="AO647" s="564">
        <v>592960</v>
      </c>
      <c r="AP647" s="564">
        <v>44182.612999999998</v>
      </c>
      <c r="AQ647" s="564">
        <v>2207805.1716099996</v>
      </c>
      <c r="AR647" s="564">
        <v>0.91139999999999999</v>
      </c>
    </row>
    <row r="648" spans="39:44">
      <c r="AM648" s="563">
        <f t="shared" ca="1" si="63"/>
        <v>45296</v>
      </c>
      <c r="AN648" s="564">
        <v>49.72</v>
      </c>
      <c r="AO648" s="564">
        <v>529151</v>
      </c>
      <c r="AP648" s="564">
        <v>44182.612999999998</v>
      </c>
      <c r="AQ648" s="564">
        <v>2196759.5183599996</v>
      </c>
      <c r="AR648" s="564">
        <v>0.90690000000000004</v>
      </c>
    </row>
    <row r="649" spans="39:44">
      <c r="AM649" s="563">
        <f t="shared" ca="1" si="63"/>
        <v>45295</v>
      </c>
      <c r="AN649" s="564">
        <v>49.52</v>
      </c>
      <c r="AO649" s="564">
        <v>474230</v>
      </c>
      <c r="AP649" s="564">
        <v>44182.612999999998</v>
      </c>
      <c r="AQ649" s="564">
        <v>2187922.9957599998</v>
      </c>
      <c r="AR649" s="564">
        <v>0.9032</v>
      </c>
    </row>
    <row r="650" spans="39:44">
      <c r="AM650" s="563">
        <f t="shared" ca="1" si="63"/>
        <v>45294</v>
      </c>
      <c r="AN650" s="564">
        <v>49.26</v>
      </c>
      <c r="AO650" s="564">
        <v>769065</v>
      </c>
      <c r="AP650" s="564">
        <v>44182.612999999998</v>
      </c>
      <c r="AQ650" s="564">
        <v>2176435.5163799999</v>
      </c>
      <c r="AR650" s="564">
        <v>0.81330000000000002</v>
      </c>
    </row>
    <row r="651" spans="39:44">
      <c r="AM651" s="563">
        <f t="shared" ca="1" si="63"/>
        <v>45293</v>
      </c>
      <c r="AN651" s="564">
        <v>49.26</v>
      </c>
      <c r="AO651" s="564">
        <v>769065</v>
      </c>
      <c r="AP651" s="564">
        <v>44182.612999999998</v>
      </c>
      <c r="AQ651" s="564">
        <v>2176435.5163799999</v>
      </c>
      <c r="AR651" s="564">
        <v>0.81330000000000002</v>
      </c>
    </row>
    <row r="652" spans="39:44">
      <c r="AM652" s="563">
        <f t="shared" ca="1" si="63"/>
        <v>45292</v>
      </c>
      <c r="AN652" s="564">
        <v>49.26</v>
      </c>
      <c r="AO652" s="564">
        <v>769065</v>
      </c>
      <c r="AP652" s="564">
        <v>44182.612999999998</v>
      </c>
      <c r="AQ652" s="564">
        <v>2176435.5163799999</v>
      </c>
      <c r="AR652" s="564">
        <v>0.81330000000000002</v>
      </c>
    </row>
    <row r="653" spans="39:44">
      <c r="AM653" s="563">
        <f t="shared" ca="1" si="63"/>
        <v>45291</v>
      </c>
      <c r="AN653" s="564">
        <v>47.92</v>
      </c>
      <c r="AO653" s="564">
        <v>729172</v>
      </c>
      <c r="AP653" s="564">
        <v>44182.612999999998</v>
      </c>
      <c r="AQ653" s="564">
        <v>2117230.8149600001</v>
      </c>
      <c r="AR653" s="564">
        <v>0.79120000000000001</v>
      </c>
    </row>
    <row r="654" spans="39:44">
      <c r="AM654" s="563">
        <f t="shared" ca="1" si="63"/>
        <v>45290</v>
      </c>
      <c r="AN654" s="564">
        <v>47.45</v>
      </c>
      <c r="AO654" s="564">
        <v>877206</v>
      </c>
      <c r="AP654" s="564">
        <v>44182.612999999998</v>
      </c>
      <c r="AQ654" s="564">
        <v>2096464.98685</v>
      </c>
      <c r="AR654" s="564">
        <v>0.78339999999999999</v>
      </c>
    </row>
    <row r="655" spans="39:44">
      <c r="AM655" s="563">
        <f t="shared" ca="1" si="63"/>
        <v>45289</v>
      </c>
      <c r="AN655" s="564">
        <v>46.52</v>
      </c>
      <c r="AO655" s="564">
        <v>767090</v>
      </c>
      <c r="AP655" s="564">
        <v>44182.612999999998</v>
      </c>
      <c r="AQ655" s="564">
        <v>2055375.1567599999</v>
      </c>
      <c r="AR655" s="564">
        <v>0.7681</v>
      </c>
    </row>
    <row r="656" spans="39:44">
      <c r="AM656" s="563">
        <f t="shared" ca="1" si="63"/>
        <v>45288</v>
      </c>
      <c r="AN656" s="564">
        <v>47.12</v>
      </c>
      <c r="AO656" s="564">
        <v>955784</v>
      </c>
      <c r="AP656" s="564">
        <v>44182.612999999998</v>
      </c>
      <c r="AQ656" s="564">
        <v>2081884.7245599998</v>
      </c>
      <c r="AR656" s="564">
        <v>0.77800000000000002</v>
      </c>
    </row>
    <row r="657" spans="39:44">
      <c r="AM657" s="563">
        <f t="shared" ca="1" si="63"/>
        <v>45287</v>
      </c>
      <c r="AN657" s="564">
        <v>47.92</v>
      </c>
      <c r="AO657" s="564">
        <v>257007</v>
      </c>
      <c r="AP657" s="564">
        <v>44182.612999999998</v>
      </c>
      <c r="AQ657" s="564">
        <v>2117230.8149600001</v>
      </c>
      <c r="AR657" s="564">
        <v>0.79120000000000001</v>
      </c>
    </row>
    <row r="658" spans="39:44">
      <c r="AM658" s="563">
        <f t="shared" ca="1" si="63"/>
        <v>45286</v>
      </c>
      <c r="AN658" s="564">
        <v>47.92</v>
      </c>
      <c r="AO658" s="564">
        <v>257007</v>
      </c>
      <c r="AP658" s="564">
        <v>44182.612999999998</v>
      </c>
      <c r="AQ658" s="564">
        <v>2117230.8149600001</v>
      </c>
      <c r="AR658" s="564">
        <v>0.79120000000000001</v>
      </c>
    </row>
    <row r="659" spans="39:44">
      <c r="AM659" s="563">
        <f t="shared" ca="1" si="63"/>
        <v>45285</v>
      </c>
      <c r="AN659" s="564">
        <v>47.92</v>
      </c>
      <c r="AO659" s="564">
        <v>257007</v>
      </c>
      <c r="AP659" s="564">
        <v>44182.612999999998</v>
      </c>
      <c r="AQ659" s="564">
        <v>2117230.8149600001</v>
      </c>
      <c r="AR659" s="564">
        <v>0.79120000000000001</v>
      </c>
    </row>
    <row r="660" spans="39:44">
      <c r="AM660" s="563">
        <f t="shared" ca="1" si="63"/>
        <v>45284</v>
      </c>
      <c r="AN660" s="564">
        <v>47.32</v>
      </c>
      <c r="AO660" s="564">
        <v>1427565</v>
      </c>
      <c r="AP660" s="564">
        <v>44182.612999999998</v>
      </c>
      <c r="AQ660" s="564">
        <v>2090721.2471599998</v>
      </c>
      <c r="AR660" s="564">
        <v>0.78129999999999999</v>
      </c>
    </row>
    <row r="661" spans="39:44">
      <c r="AM661" s="563">
        <f t="shared" ca="1" si="63"/>
        <v>45283</v>
      </c>
      <c r="AN661" s="564">
        <v>47.32</v>
      </c>
      <c r="AO661" s="564">
        <v>1427565</v>
      </c>
      <c r="AP661" s="564">
        <v>44182.612999999998</v>
      </c>
      <c r="AQ661" s="564">
        <v>2090721.2471599998</v>
      </c>
      <c r="AR661" s="564">
        <v>0.78129999999999999</v>
      </c>
    </row>
    <row r="662" spans="39:44">
      <c r="AM662" s="563">
        <f t="shared" ca="1" si="63"/>
        <v>45282</v>
      </c>
      <c r="AN662" s="564">
        <v>47.72</v>
      </c>
      <c r="AO662" s="564">
        <v>1076989</v>
      </c>
      <c r="AP662" s="564">
        <v>44182.612999999998</v>
      </c>
      <c r="AQ662" s="564">
        <v>2108394.2923599998</v>
      </c>
      <c r="AR662" s="564">
        <v>0.78790000000000004</v>
      </c>
    </row>
    <row r="663" spans="39:44">
      <c r="AM663" s="563">
        <f t="shared" ca="1" si="63"/>
        <v>45281</v>
      </c>
      <c r="AN663" s="564">
        <v>48.61</v>
      </c>
      <c r="AO663" s="564">
        <v>900928</v>
      </c>
      <c r="AP663" s="564">
        <v>44182.612999999998</v>
      </c>
      <c r="AQ663" s="564">
        <v>2147716.8179299999</v>
      </c>
      <c r="AR663" s="564">
        <v>0.80259999999999998</v>
      </c>
    </row>
    <row r="664" spans="39:44">
      <c r="AM664" s="563">
        <f t="shared" ca="1" si="63"/>
        <v>45280</v>
      </c>
      <c r="AN664" s="564">
        <v>48.33</v>
      </c>
      <c r="AO664" s="564">
        <v>805619</v>
      </c>
      <c r="AP664" s="564">
        <v>44182.612999999998</v>
      </c>
      <c r="AQ664" s="564">
        <v>2135345.6862899996</v>
      </c>
      <c r="AR664" s="564">
        <v>0.79790000000000005</v>
      </c>
    </row>
    <row r="665" spans="39:44">
      <c r="AM665" s="563">
        <f t="shared" ca="1" si="63"/>
        <v>45279</v>
      </c>
      <c r="AN665" s="564">
        <v>48.33</v>
      </c>
      <c r="AO665" s="564">
        <v>805619</v>
      </c>
      <c r="AP665" s="564">
        <v>44182.612999999998</v>
      </c>
      <c r="AQ665" s="564">
        <v>2135345.6862899996</v>
      </c>
      <c r="AR665" s="564">
        <v>0.79790000000000005</v>
      </c>
    </row>
    <row r="666" spans="39:44">
      <c r="AM666" s="563">
        <f t="shared" ca="1" si="63"/>
        <v>45278</v>
      </c>
      <c r="AN666" s="564">
        <v>48.33</v>
      </c>
      <c r="AO666" s="564">
        <v>805619</v>
      </c>
      <c r="AP666" s="564">
        <v>44182.612999999998</v>
      </c>
      <c r="AQ666" s="564">
        <v>2135345.6862899996</v>
      </c>
      <c r="AR666" s="564">
        <v>0.79790000000000005</v>
      </c>
    </row>
    <row r="667" spans="39:44">
      <c r="AM667" s="563">
        <f t="shared" ca="1" si="63"/>
        <v>45277</v>
      </c>
      <c r="AN667" s="564">
        <v>49.79</v>
      </c>
      <c r="AO667" s="564">
        <v>841957</v>
      </c>
      <c r="AP667" s="564">
        <v>44182.612999999998</v>
      </c>
      <c r="AQ667" s="564">
        <v>2199852.3012699997</v>
      </c>
      <c r="AR667" s="564">
        <v>0.82199999999999995</v>
      </c>
    </row>
    <row r="668" spans="39:44">
      <c r="AM668" s="563">
        <f t="shared" ca="1" si="63"/>
        <v>45276</v>
      </c>
      <c r="AN668" s="564">
        <v>50.12</v>
      </c>
      <c r="AO668" s="564">
        <v>692826</v>
      </c>
      <c r="AP668" s="564">
        <v>44182.612999999998</v>
      </c>
      <c r="AQ668" s="564">
        <v>2214432.5635599997</v>
      </c>
      <c r="AR668" s="564">
        <v>0.82750000000000001</v>
      </c>
    </row>
    <row r="669" spans="39:44">
      <c r="AM669" s="563">
        <f t="shared" ca="1" si="63"/>
        <v>45275</v>
      </c>
      <c r="AN669" s="564">
        <v>50.54</v>
      </c>
      <c r="AO669" s="564">
        <v>819723</v>
      </c>
      <c r="AP669" s="564">
        <v>44182.612999999998</v>
      </c>
      <c r="AQ669" s="564">
        <v>2232989.2610199996</v>
      </c>
      <c r="AR669" s="564">
        <v>0.83440000000000003</v>
      </c>
    </row>
    <row r="670" spans="39:44">
      <c r="AM670" s="563">
        <f t="shared" ca="1" si="63"/>
        <v>45274</v>
      </c>
      <c r="AN670" s="564">
        <v>49.51</v>
      </c>
      <c r="AO670" s="564">
        <v>582131</v>
      </c>
      <c r="AP670" s="564">
        <v>44182.612999999998</v>
      </c>
      <c r="AQ670" s="564">
        <v>2187481.1696299999</v>
      </c>
      <c r="AR670" s="564">
        <v>0.81740000000000002</v>
      </c>
    </row>
    <row r="671" spans="39:44">
      <c r="AM671" s="563">
        <f t="shared" ca="1" si="63"/>
        <v>45273</v>
      </c>
      <c r="AN671" s="564">
        <v>49.69</v>
      </c>
      <c r="AO671" s="564">
        <v>639725</v>
      </c>
      <c r="AP671" s="564">
        <v>44182.612999999998</v>
      </c>
      <c r="AQ671" s="564">
        <v>2195434.0399699998</v>
      </c>
      <c r="AR671" s="564">
        <v>0.82040000000000002</v>
      </c>
    </row>
    <row r="672" spans="39:44">
      <c r="AM672" s="563">
        <f t="shared" ca="1" si="63"/>
        <v>45272</v>
      </c>
      <c r="AN672" s="564">
        <v>49.69</v>
      </c>
      <c r="AO672" s="564">
        <v>639725</v>
      </c>
      <c r="AP672" s="564">
        <v>44182.612999999998</v>
      </c>
      <c r="AQ672" s="564">
        <v>2195434.0399699998</v>
      </c>
      <c r="AR672" s="564">
        <v>0.82040000000000002</v>
      </c>
    </row>
    <row r="673" spans="39:44">
      <c r="AM673" s="563">
        <f t="shared" ca="1" si="63"/>
        <v>45271</v>
      </c>
      <c r="AN673" s="564">
        <v>49.69</v>
      </c>
      <c r="AO673" s="564">
        <v>639725</v>
      </c>
      <c r="AP673" s="564">
        <v>44182.612999999998</v>
      </c>
      <c r="AQ673" s="564">
        <v>2195434.0399699998</v>
      </c>
      <c r="AR673" s="564">
        <v>0.82040000000000002</v>
      </c>
    </row>
    <row r="674" spans="39:44">
      <c r="AM674" s="563">
        <f t="shared" ca="1" si="63"/>
        <v>45270</v>
      </c>
      <c r="AN674" s="564">
        <v>48.59</v>
      </c>
      <c r="AO674" s="564">
        <v>602242</v>
      </c>
      <c r="AP674" s="564">
        <v>44182.612999999998</v>
      </c>
      <c r="AQ674" s="564">
        <v>2146833.16567</v>
      </c>
      <c r="AR674" s="564">
        <v>0.80220000000000002</v>
      </c>
    </row>
    <row r="675" spans="39:44">
      <c r="AM675" s="563">
        <f t="shared" ca="1" si="63"/>
        <v>45269</v>
      </c>
      <c r="AN675" s="564">
        <v>48.17</v>
      </c>
      <c r="AO675" s="564">
        <v>575103</v>
      </c>
      <c r="AP675" s="564">
        <v>44182.612999999998</v>
      </c>
      <c r="AQ675" s="564">
        <v>2128276.4682100001</v>
      </c>
      <c r="AR675" s="564">
        <v>0.79530000000000001</v>
      </c>
    </row>
    <row r="676" spans="39:44">
      <c r="AM676" s="563">
        <f t="shared" ca="1" si="63"/>
        <v>45268</v>
      </c>
      <c r="AN676" s="564">
        <v>49.33</v>
      </c>
      <c r="AO676" s="564">
        <v>849162</v>
      </c>
      <c r="AP676" s="564">
        <v>44182.612999999998</v>
      </c>
      <c r="AQ676" s="564">
        <v>2179528.29929</v>
      </c>
      <c r="AR676" s="564">
        <v>0.8145</v>
      </c>
    </row>
    <row r="677" spans="39:44">
      <c r="AM677" s="563">
        <f t="shared" ca="1" si="63"/>
        <v>45267</v>
      </c>
      <c r="AN677" s="564">
        <v>49.53</v>
      </c>
      <c r="AO677" s="564">
        <v>551654</v>
      </c>
      <c r="AP677" s="564">
        <v>44182.612999999998</v>
      </c>
      <c r="AQ677" s="564">
        <v>2188364.8218899998</v>
      </c>
      <c r="AR677" s="564">
        <v>0.81779999999999997</v>
      </c>
    </row>
    <row r="678" spans="39:44">
      <c r="AM678" s="563">
        <f t="shared" ca="1" si="63"/>
        <v>45266</v>
      </c>
      <c r="AN678" s="564">
        <v>49.54</v>
      </c>
      <c r="AO678" s="564">
        <v>872414</v>
      </c>
      <c r="AP678" s="564">
        <v>44182.612999999998</v>
      </c>
      <c r="AQ678" s="564">
        <v>2188806.6480199997</v>
      </c>
      <c r="AR678" s="564">
        <v>0.81789999999999996</v>
      </c>
    </row>
    <row r="679" spans="39:44">
      <c r="AM679" s="563">
        <f t="shared" ca="1" si="63"/>
        <v>45265</v>
      </c>
      <c r="AN679" s="564">
        <v>49.54</v>
      </c>
      <c r="AO679" s="564">
        <v>872414</v>
      </c>
      <c r="AP679" s="564">
        <v>44182.612999999998</v>
      </c>
      <c r="AQ679" s="564">
        <v>2188806.6480199997</v>
      </c>
      <c r="AR679" s="564">
        <v>0.81789999999999996</v>
      </c>
    </row>
    <row r="680" spans="39:44">
      <c r="AM680" s="563">
        <f t="shared" ca="1" si="63"/>
        <v>45264</v>
      </c>
      <c r="AN680" s="564">
        <v>49.54</v>
      </c>
      <c r="AO680" s="564">
        <v>872414</v>
      </c>
      <c r="AP680" s="564">
        <v>44182.612999999998</v>
      </c>
      <c r="AQ680" s="564">
        <v>2188806.6480199997</v>
      </c>
      <c r="AR680" s="564">
        <v>0.81789999999999996</v>
      </c>
    </row>
    <row r="681" spans="39:44">
      <c r="AM681" s="563">
        <f t="shared" ca="1" si="63"/>
        <v>45263</v>
      </c>
      <c r="AN681" s="564">
        <v>49.72</v>
      </c>
      <c r="AO681" s="564">
        <v>1174085</v>
      </c>
      <c r="AP681" s="564">
        <v>44182.612999999998</v>
      </c>
      <c r="AQ681" s="564">
        <v>2196759.5183599996</v>
      </c>
      <c r="AR681" s="564">
        <v>0.82089999999999996</v>
      </c>
    </row>
    <row r="682" spans="39:44">
      <c r="AM682" s="563">
        <f t="shared" ca="1" si="63"/>
        <v>45262</v>
      </c>
      <c r="AN682" s="564">
        <v>47.82</v>
      </c>
      <c r="AO682" s="564">
        <v>743685</v>
      </c>
      <c r="AP682" s="564">
        <v>44182.612999999998</v>
      </c>
      <c r="AQ682" s="564">
        <v>2112812.5536599997</v>
      </c>
      <c r="AR682" s="564">
        <v>0.78949999999999998</v>
      </c>
    </row>
    <row r="683" spans="39:44">
      <c r="AM683" s="563">
        <f t="shared" ca="1" si="63"/>
        <v>45261</v>
      </c>
      <c r="AN683" s="564">
        <v>45.31</v>
      </c>
      <c r="AO683" s="564">
        <v>413585</v>
      </c>
      <c r="AP683" s="564">
        <v>44182.612999999998</v>
      </c>
      <c r="AQ683" s="564">
        <v>2001914.1950300001</v>
      </c>
      <c r="AR683" s="564">
        <v>0.74809999999999999</v>
      </c>
    </row>
    <row r="684" spans="39:44">
      <c r="AM684" s="563">
        <f t="shared" ca="1" si="63"/>
        <v>45260</v>
      </c>
      <c r="AN684" s="564">
        <v>45.56</v>
      </c>
      <c r="AO684" s="564">
        <v>465006</v>
      </c>
      <c r="AP684" s="564">
        <v>44182.612999999998</v>
      </c>
      <c r="AQ684" s="564">
        <v>2012959.84828</v>
      </c>
      <c r="AR684" s="564">
        <v>0.75219999999999998</v>
      </c>
    </row>
    <row r="685" spans="39:44">
      <c r="AM685" s="563">
        <f t="shared" ca="1" si="63"/>
        <v>45259</v>
      </c>
      <c r="AN685" s="564">
        <v>45.56</v>
      </c>
      <c r="AO685" s="564">
        <v>588772</v>
      </c>
      <c r="AP685" s="564">
        <v>44182.612999999998</v>
      </c>
      <c r="AQ685" s="564">
        <v>2012959.84828</v>
      </c>
      <c r="AR685" s="564">
        <v>0.75219999999999998</v>
      </c>
    </row>
    <row r="686" spans="39:44">
      <c r="AM686" s="563">
        <f t="shared" ca="1" si="63"/>
        <v>45258</v>
      </c>
      <c r="AN686" s="564">
        <v>45.56</v>
      </c>
      <c r="AO686" s="564">
        <v>588772</v>
      </c>
      <c r="AP686" s="564">
        <v>44182.612999999998</v>
      </c>
      <c r="AQ686" s="564">
        <v>2012959.84828</v>
      </c>
      <c r="AR686" s="564">
        <v>0.75219999999999998</v>
      </c>
    </row>
    <row r="687" spans="39:44">
      <c r="AM687" s="563">
        <f t="shared" ca="1" si="63"/>
        <v>45257</v>
      </c>
      <c r="AN687" s="564">
        <v>45.56</v>
      </c>
      <c r="AO687" s="564">
        <v>588772</v>
      </c>
      <c r="AP687" s="564">
        <v>44182.612999999998</v>
      </c>
      <c r="AQ687" s="564">
        <v>2012959.84828</v>
      </c>
      <c r="AR687" s="564">
        <v>0.75219999999999998</v>
      </c>
    </row>
    <row r="688" spans="39:44">
      <c r="AM688" s="563">
        <f t="shared" ca="1" si="63"/>
        <v>45256</v>
      </c>
      <c r="AN688" s="564">
        <v>45.33</v>
      </c>
      <c r="AO688" s="564">
        <v>486337</v>
      </c>
      <c r="AP688" s="564">
        <v>44182.612999999998</v>
      </c>
      <c r="AQ688" s="564">
        <v>2002797.8472899997</v>
      </c>
      <c r="AR688" s="564">
        <v>0.74839999999999995</v>
      </c>
    </row>
    <row r="689" spans="39:44">
      <c r="AM689" s="563">
        <f t="shared" ca="1" si="63"/>
        <v>45255</v>
      </c>
      <c r="AN689" s="564">
        <v>44.87</v>
      </c>
      <c r="AO689" s="564">
        <v>419696</v>
      </c>
      <c r="AP689" s="564">
        <v>44182.612999999998</v>
      </c>
      <c r="AQ689" s="564">
        <v>1982473.8453099998</v>
      </c>
      <c r="AR689" s="564">
        <v>0.74080000000000001</v>
      </c>
    </row>
    <row r="690" spans="39:44">
      <c r="AM690" s="563">
        <f t="shared" ca="1" si="63"/>
        <v>45254</v>
      </c>
      <c r="AN690" s="564">
        <v>45.09</v>
      </c>
      <c r="AO690" s="564">
        <v>444252</v>
      </c>
      <c r="AP690" s="564">
        <v>44182.612999999998</v>
      </c>
      <c r="AQ690" s="564">
        <v>1992194.0201700001</v>
      </c>
      <c r="AR690" s="564">
        <v>0.74439999999999995</v>
      </c>
    </row>
    <row r="691" spans="39:44">
      <c r="AM691" s="563">
        <f t="shared" ca="1" si="63"/>
        <v>45253</v>
      </c>
      <c r="AN691" s="564">
        <v>44.51</v>
      </c>
      <c r="AO691" s="564">
        <v>935974</v>
      </c>
      <c r="AP691" s="564">
        <v>44182.612999999998</v>
      </c>
      <c r="AQ691" s="564">
        <v>1966568.1046299997</v>
      </c>
      <c r="AR691" s="564">
        <v>0.7349</v>
      </c>
    </row>
    <row r="692" spans="39:44">
      <c r="AM692" s="563">
        <f t="shared" ca="1" si="63"/>
        <v>45252</v>
      </c>
      <c r="AN692" s="564">
        <v>45.88</v>
      </c>
      <c r="AO692" s="564">
        <v>1326099</v>
      </c>
      <c r="AP692" s="564">
        <v>44182.612999999998</v>
      </c>
      <c r="AQ692" s="564">
        <v>2027098.2844400001</v>
      </c>
      <c r="AR692" s="564">
        <v>0.75749999999999995</v>
      </c>
    </row>
    <row r="693" spans="39:44">
      <c r="AM693" s="563">
        <f t="shared" ca="1" si="63"/>
        <v>45251</v>
      </c>
      <c r="AN693" s="564">
        <v>45.88</v>
      </c>
      <c r="AO693" s="564">
        <v>1326099</v>
      </c>
      <c r="AP693" s="564">
        <v>44182.612999999998</v>
      </c>
      <c r="AQ693" s="564">
        <v>2027098.2844400001</v>
      </c>
      <c r="AR693" s="564">
        <v>0.75749999999999995</v>
      </c>
    </row>
    <row r="694" spans="39:44">
      <c r="AM694" s="563">
        <f t="shared" ca="1" si="63"/>
        <v>45250</v>
      </c>
      <c r="AN694" s="564">
        <v>45.88</v>
      </c>
      <c r="AO694" s="564">
        <v>1326099</v>
      </c>
      <c r="AP694" s="564">
        <v>44182.612999999998</v>
      </c>
      <c r="AQ694" s="564">
        <v>2027098.2844400001</v>
      </c>
      <c r="AR694" s="564">
        <v>0.75749999999999995</v>
      </c>
    </row>
    <row r="695" spans="39:44">
      <c r="AM695" s="563">
        <f t="shared" ca="1" si="63"/>
        <v>45249</v>
      </c>
      <c r="AN695" s="564">
        <v>46.34</v>
      </c>
      <c r="AO695" s="564">
        <v>801916</v>
      </c>
      <c r="AP695" s="564">
        <v>44182.612999999998</v>
      </c>
      <c r="AQ695" s="564">
        <v>2047422.28642</v>
      </c>
      <c r="AR695" s="564">
        <v>0.7651</v>
      </c>
    </row>
    <row r="696" spans="39:44">
      <c r="AM696" s="563">
        <f t="shared" ca="1" si="63"/>
        <v>45248</v>
      </c>
      <c r="AN696" s="564">
        <v>46.5</v>
      </c>
      <c r="AO696" s="564">
        <v>617837</v>
      </c>
      <c r="AP696" s="564">
        <v>44182.612999999998</v>
      </c>
      <c r="AQ696" s="564">
        <v>2054491.5044999998</v>
      </c>
      <c r="AR696" s="564">
        <v>0.76770000000000005</v>
      </c>
    </row>
    <row r="697" spans="39:44">
      <c r="AM697" s="563">
        <f t="shared" ca="1" si="63"/>
        <v>45247</v>
      </c>
      <c r="AN697" s="564">
        <v>45.63</v>
      </c>
      <c r="AO697" s="564">
        <v>1258189</v>
      </c>
      <c r="AP697" s="564">
        <v>44182.612999999998</v>
      </c>
      <c r="AQ697" s="564">
        <v>2016052.6311900001</v>
      </c>
      <c r="AR697" s="564">
        <v>0.75339999999999996</v>
      </c>
    </row>
    <row r="698" spans="39:44">
      <c r="AM698" s="563">
        <f t="shared" ca="1" si="63"/>
        <v>45246</v>
      </c>
      <c r="AN698" s="564">
        <v>47.18</v>
      </c>
      <c r="AO698" s="564">
        <v>1380463</v>
      </c>
      <c r="AP698" s="564">
        <v>44182.612999999998</v>
      </c>
      <c r="AQ698" s="564">
        <v>2084535.6813399999</v>
      </c>
      <c r="AR698" s="564">
        <v>0.77900000000000003</v>
      </c>
    </row>
    <row r="699" spans="39:44">
      <c r="AM699" s="563">
        <f t="shared" ca="1" si="63"/>
        <v>45245</v>
      </c>
      <c r="AN699" s="564">
        <v>49.56</v>
      </c>
      <c r="AO699" s="564">
        <v>1454490</v>
      </c>
      <c r="AP699" s="564">
        <v>44182.612999999998</v>
      </c>
      <c r="AQ699" s="564">
        <v>2189690.3002800001</v>
      </c>
      <c r="AR699" s="564">
        <v>0.81820000000000004</v>
      </c>
    </row>
    <row r="700" spans="39:44">
      <c r="AM700" s="563">
        <f t="shared" ca="1" si="63"/>
        <v>45244</v>
      </c>
      <c r="AN700" s="564">
        <v>49.56</v>
      </c>
      <c r="AO700" s="564">
        <v>1454490</v>
      </c>
      <c r="AP700" s="564">
        <v>44182.612999999998</v>
      </c>
      <c r="AQ700" s="564">
        <v>2189690.3002800001</v>
      </c>
      <c r="AR700" s="564">
        <v>0.81820000000000004</v>
      </c>
    </row>
    <row r="701" spans="39:44">
      <c r="AM701" s="563">
        <f t="shared" ca="1" si="63"/>
        <v>45243</v>
      </c>
      <c r="AN701" s="564">
        <v>49.56</v>
      </c>
      <c r="AO701" s="564">
        <v>1454490</v>
      </c>
      <c r="AP701" s="564">
        <v>44182.612999999998</v>
      </c>
      <c r="AQ701" s="564">
        <v>2189690.3002800001</v>
      </c>
      <c r="AR701" s="564">
        <v>0.81820000000000004</v>
      </c>
    </row>
    <row r="702" spans="39:44">
      <c r="AM702" s="563">
        <f t="shared" ca="1" si="63"/>
        <v>45242</v>
      </c>
      <c r="AN702" s="564">
        <v>48.99</v>
      </c>
      <c r="AO702" s="564">
        <v>817848</v>
      </c>
      <c r="AP702" s="564">
        <v>44182.612999999998</v>
      </c>
      <c r="AQ702" s="564">
        <v>2164506.2108700001</v>
      </c>
      <c r="AR702" s="564">
        <v>0.80879999999999996</v>
      </c>
    </row>
    <row r="703" spans="39:44">
      <c r="AM703" s="563">
        <f t="shared" ca="1" si="63"/>
        <v>45241</v>
      </c>
      <c r="AN703" s="564">
        <v>48.11</v>
      </c>
      <c r="AO703" s="564">
        <v>713742</v>
      </c>
      <c r="AP703" s="564">
        <v>44182.612999999998</v>
      </c>
      <c r="AQ703" s="564">
        <v>2125625.51143</v>
      </c>
      <c r="AR703" s="564">
        <v>0.79430000000000001</v>
      </c>
    </row>
    <row r="704" spans="39:44">
      <c r="AM704" s="563">
        <f t="shared" ca="1" si="63"/>
        <v>45240</v>
      </c>
      <c r="AN704" s="564">
        <v>47.49</v>
      </c>
      <c r="AO704" s="564">
        <v>939017</v>
      </c>
      <c r="AP704" s="564">
        <v>44182.612999999998</v>
      </c>
      <c r="AQ704" s="564">
        <v>2098232.2913699998</v>
      </c>
      <c r="AR704" s="564">
        <v>0.78410000000000002</v>
      </c>
    </row>
    <row r="705" spans="39:44">
      <c r="AM705" s="563">
        <f t="shared" ca="1" si="63"/>
        <v>45239</v>
      </c>
      <c r="AN705" s="564">
        <v>46.68</v>
      </c>
      <c r="AO705" s="564">
        <v>1074460</v>
      </c>
      <c r="AP705" s="564">
        <v>44182.612999999998</v>
      </c>
      <c r="AQ705" s="564">
        <v>2062444.3748399999</v>
      </c>
      <c r="AR705" s="564">
        <v>0.77070000000000005</v>
      </c>
    </row>
    <row r="706" spans="39:44">
      <c r="AM706" s="563">
        <f t="shared" ca="1" si="63"/>
        <v>45238</v>
      </c>
      <c r="AN706" s="564">
        <v>46</v>
      </c>
      <c r="AO706" s="564">
        <v>1232816</v>
      </c>
      <c r="AP706" s="564">
        <v>44182.612999999998</v>
      </c>
      <c r="AQ706" s="564">
        <v>2032400.1979999999</v>
      </c>
      <c r="AR706" s="564">
        <v>0.75949999999999995</v>
      </c>
    </row>
    <row r="707" spans="39:44">
      <c r="AM707" s="563">
        <f t="shared" ca="1" si="63"/>
        <v>45237</v>
      </c>
      <c r="AN707" s="564">
        <v>46</v>
      </c>
      <c r="AO707" s="564">
        <v>1232816</v>
      </c>
      <c r="AP707" s="564">
        <v>44182.612999999998</v>
      </c>
      <c r="AQ707" s="564">
        <v>2032400.1979999999</v>
      </c>
      <c r="AR707" s="564">
        <v>0.75949999999999995</v>
      </c>
    </row>
    <row r="708" spans="39:44">
      <c r="AM708" s="563">
        <f t="shared" ca="1" si="63"/>
        <v>45236</v>
      </c>
      <c r="AN708" s="564">
        <v>46</v>
      </c>
      <c r="AO708" s="564">
        <v>1232816</v>
      </c>
      <c r="AP708" s="564">
        <v>44182.612999999998</v>
      </c>
      <c r="AQ708" s="564">
        <v>2032400.1979999999</v>
      </c>
      <c r="AR708" s="564">
        <v>0.75949999999999995</v>
      </c>
    </row>
    <row r="709" spans="39:44">
      <c r="AM709" s="563">
        <f t="shared" ref="AM709:AM772" ca="1" si="64">AM708-1</f>
        <v>45235</v>
      </c>
      <c r="AN709" s="564">
        <v>44.07</v>
      </c>
      <c r="AO709" s="564">
        <v>1337856</v>
      </c>
      <c r="AP709" s="564">
        <v>44182.612999999998</v>
      </c>
      <c r="AQ709" s="564">
        <v>1947127.7549099999</v>
      </c>
      <c r="AR709" s="564">
        <v>0.72760000000000002</v>
      </c>
    </row>
    <row r="710" spans="39:44">
      <c r="AM710" s="563">
        <f t="shared" ca="1" si="64"/>
        <v>45234</v>
      </c>
      <c r="AN710" s="564">
        <v>44.04</v>
      </c>
      <c r="AO710" s="564">
        <v>4616560</v>
      </c>
      <c r="AP710" s="564">
        <v>44182.612999999998</v>
      </c>
      <c r="AQ710" s="564">
        <v>1945802.2765199998</v>
      </c>
      <c r="AR710" s="564">
        <v>0.72709999999999997</v>
      </c>
    </row>
    <row r="711" spans="39:44">
      <c r="AM711" s="563">
        <f t="shared" ca="1" si="64"/>
        <v>45233</v>
      </c>
      <c r="AN711" s="564">
        <v>47.5</v>
      </c>
      <c r="AO711" s="564">
        <v>1472994</v>
      </c>
      <c r="AP711" s="564">
        <v>44182.612999999998</v>
      </c>
      <c r="AQ711" s="564">
        <v>2098674.1174999997</v>
      </c>
      <c r="AR711" s="564">
        <v>0.78420000000000001</v>
      </c>
    </row>
    <row r="712" spans="39:44">
      <c r="AM712" s="563">
        <f t="shared" ca="1" si="64"/>
        <v>45232</v>
      </c>
      <c r="AN712" s="564">
        <v>47.52</v>
      </c>
      <c r="AO712" s="564">
        <v>1037784</v>
      </c>
      <c r="AP712" s="564">
        <v>44184.048999999999</v>
      </c>
      <c r="AQ712" s="564">
        <v>2099626.0084800003</v>
      </c>
      <c r="AR712" s="564">
        <v>0.78459999999999996</v>
      </c>
    </row>
    <row r="713" spans="39:44">
      <c r="AM713" s="563">
        <f t="shared" ca="1" si="64"/>
        <v>45231</v>
      </c>
      <c r="AN713" s="564">
        <v>48.42</v>
      </c>
      <c r="AO713" s="564">
        <v>536294</v>
      </c>
      <c r="AP713" s="564">
        <v>44184.048999999999</v>
      </c>
      <c r="AQ713" s="564">
        <v>2139391.65258</v>
      </c>
      <c r="AR713" s="564">
        <v>0.7994</v>
      </c>
    </row>
    <row r="714" spans="39:44">
      <c r="AM714" s="563">
        <f t="shared" ca="1" si="64"/>
        <v>45230</v>
      </c>
      <c r="AN714" s="564">
        <v>48.42</v>
      </c>
      <c r="AO714" s="564">
        <v>536294</v>
      </c>
      <c r="AP714" s="564">
        <v>44184.048999999999</v>
      </c>
      <c r="AQ714" s="564">
        <v>2139391.65258</v>
      </c>
      <c r="AR714" s="564">
        <v>0.7994</v>
      </c>
    </row>
    <row r="715" spans="39:44">
      <c r="AM715" s="563">
        <f t="shared" ca="1" si="64"/>
        <v>45229</v>
      </c>
      <c r="AN715" s="564">
        <v>48.42</v>
      </c>
      <c r="AO715" s="564">
        <v>536294</v>
      </c>
      <c r="AP715" s="564">
        <v>44184.048999999999</v>
      </c>
      <c r="AQ715" s="564">
        <v>2139391.65258</v>
      </c>
      <c r="AR715" s="564">
        <v>0.7994</v>
      </c>
    </row>
    <row r="716" spans="39:44">
      <c r="AM716" s="563">
        <f t="shared" ca="1" si="64"/>
        <v>45228</v>
      </c>
      <c r="AN716" s="564">
        <v>49.1</v>
      </c>
      <c r="AO716" s="564">
        <v>566254</v>
      </c>
      <c r="AP716" s="564">
        <v>44184.048999999999</v>
      </c>
      <c r="AQ716" s="564">
        <v>2169436.8059</v>
      </c>
      <c r="AR716" s="564">
        <v>0.81069999999999998</v>
      </c>
    </row>
    <row r="717" spans="39:44">
      <c r="AM717" s="563">
        <f t="shared" ca="1" si="64"/>
        <v>45227</v>
      </c>
      <c r="AN717" s="564">
        <v>48.27</v>
      </c>
      <c r="AO717" s="564">
        <v>482821</v>
      </c>
      <c r="AP717" s="564">
        <v>44184.048999999999</v>
      </c>
      <c r="AQ717" s="564">
        <v>2132764.0452300003</v>
      </c>
      <c r="AR717" s="564">
        <v>0.79690000000000005</v>
      </c>
    </row>
    <row r="718" spans="39:44">
      <c r="AM718" s="563">
        <f t="shared" ca="1" si="64"/>
        <v>45226</v>
      </c>
      <c r="AN718" s="564">
        <v>49.27</v>
      </c>
      <c r="AO718" s="564">
        <v>672929</v>
      </c>
      <c r="AP718" s="564">
        <v>44184.048999999999</v>
      </c>
      <c r="AQ718" s="564">
        <v>2176948.0942299999</v>
      </c>
      <c r="AR718" s="564">
        <v>0.8135</v>
      </c>
    </row>
    <row r="719" spans="39:44">
      <c r="AM719" s="563">
        <f t="shared" ca="1" si="64"/>
        <v>45225</v>
      </c>
      <c r="AN719" s="564">
        <v>48.64</v>
      </c>
      <c r="AO719" s="564">
        <v>399073</v>
      </c>
      <c r="AP719" s="564">
        <v>44184.048999999999</v>
      </c>
      <c r="AQ719" s="564">
        <v>2149112.1433600001</v>
      </c>
      <c r="AR719" s="564">
        <v>0.80310000000000004</v>
      </c>
    </row>
    <row r="720" spans="39:44">
      <c r="AM720" s="563">
        <f t="shared" ca="1" si="64"/>
        <v>45224</v>
      </c>
      <c r="AN720" s="564">
        <v>48.27</v>
      </c>
      <c r="AO720" s="564">
        <v>489148</v>
      </c>
      <c r="AP720" s="564">
        <v>44184.048999999999</v>
      </c>
      <c r="AQ720" s="564">
        <v>2132764.0452300003</v>
      </c>
      <c r="AR720" s="564">
        <v>0.79690000000000005</v>
      </c>
    </row>
    <row r="721" spans="39:44">
      <c r="AM721" s="563">
        <f t="shared" ca="1" si="64"/>
        <v>45223</v>
      </c>
      <c r="AN721" s="564">
        <v>48.27</v>
      </c>
      <c r="AO721" s="564">
        <v>489148</v>
      </c>
      <c r="AP721" s="564">
        <v>44184.048999999999</v>
      </c>
      <c r="AQ721" s="564">
        <v>2132764.0452300003</v>
      </c>
      <c r="AR721" s="564">
        <v>0.79690000000000005</v>
      </c>
    </row>
    <row r="722" spans="39:44">
      <c r="AM722" s="563">
        <f t="shared" ca="1" si="64"/>
        <v>45222</v>
      </c>
      <c r="AN722" s="564">
        <v>48.27</v>
      </c>
      <c r="AO722" s="564">
        <v>489148</v>
      </c>
      <c r="AP722" s="564">
        <v>44184.048999999999</v>
      </c>
      <c r="AQ722" s="564">
        <v>2132764.0452300003</v>
      </c>
      <c r="AR722" s="564">
        <v>0.79690000000000005</v>
      </c>
    </row>
    <row r="723" spans="39:44">
      <c r="AM723" s="563">
        <f t="shared" ca="1" si="64"/>
        <v>45221</v>
      </c>
      <c r="AN723" s="564">
        <v>48.63</v>
      </c>
      <c r="AO723" s="564">
        <v>655816</v>
      </c>
      <c r="AP723" s="564">
        <v>44184.048999999999</v>
      </c>
      <c r="AQ723" s="564">
        <v>2148670.3028700002</v>
      </c>
      <c r="AR723" s="564">
        <v>0.80289999999999995</v>
      </c>
    </row>
    <row r="724" spans="39:44">
      <c r="AM724" s="563">
        <f t="shared" ca="1" si="64"/>
        <v>45220</v>
      </c>
      <c r="AN724" s="564">
        <v>46.884999999999998</v>
      </c>
      <c r="AO724" s="564">
        <v>348004</v>
      </c>
      <c r="AP724" s="564">
        <v>44184.048999999999</v>
      </c>
      <c r="AQ724" s="564">
        <v>2071569.1373649999</v>
      </c>
      <c r="AR724" s="564">
        <v>0.77410000000000001</v>
      </c>
    </row>
    <row r="725" spans="39:44">
      <c r="AM725" s="563">
        <f t="shared" ca="1" si="64"/>
        <v>45219</v>
      </c>
      <c r="AN725" s="564">
        <v>47.28</v>
      </c>
      <c r="AO725" s="564">
        <v>524261</v>
      </c>
      <c r="AP725" s="564">
        <v>44184.048999999999</v>
      </c>
      <c r="AQ725" s="564">
        <v>2089021.83672</v>
      </c>
      <c r="AR725" s="564">
        <v>0.78059999999999996</v>
      </c>
    </row>
    <row r="726" spans="39:44">
      <c r="AM726" s="563">
        <f t="shared" ca="1" si="64"/>
        <v>45218</v>
      </c>
      <c r="AN726" s="564">
        <v>46.89</v>
      </c>
      <c r="AO726" s="564">
        <v>553165</v>
      </c>
      <c r="AP726" s="564">
        <v>44184.048999999999</v>
      </c>
      <c r="AQ726" s="564">
        <v>2071790.05761</v>
      </c>
      <c r="AR726" s="564">
        <v>0.7742</v>
      </c>
    </row>
    <row r="727" spans="39:44">
      <c r="AM727" s="563">
        <f t="shared" ca="1" si="64"/>
        <v>45217</v>
      </c>
      <c r="AN727" s="564">
        <v>46.08</v>
      </c>
      <c r="AO727" s="564">
        <v>1325593</v>
      </c>
      <c r="AP727" s="564">
        <v>44184.048999999999</v>
      </c>
      <c r="AQ727" s="564">
        <v>2036000.97792</v>
      </c>
      <c r="AR727" s="564">
        <v>0.76080000000000003</v>
      </c>
    </row>
    <row r="728" spans="39:44">
      <c r="AM728" s="563">
        <f t="shared" ca="1" si="64"/>
        <v>45216</v>
      </c>
      <c r="AN728" s="564">
        <v>46.08</v>
      </c>
      <c r="AO728" s="564">
        <v>1325593</v>
      </c>
      <c r="AP728" s="564">
        <v>44184.048999999999</v>
      </c>
      <c r="AQ728" s="564">
        <v>2036000.97792</v>
      </c>
      <c r="AR728" s="564">
        <v>0.76080000000000003</v>
      </c>
    </row>
    <row r="729" spans="39:44">
      <c r="AM729" s="563">
        <f t="shared" ca="1" si="64"/>
        <v>45215</v>
      </c>
      <c r="AN729" s="564">
        <v>46.08</v>
      </c>
      <c r="AO729" s="564">
        <v>1325593</v>
      </c>
      <c r="AP729" s="564">
        <v>44184.048999999999</v>
      </c>
      <c r="AQ729" s="564">
        <v>2036000.97792</v>
      </c>
      <c r="AR729" s="564">
        <v>0.76080000000000003</v>
      </c>
    </row>
    <row r="730" spans="39:44">
      <c r="AM730" s="563">
        <f t="shared" ca="1" si="64"/>
        <v>45214</v>
      </c>
      <c r="AN730" s="564">
        <v>46.33</v>
      </c>
      <c r="AO730" s="564">
        <v>617709</v>
      </c>
      <c r="AP730" s="564">
        <v>44184.048999999999</v>
      </c>
      <c r="AQ730" s="564">
        <v>2047046.9901699999</v>
      </c>
      <c r="AR730" s="564">
        <v>0.76490000000000002</v>
      </c>
    </row>
    <row r="731" spans="39:44">
      <c r="AM731" s="563">
        <f t="shared" ca="1" si="64"/>
        <v>45213</v>
      </c>
      <c r="AN731" s="564">
        <v>46.63</v>
      </c>
      <c r="AO731" s="564">
        <v>783621</v>
      </c>
      <c r="AP731" s="564">
        <v>44184.048999999999</v>
      </c>
      <c r="AQ731" s="564">
        <v>2060302.20487</v>
      </c>
      <c r="AR731" s="564">
        <v>0.76990000000000003</v>
      </c>
    </row>
    <row r="732" spans="39:44">
      <c r="AM732" s="563">
        <f t="shared" ca="1" si="64"/>
        <v>45212</v>
      </c>
      <c r="AN732" s="564">
        <v>47.4</v>
      </c>
      <c r="AO732" s="564">
        <v>769728</v>
      </c>
      <c r="AP732" s="564">
        <v>44184.048999999999</v>
      </c>
      <c r="AQ732" s="564">
        <v>2094323.9225999999</v>
      </c>
      <c r="AR732" s="564">
        <v>0.78259999999999996</v>
      </c>
    </row>
    <row r="733" spans="39:44">
      <c r="AM733" s="563">
        <f t="shared" ca="1" si="64"/>
        <v>45211</v>
      </c>
      <c r="AN733" s="564">
        <v>48.73</v>
      </c>
      <c r="AO733" s="564">
        <v>644104</v>
      </c>
      <c r="AP733" s="564">
        <v>44184.048999999999</v>
      </c>
      <c r="AQ733" s="564">
        <v>2153088.7077699997</v>
      </c>
      <c r="AR733" s="564">
        <v>0.80449999999999999</v>
      </c>
    </row>
    <row r="734" spans="39:44">
      <c r="AM734" s="563">
        <f t="shared" ca="1" si="64"/>
        <v>45210</v>
      </c>
      <c r="AN734" s="564">
        <v>49.6</v>
      </c>
      <c r="AO734" s="564">
        <v>796715</v>
      </c>
      <c r="AP734" s="564">
        <v>44184.048999999999</v>
      </c>
      <c r="AQ734" s="564">
        <v>2191528.8303999999</v>
      </c>
      <c r="AR734" s="564">
        <v>0.81889999999999996</v>
      </c>
    </row>
    <row r="735" spans="39:44">
      <c r="AM735" s="563">
        <f t="shared" ca="1" si="64"/>
        <v>45209</v>
      </c>
      <c r="AN735" s="564">
        <v>49.6</v>
      </c>
      <c r="AO735" s="564">
        <v>796715</v>
      </c>
      <c r="AP735" s="564">
        <v>44184.048999999999</v>
      </c>
      <c r="AQ735" s="564">
        <v>2191528.8303999999</v>
      </c>
      <c r="AR735" s="564">
        <v>0.81889999999999996</v>
      </c>
    </row>
    <row r="736" spans="39:44">
      <c r="AM736" s="563">
        <f t="shared" ca="1" si="64"/>
        <v>45208</v>
      </c>
      <c r="AN736" s="564">
        <v>49.6</v>
      </c>
      <c r="AO736" s="564">
        <v>796715</v>
      </c>
      <c r="AP736" s="564">
        <v>44184.048999999999</v>
      </c>
      <c r="AQ736" s="564">
        <v>2191528.8303999999</v>
      </c>
      <c r="AR736" s="564">
        <v>0.81889999999999996</v>
      </c>
    </row>
    <row r="737" spans="39:44">
      <c r="AM737" s="563">
        <f t="shared" ca="1" si="64"/>
        <v>45207</v>
      </c>
      <c r="AN737" s="564">
        <v>48.9</v>
      </c>
      <c r="AO737" s="564">
        <v>876850</v>
      </c>
      <c r="AP737" s="564">
        <v>44184.048999999999</v>
      </c>
      <c r="AQ737" s="564">
        <v>2160599.9961000001</v>
      </c>
      <c r="AR737" s="564">
        <v>0.80740000000000001</v>
      </c>
    </row>
    <row r="738" spans="39:44">
      <c r="AM738" s="563">
        <f t="shared" ca="1" si="64"/>
        <v>45206</v>
      </c>
      <c r="AN738" s="564">
        <v>47.58</v>
      </c>
      <c r="AO738" s="564">
        <v>604568</v>
      </c>
      <c r="AP738" s="564">
        <v>44184.048999999999</v>
      </c>
      <c r="AQ738" s="564">
        <v>2102277.0514199999</v>
      </c>
      <c r="AR738" s="564">
        <v>0.78559999999999997</v>
      </c>
    </row>
    <row r="739" spans="39:44">
      <c r="AM739" s="563">
        <f t="shared" ca="1" si="64"/>
        <v>45205</v>
      </c>
      <c r="AN739" s="564">
        <v>47.98</v>
      </c>
      <c r="AO739" s="564">
        <v>743919</v>
      </c>
      <c r="AP739" s="564">
        <v>44184.048999999999</v>
      </c>
      <c r="AQ739" s="564">
        <v>2119950.6710199998</v>
      </c>
      <c r="AR739" s="564">
        <v>0.79220000000000002</v>
      </c>
    </row>
    <row r="740" spans="39:44">
      <c r="AM740" s="563">
        <f t="shared" ca="1" si="64"/>
        <v>45204</v>
      </c>
      <c r="AN740" s="564">
        <v>47.7</v>
      </c>
      <c r="AO740" s="564">
        <v>609344</v>
      </c>
      <c r="AP740" s="564">
        <v>44184.048999999999</v>
      </c>
      <c r="AQ740" s="564">
        <v>2107579.1373000001</v>
      </c>
      <c r="AR740" s="564">
        <v>0.73750000000000004</v>
      </c>
    </row>
    <row r="741" spans="39:44">
      <c r="AM741" s="563">
        <f t="shared" ca="1" si="64"/>
        <v>45203</v>
      </c>
      <c r="AN741" s="564">
        <v>47.7</v>
      </c>
      <c r="AO741" s="564">
        <v>609344</v>
      </c>
      <c r="AP741" s="564">
        <v>44184.048999999999</v>
      </c>
      <c r="AQ741" s="564">
        <v>2107579.1373000001</v>
      </c>
      <c r="AR741" s="564">
        <v>0.73750000000000004</v>
      </c>
    </row>
    <row r="742" spans="39:44">
      <c r="AM742" s="563">
        <f t="shared" ca="1" si="64"/>
        <v>45202</v>
      </c>
      <c r="AN742" s="564">
        <v>47.7</v>
      </c>
      <c r="AO742" s="564">
        <v>609344</v>
      </c>
      <c r="AP742" s="564">
        <v>44184.048999999999</v>
      </c>
      <c r="AQ742" s="564">
        <v>2107579.1373000001</v>
      </c>
      <c r="AR742" s="564">
        <v>0.73750000000000004</v>
      </c>
    </row>
    <row r="743" spans="39:44">
      <c r="AM743" s="563">
        <f t="shared" ca="1" si="64"/>
        <v>45201</v>
      </c>
      <c r="AN743" s="564">
        <v>47.7</v>
      </c>
      <c r="AO743" s="564">
        <v>609344</v>
      </c>
      <c r="AP743" s="564">
        <v>44184.048999999999</v>
      </c>
      <c r="AQ743" s="564">
        <v>2107579.1373000001</v>
      </c>
      <c r="AR743" s="564">
        <v>0.73750000000000004</v>
      </c>
    </row>
    <row r="744" spans="39:44">
      <c r="AM744" s="563">
        <f t="shared" ca="1" si="64"/>
        <v>45200</v>
      </c>
      <c r="AN744" s="564">
        <v>47.79</v>
      </c>
      <c r="AO744" s="564">
        <v>915009</v>
      </c>
      <c r="AP744" s="564">
        <v>44184.048999999999</v>
      </c>
      <c r="AQ744" s="564">
        <v>2111555.7017099997</v>
      </c>
      <c r="AR744" s="564">
        <v>0.7389</v>
      </c>
    </row>
    <row r="745" spans="39:44">
      <c r="AM745" s="563">
        <f t="shared" ca="1" si="64"/>
        <v>45199</v>
      </c>
      <c r="AN745" s="564">
        <v>48.09</v>
      </c>
      <c r="AO745" s="564">
        <v>468774</v>
      </c>
      <c r="AP745" s="564">
        <v>44184.048999999999</v>
      </c>
      <c r="AQ745" s="564">
        <v>2124810.9164100001</v>
      </c>
      <c r="AR745" s="564">
        <v>0.74360000000000004</v>
      </c>
    </row>
    <row r="746" spans="39:44">
      <c r="AM746" s="563">
        <f t="shared" ca="1" si="64"/>
        <v>45198</v>
      </c>
      <c r="AN746" s="564">
        <v>47.81</v>
      </c>
      <c r="AO746" s="564">
        <v>609436</v>
      </c>
      <c r="AP746" s="564">
        <v>44184.048999999999</v>
      </c>
      <c r="AQ746" s="564">
        <v>2112439.3826899999</v>
      </c>
      <c r="AR746" s="564">
        <v>0.73919999999999997</v>
      </c>
    </row>
    <row r="747" spans="39:44">
      <c r="AM747" s="563">
        <f t="shared" ca="1" si="64"/>
        <v>45197</v>
      </c>
      <c r="AN747" s="564">
        <v>47.22</v>
      </c>
      <c r="AO747" s="564">
        <v>468979</v>
      </c>
      <c r="AP747" s="564">
        <v>44184.048999999999</v>
      </c>
      <c r="AQ747" s="564">
        <v>2086370.7937799999</v>
      </c>
      <c r="AR747" s="564">
        <v>0.73009999999999997</v>
      </c>
    </row>
    <row r="748" spans="39:44">
      <c r="AM748" s="563">
        <f t="shared" ca="1" si="64"/>
        <v>45196</v>
      </c>
      <c r="AN748" s="564">
        <v>47.05</v>
      </c>
      <c r="AO748" s="564">
        <v>409545</v>
      </c>
      <c r="AP748" s="564">
        <v>44184.048999999999</v>
      </c>
      <c r="AQ748" s="564">
        <v>2078859.5054499998</v>
      </c>
      <c r="AR748" s="564">
        <v>0.72750000000000004</v>
      </c>
    </row>
    <row r="749" spans="39:44">
      <c r="AM749" s="563">
        <f t="shared" ca="1" si="64"/>
        <v>45195</v>
      </c>
      <c r="AN749" s="564">
        <v>47.05</v>
      </c>
      <c r="AO749" s="564">
        <v>409545</v>
      </c>
      <c r="AP749" s="564">
        <v>44184.048999999999</v>
      </c>
      <c r="AQ749" s="564">
        <v>2078859.5054499998</v>
      </c>
      <c r="AR749" s="564">
        <v>0.72750000000000004</v>
      </c>
    </row>
    <row r="750" spans="39:44">
      <c r="AM750" s="563">
        <f t="shared" ca="1" si="64"/>
        <v>45194</v>
      </c>
      <c r="AN750" s="564">
        <v>47.05</v>
      </c>
      <c r="AO750" s="564">
        <v>409545</v>
      </c>
      <c r="AP750" s="564">
        <v>44184.048999999999</v>
      </c>
      <c r="AQ750" s="564">
        <v>2078859.5054499998</v>
      </c>
      <c r="AR750" s="564">
        <v>0.72750000000000004</v>
      </c>
    </row>
    <row r="751" spans="39:44">
      <c r="AM751" s="563">
        <f t="shared" ca="1" si="64"/>
        <v>45193</v>
      </c>
      <c r="AN751" s="564">
        <v>47</v>
      </c>
      <c r="AO751" s="564">
        <v>589549</v>
      </c>
      <c r="AP751" s="564">
        <v>44184.048999999999</v>
      </c>
      <c r="AQ751" s="564">
        <v>2076650.3029999998</v>
      </c>
      <c r="AR751" s="564">
        <v>0.72670000000000001</v>
      </c>
    </row>
    <row r="752" spans="39:44">
      <c r="AM752" s="563">
        <f t="shared" ca="1" si="64"/>
        <v>45192</v>
      </c>
      <c r="AN752" s="564">
        <v>47.06</v>
      </c>
      <c r="AO752" s="564">
        <v>653667</v>
      </c>
      <c r="AP752" s="564">
        <v>44184.048999999999</v>
      </c>
      <c r="AQ752" s="564">
        <v>2079301.3459400001</v>
      </c>
      <c r="AR752" s="564">
        <v>0.72760000000000002</v>
      </c>
    </row>
    <row r="753" spans="39:44">
      <c r="AM753" s="563">
        <f t="shared" ca="1" si="64"/>
        <v>45191</v>
      </c>
      <c r="AN753" s="564">
        <v>47.36</v>
      </c>
      <c r="AO753" s="564">
        <v>733516</v>
      </c>
      <c r="AP753" s="564">
        <v>44184.048999999999</v>
      </c>
      <c r="AQ753" s="564">
        <v>2092556.56064</v>
      </c>
      <c r="AR753" s="564">
        <v>0.73229999999999995</v>
      </c>
    </row>
    <row r="754" spans="39:44">
      <c r="AM754" s="563">
        <f t="shared" ca="1" si="64"/>
        <v>45190</v>
      </c>
      <c r="AN754" s="564">
        <v>48.1</v>
      </c>
      <c r="AO754" s="564">
        <v>699514</v>
      </c>
      <c r="AP754" s="564">
        <v>44184.048999999999</v>
      </c>
      <c r="AQ754" s="564">
        <v>2125252.7568999999</v>
      </c>
      <c r="AR754" s="564">
        <v>0.74370000000000003</v>
      </c>
    </row>
    <row r="755" spans="39:44">
      <c r="AM755" s="563">
        <f t="shared" ca="1" si="64"/>
        <v>45189</v>
      </c>
      <c r="AN755" s="564">
        <v>47.64</v>
      </c>
      <c r="AO755" s="564">
        <v>669645</v>
      </c>
      <c r="AP755" s="564">
        <v>44184.048999999999</v>
      </c>
      <c r="AQ755" s="564">
        <v>2104928.09436</v>
      </c>
      <c r="AR755" s="564">
        <v>0.73660000000000003</v>
      </c>
    </row>
    <row r="756" spans="39:44">
      <c r="AM756" s="563">
        <f t="shared" ca="1" si="64"/>
        <v>45188</v>
      </c>
      <c r="AN756" s="564">
        <v>47.64</v>
      </c>
      <c r="AO756" s="564">
        <v>669645</v>
      </c>
      <c r="AP756" s="564">
        <v>44184.048999999999</v>
      </c>
      <c r="AQ756" s="564">
        <v>2104928.09436</v>
      </c>
      <c r="AR756" s="564">
        <v>0.73660000000000003</v>
      </c>
    </row>
    <row r="757" spans="39:44">
      <c r="AM757" s="563">
        <f t="shared" ca="1" si="64"/>
        <v>45187</v>
      </c>
      <c r="AN757" s="564">
        <v>47.64</v>
      </c>
      <c r="AO757" s="564">
        <v>669645</v>
      </c>
      <c r="AP757" s="564">
        <v>44184.048999999999</v>
      </c>
      <c r="AQ757" s="564">
        <v>2104928.09436</v>
      </c>
      <c r="AR757" s="564">
        <v>0.73660000000000003</v>
      </c>
    </row>
    <row r="758" spans="39:44">
      <c r="AM758" s="563">
        <f t="shared" ca="1" si="64"/>
        <v>45186</v>
      </c>
      <c r="AN758" s="564">
        <v>47.1</v>
      </c>
      <c r="AO758" s="564">
        <v>547823</v>
      </c>
      <c r="AP758" s="564">
        <v>44184.048999999999</v>
      </c>
      <c r="AQ758" s="564">
        <v>2081068.7079</v>
      </c>
      <c r="AR758" s="564">
        <v>0.72829999999999995</v>
      </c>
    </row>
    <row r="759" spans="39:44">
      <c r="AM759" s="563">
        <f t="shared" ca="1" si="64"/>
        <v>45185</v>
      </c>
      <c r="AN759" s="564">
        <v>46.85</v>
      </c>
      <c r="AO759" s="564">
        <v>570270</v>
      </c>
      <c r="AP759" s="564">
        <v>44184.048999999999</v>
      </c>
      <c r="AQ759" s="564">
        <v>2070022.6956500001</v>
      </c>
      <c r="AR759" s="564">
        <v>0.72440000000000004</v>
      </c>
    </row>
    <row r="760" spans="39:44">
      <c r="AM760" s="563">
        <f t="shared" ca="1" si="64"/>
        <v>45184</v>
      </c>
      <c r="AN760" s="564">
        <v>46.57</v>
      </c>
      <c r="AO760" s="564">
        <v>633425</v>
      </c>
      <c r="AP760" s="564">
        <v>44184.048999999999</v>
      </c>
      <c r="AQ760" s="564">
        <v>2057651.1619299999</v>
      </c>
      <c r="AR760" s="564">
        <v>0.72009999999999996</v>
      </c>
    </row>
    <row r="761" spans="39:44">
      <c r="AM761" s="563">
        <f t="shared" ca="1" si="64"/>
        <v>45183</v>
      </c>
      <c r="AN761" s="564">
        <v>46.3</v>
      </c>
      <c r="AO761" s="564">
        <v>619594</v>
      </c>
      <c r="AP761" s="564">
        <v>44184.048999999999</v>
      </c>
      <c r="AQ761" s="564">
        <v>2045721.4686999999</v>
      </c>
      <c r="AR761" s="564">
        <v>0.71589999999999998</v>
      </c>
    </row>
    <row r="762" spans="39:44">
      <c r="AM762" s="563">
        <f t="shared" ca="1" si="64"/>
        <v>45182</v>
      </c>
      <c r="AN762" s="564">
        <v>46.49</v>
      </c>
      <c r="AO762" s="564">
        <v>1009581</v>
      </c>
      <c r="AP762" s="564">
        <v>44184.048999999999</v>
      </c>
      <c r="AQ762" s="564">
        <v>2054116.4380100002</v>
      </c>
      <c r="AR762" s="564">
        <v>0.71879999999999999</v>
      </c>
    </row>
    <row r="763" spans="39:44">
      <c r="AM763" s="563">
        <f t="shared" ca="1" si="64"/>
        <v>45181</v>
      </c>
      <c r="AN763" s="564">
        <v>46.49</v>
      </c>
      <c r="AO763" s="564">
        <v>1009581</v>
      </c>
      <c r="AP763" s="564">
        <v>44184.048999999999</v>
      </c>
      <c r="AQ763" s="564">
        <v>2054116.4380100002</v>
      </c>
      <c r="AR763" s="564">
        <v>0.71879999999999999</v>
      </c>
    </row>
    <row r="764" spans="39:44">
      <c r="AM764" s="563">
        <f t="shared" ca="1" si="64"/>
        <v>45180</v>
      </c>
      <c r="AN764" s="564">
        <v>46.49</v>
      </c>
      <c r="AO764" s="564">
        <v>1009581</v>
      </c>
      <c r="AP764" s="564">
        <v>44184.048999999999</v>
      </c>
      <c r="AQ764" s="564">
        <v>2054116.4380100002</v>
      </c>
      <c r="AR764" s="564">
        <v>0.71879999999999999</v>
      </c>
    </row>
    <row r="765" spans="39:44">
      <c r="AM765" s="563">
        <f t="shared" ca="1" si="64"/>
        <v>45179</v>
      </c>
      <c r="AN765" s="564">
        <v>46.66</v>
      </c>
      <c r="AO765" s="564">
        <v>970159</v>
      </c>
      <c r="AP765" s="564">
        <v>44184.048999999999</v>
      </c>
      <c r="AQ765" s="564">
        <v>2061627.7263399998</v>
      </c>
      <c r="AR765" s="564">
        <v>0.72150000000000003</v>
      </c>
    </row>
    <row r="766" spans="39:44">
      <c r="AM766" s="563">
        <f t="shared" ca="1" si="64"/>
        <v>45178</v>
      </c>
      <c r="AN766" s="564">
        <v>45.98</v>
      </c>
      <c r="AO766" s="564">
        <v>723380</v>
      </c>
      <c r="AP766" s="564">
        <v>44184.048999999999</v>
      </c>
      <c r="AQ766" s="564">
        <v>2031582.5730199998</v>
      </c>
      <c r="AR766" s="564">
        <v>0.71089999999999998</v>
      </c>
    </row>
    <row r="767" spans="39:44">
      <c r="AM767" s="563">
        <f t="shared" ca="1" si="64"/>
        <v>45177</v>
      </c>
      <c r="AN767" s="564">
        <v>45.28</v>
      </c>
      <c r="AO767" s="564">
        <v>915629</v>
      </c>
      <c r="AP767" s="564">
        <v>44184.048999999999</v>
      </c>
      <c r="AQ767" s="564">
        <v>2000653.73872</v>
      </c>
      <c r="AR767" s="564">
        <v>0.70009999999999994</v>
      </c>
    </row>
    <row r="768" spans="39:44">
      <c r="AM768" s="563">
        <f t="shared" ca="1" si="64"/>
        <v>45176</v>
      </c>
      <c r="AN768" s="564">
        <v>45.42</v>
      </c>
      <c r="AO768" s="564">
        <v>510943</v>
      </c>
      <c r="AP768" s="564">
        <v>44184.048999999999</v>
      </c>
      <c r="AQ768" s="564">
        <v>2006839.5055800001</v>
      </c>
      <c r="AR768" s="564">
        <v>0.70230000000000004</v>
      </c>
    </row>
    <row r="769" spans="39:44">
      <c r="AM769" s="563">
        <f t="shared" ca="1" si="64"/>
        <v>45175</v>
      </c>
      <c r="AN769" s="564">
        <v>45.3</v>
      </c>
      <c r="AO769" s="564">
        <v>651571</v>
      </c>
      <c r="AP769" s="564">
        <v>44184.048999999999</v>
      </c>
      <c r="AQ769" s="564">
        <v>2001537.4196999997</v>
      </c>
      <c r="AR769" s="564">
        <v>0.70040000000000002</v>
      </c>
    </row>
    <row r="770" spans="39:44">
      <c r="AM770" s="563">
        <f t="shared" ca="1" si="64"/>
        <v>45174</v>
      </c>
      <c r="AN770" s="564">
        <v>45.3</v>
      </c>
      <c r="AO770" s="564">
        <v>651571</v>
      </c>
      <c r="AP770" s="564">
        <v>44184.048999999999</v>
      </c>
      <c r="AQ770" s="564">
        <v>2001537.4196999997</v>
      </c>
      <c r="AR770" s="564">
        <v>0.70040000000000002</v>
      </c>
    </row>
    <row r="771" spans="39:44">
      <c r="AM771" s="563">
        <f t="shared" ca="1" si="64"/>
        <v>45173</v>
      </c>
      <c r="AN771" s="564">
        <v>45.3</v>
      </c>
      <c r="AO771" s="564">
        <v>651571</v>
      </c>
      <c r="AP771" s="564">
        <v>44184.048999999999</v>
      </c>
      <c r="AQ771" s="564">
        <v>2001537.4196999997</v>
      </c>
      <c r="AR771" s="564">
        <v>0.70040000000000002</v>
      </c>
    </row>
    <row r="772" spans="39:44">
      <c r="AM772" s="563">
        <f t="shared" ca="1" si="64"/>
        <v>45172</v>
      </c>
      <c r="AN772" s="564">
        <v>46.69</v>
      </c>
      <c r="AO772" s="564">
        <v>752316</v>
      </c>
      <c r="AP772" s="564">
        <v>44184.048999999999</v>
      </c>
      <c r="AQ772" s="564">
        <v>2062953.2478099999</v>
      </c>
      <c r="AR772" s="564">
        <v>0.72189999999999999</v>
      </c>
    </row>
    <row r="773" spans="39:44">
      <c r="AM773" s="563">
        <f t="shared" ref="AM773:AM836" ca="1" si="65">AM772-1</f>
        <v>45171</v>
      </c>
      <c r="AN773" s="564">
        <v>45.93</v>
      </c>
      <c r="AO773" s="564">
        <v>854868</v>
      </c>
      <c r="AP773" s="564">
        <v>44184.048999999999</v>
      </c>
      <c r="AQ773" s="564">
        <v>2029373.37057</v>
      </c>
      <c r="AR773" s="564">
        <v>0.71020000000000005</v>
      </c>
    </row>
    <row r="774" spans="39:44">
      <c r="AM774" s="563">
        <f t="shared" ca="1" si="65"/>
        <v>45170</v>
      </c>
      <c r="AN774" s="564">
        <v>45.66</v>
      </c>
      <c r="AO774" s="564">
        <v>943619</v>
      </c>
      <c r="AP774" s="564">
        <v>44184.048999999999</v>
      </c>
      <c r="AQ774" s="564">
        <v>2017443.6773399997</v>
      </c>
      <c r="AR774" s="564">
        <v>0.70599999999999996</v>
      </c>
    </row>
    <row r="775" spans="39:44">
      <c r="AM775" s="563">
        <f t="shared" ca="1" si="65"/>
        <v>45169</v>
      </c>
      <c r="AN775" s="564">
        <v>46.19</v>
      </c>
      <c r="AO775" s="564">
        <v>726520</v>
      </c>
      <c r="AP775" s="564">
        <v>44184.048999999999</v>
      </c>
      <c r="AQ775" s="564">
        <v>2040861.2233099998</v>
      </c>
      <c r="AR775" s="564">
        <v>0.71419999999999995</v>
      </c>
    </row>
    <row r="776" spans="39:44">
      <c r="AM776" s="563">
        <f t="shared" ca="1" si="65"/>
        <v>45168</v>
      </c>
      <c r="AN776" s="564">
        <v>46.23</v>
      </c>
      <c r="AO776" s="564">
        <v>772148</v>
      </c>
      <c r="AP776" s="564">
        <v>44184.048999999999</v>
      </c>
      <c r="AQ776" s="564">
        <v>2042628.5852699999</v>
      </c>
      <c r="AR776" s="564">
        <v>0.71479999999999999</v>
      </c>
    </row>
    <row r="777" spans="39:44">
      <c r="AM777" s="563">
        <f t="shared" ca="1" si="65"/>
        <v>45167</v>
      </c>
      <c r="AN777" s="564">
        <v>46.23</v>
      </c>
      <c r="AO777" s="564">
        <v>772148</v>
      </c>
      <c r="AP777" s="564">
        <v>44184.048999999999</v>
      </c>
      <c r="AQ777" s="564">
        <v>2042628.5852699999</v>
      </c>
      <c r="AR777" s="564">
        <v>0.71479999999999999</v>
      </c>
    </row>
    <row r="778" spans="39:44">
      <c r="AM778" s="563">
        <f t="shared" ca="1" si="65"/>
        <v>45166</v>
      </c>
      <c r="AN778" s="564">
        <v>46.23</v>
      </c>
      <c r="AO778" s="564">
        <v>772148</v>
      </c>
      <c r="AP778" s="564">
        <v>44184.048999999999</v>
      </c>
      <c r="AQ778" s="564">
        <v>2042628.5852699999</v>
      </c>
      <c r="AR778" s="564">
        <v>0.71479999999999999</v>
      </c>
    </row>
    <row r="779" spans="39:44">
      <c r="AM779" s="563">
        <f t="shared" ca="1" si="65"/>
        <v>45165</v>
      </c>
      <c r="AN779" s="564">
        <v>44.94</v>
      </c>
      <c r="AO779" s="564">
        <v>1185116</v>
      </c>
      <c r="AP779" s="564">
        <v>44184.048999999999</v>
      </c>
      <c r="AQ779" s="564">
        <v>1985631.1620599998</v>
      </c>
      <c r="AR779" s="564">
        <v>0.69489999999999996</v>
      </c>
    </row>
    <row r="780" spans="39:44">
      <c r="AM780" s="563">
        <f t="shared" ca="1" si="65"/>
        <v>45164</v>
      </c>
      <c r="AN780" s="564">
        <v>45.38</v>
      </c>
      <c r="AO780" s="564">
        <v>1636610</v>
      </c>
      <c r="AP780" s="564">
        <v>44184.048999999999</v>
      </c>
      <c r="AQ780" s="564">
        <v>2005072.14362</v>
      </c>
      <c r="AR780" s="564">
        <v>0.70169999999999999</v>
      </c>
    </row>
    <row r="781" spans="39:44">
      <c r="AM781" s="563">
        <f t="shared" ca="1" si="65"/>
        <v>45163</v>
      </c>
      <c r="AN781" s="564">
        <v>45.07</v>
      </c>
      <c r="AO781" s="564">
        <v>1026934</v>
      </c>
      <c r="AP781" s="564">
        <v>44184.048999999999</v>
      </c>
      <c r="AQ781" s="564">
        <v>1991375.08843</v>
      </c>
      <c r="AR781" s="564">
        <v>0.69689999999999996</v>
      </c>
    </row>
    <row r="782" spans="39:44">
      <c r="AM782" s="563">
        <f t="shared" ca="1" si="65"/>
        <v>45162</v>
      </c>
      <c r="AN782" s="564">
        <v>45.14</v>
      </c>
      <c r="AO782" s="564">
        <v>1161121</v>
      </c>
      <c r="AP782" s="564">
        <v>44185.773999999998</v>
      </c>
      <c r="AQ782" s="564">
        <v>1994545.8383599999</v>
      </c>
      <c r="AR782" s="564">
        <v>0.69799999999999995</v>
      </c>
    </row>
    <row r="783" spans="39:44">
      <c r="AM783" s="563">
        <f t="shared" ca="1" si="65"/>
        <v>45161</v>
      </c>
      <c r="AN783" s="564">
        <v>44.11</v>
      </c>
      <c r="AO783" s="564">
        <v>856453</v>
      </c>
      <c r="AP783" s="564">
        <v>44185.773999999998</v>
      </c>
      <c r="AQ783" s="564">
        <v>1949034.4911399998</v>
      </c>
      <c r="AR783" s="564">
        <v>0.68200000000000005</v>
      </c>
    </row>
    <row r="784" spans="39:44">
      <c r="AM784" s="563">
        <f t="shared" ca="1" si="65"/>
        <v>45160</v>
      </c>
      <c r="AN784" s="564">
        <v>44.11</v>
      </c>
      <c r="AO784" s="564">
        <v>856453</v>
      </c>
      <c r="AP784" s="564">
        <v>44185.773999999998</v>
      </c>
      <c r="AQ784" s="564">
        <v>1949034.4911399998</v>
      </c>
      <c r="AR784" s="564">
        <v>0.68200000000000005</v>
      </c>
    </row>
    <row r="785" spans="39:44">
      <c r="AM785" s="563">
        <f t="shared" ca="1" si="65"/>
        <v>45159</v>
      </c>
      <c r="AN785" s="564">
        <v>44.11</v>
      </c>
      <c r="AO785" s="564">
        <v>856453</v>
      </c>
      <c r="AP785" s="564">
        <v>44185.773999999998</v>
      </c>
      <c r="AQ785" s="564">
        <v>1949034.4911399998</v>
      </c>
      <c r="AR785" s="564">
        <v>0.68200000000000005</v>
      </c>
    </row>
    <row r="786" spans="39:44">
      <c r="AM786" s="563">
        <f t="shared" ca="1" si="65"/>
        <v>45158</v>
      </c>
      <c r="AN786" s="564">
        <v>44.29</v>
      </c>
      <c r="AO786" s="564">
        <v>671672</v>
      </c>
      <c r="AP786" s="564">
        <v>44185.773999999998</v>
      </c>
      <c r="AQ786" s="564">
        <v>1956987.9304599999</v>
      </c>
      <c r="AR786" s="564">
        <v>0.68479999999999996</v>
      </c>
    </row>
    <row r="787" spans="39:44">
      <c r="AM787" s="563">
        <f t="shared" ca="1" si="65"/>
        <v>45157</v>
      </c>
      <c r="AN787" s="564">
        <v>44.29</v>
      </c>
      <c r="AO787" s="564">
        <v>779417</v>
      </c>
      <c r="AP787" s="564">
        <v>44185.773999999998</v>
      </c>
      <c r="AQ787" s="564">
        <v>1956987.9304599999</v>
      </c>
      <c r="AR787" s="564">
        <v>0.68479999999999996</v>
      </c>
    </row>
    <row r="788" spans="39:44">
      <c r="AM788" s="563">
        <f t="shared" ca="1" si="65"/>
        <v>45156</v>
      </c>
      <c r="AN788" s="564">
        <v>44.43</v>
      </c>
      <c r="AO788" s="564">
        <v>728938</v>
      </c>
      <c r="AP788" s="564">
        <v>44185.773999999998</v>
      </c>
      <c r="AQ788" s="564">
        <v>1963173.9388199998</v>
      </c>
      <c r="AR788" s="564">
        <v>0.68700000000000006</v>
      </c>
    </row>
    <row r="789" spans="39:44">
      <c r="AM789" s="563">
        <f t="shared" ca="1" si="65"/>
        <v>45155</v>
      </c>
      <c r="AN789" s="564">
        <v>43.95</v>
      </c>
      <c r="AO789" s="564">
        <v>898225</v>
      </c>
      <c r="AP789" s="564">
        <v>44185.773999999998</v>
      </c>
      <c r="AQ789" s="564">
        <v>1941964.7672999999</v>
      </c>
      <c r="AR789" s="564">
        <v>0.67959999999999998</v>
      </c>
    </row>
    <row r="790" spans="39:44">
      <c r="AM790" s="563">
        <f t="shared" ca="1" si="65"/>
        <v>45154</v>
      </c>
      <c r="AN790" s="564">
        <v>43.73</v>
      </c>
      <c r="AO790" s="564">
        <v>721942</v>
      </c>
      <c r="AP790" s="564">
        <v>44185.773999999998</v>
      </c>
      <c r="AQ790" s="564">
        <v>1932243.8970199998</v>
      </c>
      <c r="AR790" s="564">
        <v>0.67620000000000002</v>
      </c>
    </row>
    <row r="791" spans="39:44">
      <c r="AM791" s="563">
        <f t="shared" ca="1" si="65"/>
        <v>45153</v>
      </c>
      <c r="AN791" s="564">
        <v>43.73</v>
      </c>
      <c r="AO791" s="564">
        <v>721942</v>
      </c>
      <c r="AP791" s="564">
        <v>44185.773999999998</v>
      </c>
      <c r="AQ791" s="564">
        <v>1932243.8970199998</v>
      </c>
      <c r="AR791" s="564">
        <v>0.67620000000000002</v>
      </c>
    </row>
    <row r="792" spans="39:44">
      <c r="AM792" s="563">
        <f t="shared" ca="1" si="65"/>
        <v>45152</v>
      </c>
      <c r="AN792" s="564">
        <v>43.73</v>
      </c>
      <c r="AO792" s="564">
        <v>721942</v>
      </c>
      <c r="AP792" s="564">
        <v>44185.773999999998</v>
      </c>
      <c r="AQ792" s="564">
        <v>1932243.8970199998</v>
      </c>
      <c r="AR792" s="564">
        <v>0.67620000000000002</v>
      </c>
    </row>
    <row r="793" spans="39:44">
      <c r="AM793" s="563">
        <f t="shared" ca="1" si="65"/>
        <v>45151</v>
      </c>
      <c r="AN793" s="564">
        <v>44.17</v>
      </c>
      <c r="AO793" s="564">
        <v>753843</v>
      </c>
      <c r="AP793" s="564">
        <v>44185.773999999998</v>
      </c>
      <c r="AQ793" s="564">
        <v>1951685.6375799999</v>
      </c>
      <c r="AR793" s="564">
        <v>0.68300000000000005</v>
      </c>
    </row>
    <row r="794" spans="39:44">
      <c r="AM794" s="563">
        <f t="shared" ca="1" si="65"/>
        <v>45150</v>
      </c>
      <c r="AN794" s="564">
        <v>43.73</v>
      </c>
      <c r="AO794" s="564">
        <v>686491</v>
      </c>
      <c r="AP794" s="564">
        <v>44185.773999999998</v>
      </c>
      <c r="AQ794" s="564">
        <v>1932243.8970199998</v>
      </c>
      <c r="AR794" s="564">
        <v>0.67620000000000002</v>
      </c>
    </row>
    <row r="795" spans="39:44">
      <c r="AM795" s="563">
        <f t="shared" ca="1" si="65"/>
        <v>45149</v>
      </c>
      <c r="AN795" s="564">
        <v>44</v>
      </c>
      <c r="AO795" s="564">
        <v>790012</v>
      </c>
      <c r="AP795" s="564">
        <v>44185.773999999998</v>
      </c>
      <c r="AQ795" s="564">
        <v>1944174.0559999999</v>
      </c>
      <c r="AR795" s="564">
        <v>0.68030000000000002</v>
      </c>
    </row>
    <row r="796" spans="39:44">
      <c r="AM796" s="563">
        <f t="shared" ca="1" si="65"/>
        <v>45148</v>
      </c>
      <c r="AN796" s="564">
        <v>43.88</v>
      </c>
      <c r="AO796" s="564">
        <v>887430</v>
      </c>
      <c r="AP796" s="564">
        <v>44185.773999999998</v>
      </c>
      <c r="AQ796" s="564">
        <v>1938871.76312</v>
      </c>
      <c r="AR796" s="564">
        <v>0.67849999999999999</v>
      </c>
    </row>
    <row r="797" spans="39:44">
      <c r="AM797" s="563">
        <f t="shared" ca="1" si="65"/>
        <v>45147</v>
      </c>
      <c r="AN797" s="564">
        <v>44.11</v>
      </c>
      <c r="AO797" s="564">
        <v>775094</v>
      </c>
      <c r="AP797" s="564">
        <v>44185.773999999998</v>
      </c>
      <c r="AQ797" s="564">
        <v>1949034.4911399998</v>
      </c>
      <c r="AR797" s="564">
        <v>0.68200000000000005</v>
      </c>
    </row>
    <row r="798" spans="39:44">
      <c r="AM798" s="563">
        <f t="shared" ca="1" si="65"/>
        <v>45146</v>
      </c>
      <c r="AN798" s="564">
        <v>44.11</v>
      </c>
      <c r="AO798" s="564">
        <v>775094</v>
      </c>
      <c r="AP798" s="564">
        <v>44185.773999999998</v>
      </c>
      <c r="AQ798" s="564">
        <v>1949034.4911399998</v>
      </c>
      <c r="AR798" s="564">
        <v>0.68200000000000005</v>
      </c>
    </row>
    <row r="799" spans="39:44">
      <c r="AM799" s="563">
        <f t="shared" ca="1" si="65"/>
        <v>45145</v>
      </c>
      <c r="AN799" s="564">
        <v>44.11</v>
      </c>
      <c r="AO799" s="564">
        <v>775094</v>
      </c>
      <c r="AP799" s="564">
        <v>44185.773999999998</v>
      </c>
      <c r="AQ799" s="564">
        <v>1949034.4911399998</v>
      </c>
      <c r="AR799" s="564">
        <v>0.68200000000000005</v>
      </c>
    </row>
    <row r="800" spans="39:44">
      <c r="AM800" s="563">
        <f t="shared" ca="1" si="65"/>
        <v>45144</v>
      </c>
      <c r="AN800" s="564">
        <v>44.75</v>
      </c>
      <c r="AO800" s="564">
        <v>554883</v>
      </c>
      <c r="AP800" s="564">
        <v>44185.773999999998</v>
      </c>
      <c r="AQ800" s="564">
        <v>1977313.3864999998</v>
      </c>
      <c r="AR800" s="564">
        <v>0.69189999999999996</v>
      </c>
    </row>
    <row r="801" spans="39:44">
      <c r="AM801" s="563">
        <f t="shared" ca="1" si="65"/>
        <v>45143</v>
      </c>
      <c r="AN801" s="564">
        <v>45.19</v>
      </c>
      <c r="AO801" s="564">
        <v>776071</v>
      </c>
      <c r="AP801" s="564">
        <v>44185.773999999998</v>
      </c>
      <c r="AQ801" s="564">
        <v>1996755.1270599999</v>
      </c>
      <c r="AR801" s="564">
        <v>0.69869999999999999</v>
      </c>
    </row>
    <row r="802" spans="39:44">
      <c r="AM802" s="563">
        <f t="shared" ca="1" si="65"/>
        <v>45142</v>
      </c>
      <c r="AN802" s="564">
        <v>45.91</v>
      </c>
      <c r="AO802" s="564">
        <v>534474</v>
      </c>
      <c r="AP802" s="564">
        <v>44185.773999999998</v>
      </c>
      <c r="AQ802" s="564">
        <v>2028568.8843399996</v>
      </c>
      <c r="AR802" s="564">
        <v>0.70989999999999998</v>
      </c>
    </row>
    <row r="803" spans="39:44">
      <c r="AM803" s="563">
        <f t="shared" ca="1" si="65"/>
        <v>45141</v>
      </c>
      <c r="AN803" s="564">
        <v>45.91</v>
      </c>
      <c r="AO803" s="564">
        <v>534474</v>
      </c>
      <c r="AP803" s="564">
        <v>44185.773999999998</v>
      </c>
      <c r="AQ803" s="564">
        <v>2028568.8843399996</v>
      </c>
      <c r="AR803" s="564">
        <v>0.70989999999999998</v>
      </c>
    </row>
    <row r="804" spans="39:44">
      <c r="AM804" s="563">
        <f t="shared" ca="1" si="65"/>
        <v>45140</v>
      </c>
      <c r="AN804" s="564">
        <v>45</v>
      </c>
      <c r="AO804" s="564">
        <v>737674</v>
      </c>
      <c r="AP804" s="564">
        <v>44185.773999999998</v>
      </c>
      <c r="AQ804" s="564">
        <v>1988359.8299999998</v>
      </c>
      <c r="AR804" s="564">
        <v>0.69579999999999997</v>
      </c>
    </row>
    <row r="805" spans="39:44">
      <c r="AM805" s="563">
        <f t="shared" ca="1" si="65"/>
        <v>45139</v>
      </c>
      <c r="AN805" s="564">
        <v>45</v>
      </c>
      <c r="AO805" s="564">
        <v>737674</v>
      </c>
      <c r="AP805" s="564">
        <v>44185.773999999998</v>
      </c>
      <c r="AQ805" s="564">
        <v>1988359.8299999998</v>
      </c>
      <c r="AR805" s="564">
        <v>0.69579999999999997</v>
      </c>
    </row>
    <row r="806" spans="39:44">
      <c r="AM806" s="563">
        <f t="shared" ca="1" si="65"/>
        <v>45138</v>
      </c>
      <c r="AN806" s="564">
        <v>45</v>
      </c>
      <c r="AO806" s="564">
        <v>737674</v>
      </c>
      <c r="AP806" s="564">
        <v>44185.773999999998</v>
      </c>
      <c r="AQ806" s="564">
        <v>1988359.8299999998</v>
      </c>
      <c r="AR806" s="564">
        <v>0.69579999999999997</v>
      </c>
    </row>
    <row r="807" spans="39:44">
      <c r="AM807" s="563">
        <f t="shared" ca="1" si="65"/>
        <v>45137</v>
      </c>
      <c r="AN807" s="564">
        <v>44.84</v>
      </c>
      <c r="AO807" s="564">
        <v>708858</v>
      </c>
      <c r="AP807" s="564">
        <v>44185.773999999998</v>
      </c>
      <c r="AQ807" s="564">
        <v>1981290.10616</v>
      </c>
      <c r="AR807" s="564">
        <v>0.69330000000000003</v>
      </c>
    </row>
    <row r="808" spans="39:44">
      <c r="AM808" s="563">
        <f t="shared" ca="1" si="65"/>
        <v>45136</v>
      </c>
      <c r="AN808" s="564">
        <v>44.65</v>
      </c>
      <c r="AO808" s="564">
        <v>678724</v>
      </c>
      <c r="AP808" s="564">
        <v>44185.773999999998</v>
      </c>
      <c r="AQ808" s="564">
        <v>1972894.8090999997</v>
      </c>
      <c r="AR808" s="564">
        <v>0.69040000000000001</v>
      </c>
    </row>
    <row r="809" spans="39:44">
      <c r="AM809" s="563">
        <f t="shared" ca="1" si="65"/>
        <v>45135</v>
      </c>
      <c r="AN809" s="564">
        <v>44.42</v>
      </c>
      <c r="AO809" s="564">
        <v>722536</v>
      </c>
      <c r="AP809" s="564">
        <v>44185.773999999998</v>
      </c>
      <c r="AQ809" s="564">
        <v>1962732.0810799999</v>
      </c>
      <c r="AR809" s="564">
        <v>0.68679999999999997</v>
      </c>
    </row>
    <row r="810" spans="39:44">
      <c r="AM810" s="563">
        <f t="shared" ca="1" si="65"/>
        <v>45134</v>
      </c>
      <c r="AN810" s="564">
        <v>45.31</v>
      </c>
      <c r="AO810" s="564">
        <v>667393</v>
      </c>
      <c r="AP810" s="564">
        <v>44185.773999999998</v>
      </c>
      <c r="AQ810" s="564">
        <v>2002057.4199399999</v>
      </c>
      <c r="AR810" s="564">
        <v>0.7006</v>
      </c>
    </row>
    <row r="811" spans="39:44">
      <c r="AM811" s="563">
        <f t="shared" ca="1" si="65"/>
        <v>45133</v>
      </c>
      <c r="AN811" s="564">
        <v>44.42</v>
      </c>
      <c r="AO811" s="564">
        <v>758673</v>
      </c>
      <c r="AP811" s="564">
        <v>44185.773999999998</v>
      </c>
      <c r="AQ811" s="564">
        <v>1962732.0810799999</v>
      </c>
      <c r="AR811" s="564">
        <v>0.68679999999999997</v>
      </c>
    </row>
    <row r="812" spans="39:44">
      <c r="AM812" s="563">
        <f t="shared" ca="1" si="65"/>
        <v>45132</v>
      </c>
      <c r="AN812" s="564">
        <v>44.42</v>
      </c>
      <c r="AO812" s="564">
        <v>758673</v>
      </c>
      <c r="AP812" s="564">
        <v>44185.773999999998</v>
      </c>
      <c r="AQ812" s="564">
        <v>1962732.0810799999</v>
      </c>
      <c r="AR812" s="564">
        <v>0.68679999999999997</v>
      </c>
    </row>
    <row r="813" spans="39:44">
      <c r="AM813" s="563">
        <f t="shared" ca="1" si="65"/>
        <v>45131</v>
      </c>
      <c r="AN813" s="564">
        <v>44.42</v>
      </c>
      <c r="AO813" s="564">
        <v>758673</v>
      </c>
      <c r="AP813" s="564">
        <v>44185.773999999998</v>
      </c>
      <c r="AQ813" s="564">
        <v>1962732.0810799999</v>
      </c>
      <c r="AR813" s="564">
        <v>0.68679999999999997</v>
      </c>
    </row>
    <row r="814" spans="39:44">
      <c r="AM814" s="563">
        <f t="shared" ca="1" si="65"/>
        <v>45130</v>
      </c>
      <c r="AN814" s="564">
        <v>45.03</v>
      </c>
      <c r="AO814" s="564">
        <v>776608</v>
      </c>
      <c r="AP814" s="564">
        <v>44185.773999999998</v>
      </c>
      <c r="AQ814" s="564">
        <v>1989685.40322</v>
      </c>
      <c r="AR814" s="564">
        <v>0.69630000000000003</v>
      </c>
    </row>
    <row r="815" spans="39:44">
      <c r="AM815" s="563">
        <f t="shared" ca="1" si="65"/>
        <v>45129</v>
      </c>
      <c r="AN815" s="564">
        <v>45.04</v>
      </c>
      <c r="AO815" s="564">
        <v>1109385</v>
      </c>
      <c r="AP815" s="564">
        <v>44185.773999999998</v>
      </c>
      <c r="AQ815" s="564">
        <v>1990127.2609599999</v>
      </c>
      <c r="AR815" s="564">
        <v>0.69640000000000002</v>
      </c>
    </row>
    <row r="816" spans="39:44">
      <c r="AM816" s="563">
        <f t="shared" ca="1" si="65"/>
        <v>45128</v>
      </c>
      <c r="AN816" s="564">
        <v>46.08</v>
      </c>
      <c r="AO816" s="564">
        <v>938667</v>
      </c>
      <c r="AP816" s="564">
        <v>44185.773999999998</v>
      </c>
      <c r="AQ816" s="564">
        <v>2036080.4659199999</v>
      </c>
      <c r="AR816" s="564">
        <v>0.71250000000000002</v>
      </c>
    </row>
    <row r="817" spans="39:44">
      <c r="AM817" s="563">
        <f t="shared" ca="1" si="65"/>
        <v>45127</v>
      </c>
      <c r="AN817" s="564">
        <v>47.72</v>
      </c>
      <c r="AO817" s="564">
        <v>1531300</v>
      </c>
      <c r="AP817" s="564">
        <v>44185.773999999998</v>
      </c>
      <c r="AQ817" s="564">
        <v>2108545.13528</v>
      </c>
      <c r="AR817" s="564">
        <v>0.7379</v>
      </c>
    </row>
    <row r="818" spans="39:44">
      <c r="AM818" s="563">
        <f t="shared" ca="1" si="65"/>
        <v>45126</v>
      </c>
      <c r="AN818" s="564">
        <v>47.72</v>
      </c>
      <c r="AO818" s="564">
        <v>1531300</v>
      </c>
      <c r="AP818" s="564">
        <v>44185.773999999998</v>
      </c>
      <c r="AQ818" s="564">
        <v>2108545.13528</v>
      </c>
      <c r="AR818" s="564">
        <v>0.7379</v>
      </c>
    </row>
    <row r="819" spans="39:44">
      <c r="AM819" s="563">
        <f t="shared" ca="1" si="65"/>
        <v>45125</v>
      </c>
      <c r="AN819" s="564">
        <v>47.72</v>
      </c>
      <c r="AO819" s="564">
        <v>1531300</v>
      </c>
      <c r="AP819" s="564">
        <v>44185.773999999998</v>
      </c>
      <c r="AQ819" s="564">
        <v>2108545.13528</v>
      </c>
      <c r="AR819" s="564">
        <v>0.7379</v>
      </c>
    </row>
    <row r="820" spans="39:44">
      <c r="AM820" s="563">
        <f t="shared" ca="1" si="65"/>
        <v>45124</v>
      </c>
      <c r="AN820" s="564">
        <v>47.72</v>
      </c>
      <c r="AO820" s="564">
        <v>1531300</v>
      </c>
      <c r="AP820" s="564">
        <v>44185.773999999998</v>
      </c>
      <c r="AQ820" s="564">
        <v>2108545.13528</v>
      </c>
      <c r="AR820" s="564">
        <v>0.7379</v>
      </c>
    </row>
    <row r="821" spans="39:44">
      <c r="AM821" s="563">
        <f t="shared" ca="1" si="65"/>
        <v>45123</v>
      </c>
      <c r="AN821" s="564">
        <v>49.67</v>
      </c>
      <c r="AO821" s="564">
        <v>591294</v>
      </c>
      <c r="AP821" s="564">
        <v>44185.773999999998</v>
      </c>
      <c r="AQ821" s="564">
        <v>2194707.3945800001</v>
      </c>
      <c r="AR821" s="564">
        <v>0.76800000000000002</v>
      </c>
    </row>
    <row r="822" spans="39:44">
      <c r="AM822" s="563">
        <f t="shared" ca="1" si="65"/>
        <v>45122</v>
      </c>
      <c r="AN822" s="564">
        <v>49.48</v>
      </c>
      <c r="AO822" s="564">
        <v>689441</v>
      </c>
      <c r="AP822" s="564">
        <v>44185.773999999998</v>
      </c>
      <c r="AQ822" s="564">
        <v>2186312.0975199998</v>
      </c>
      <c r="AR822" s="564">
        <v>0.7651</v>
      </c>
    </row>
    <row r="823" spans="39:44">
      <c r="AM823" s="563">
        <f t="shared" ca="1" si="65"/>
        <v>45121</v>
      </c>
      <c r="AN823" s="564">
        <v>48.8</v>
      </c>
      <c r="AO823" s="564">
        <v>820961</v>
      </c>
      <c r="AP823" s="564">
        <v>44185.773999999998</v>
      </c>
      <c r="AQ823" s="564">
        <v>2156265.7711999998</v>
      </c>
      <c r="AR823" s="564">
        <v>0.75460000000000005</v>
      </c>
    </row>
    <row r="824" spans="39:44">
      <c r="AM824" s="563">
        <f t="shared" ca="1" si="65"/>
        <v>45120</v>
      </c>
      <c r="AN824" s="564">
        <v>49.6</v>
      </c>
      <c r="AO824" s="564">
        <v>552853</v>
      </c>
      <c r="AP824" s="564">
        <v>44185.773999999998</v>
      </c>
      <c r="AQ824" s="564">
        <v>2191614.3903999999</v>
      </c>
      <c r="AR824" s="564">
        <v>0.76690000000000003</v>
      </c>
    </row>
    <row r="825" spans="39:44">
      <c r="AM825" s="563">
        <f t="shared" ca="1" si="65"/>
        <v>45119</v>
      </c>
      <c r="AN825" s="564">
        <v>49.41</v>
      </c>
      <c r="AO825" s="564">
        <v>782025</v>
      </c>
      <c r="AP825" s="564">
        <v>44185.773999999998</v>
      </c>
      <c r="AQ825" s="564">
        <v>2183219.0933399997</v>
      </c>
      <c r="AR825" s="564">
        <v>0.76400000000000001</v>
      </c>
    </row>
    <row r="826" spans="39:44">
      <c r="AM826" s="563">
        <f t="shared" ca="1" si="65"/>
        <v>45118</v>
      </c>
      <c r="AN826" s="564">
        <v>49.41</v>
      </c>
      <c r="AO826" s="564">
        <v>782025</v>
      </c>
      <c r="AP826" s="564">
        <v>44185.773999999998</v>
      </c>
      <c r="AQ826" s="564">
        <v>2183219.0933399997</v>
      </c>
      <c r="AR826" s="564">
        <v>0.76400000000000001</v>
      </c>
    </row>
    <row r="827" spans="39:44">
      <c r="AM827" s="563">
        <f t="shared" ca="1" si="65"/>
        <v>45117</v>
      </c>
      <c r="AN827" s="564">
        <v>49.41</v>
      </c>
      <c r="AO827" s="564">
        <v>782025</v>
      </c>
      <c r="AP827" s="564">
        <v>44185.773999999998</v>
      </c>
      <c r="AQ827" s="564">
        <v>2183219.0933399997</v>
      </c>
      <c r="AR827" s="564">
        <v>0.76400000000000001</v>
      </c>
    </row>
    <row r="828" spans="39:44">
      <c r="AM828" s="563">
        <f t="shared" ca="1" si="65"/>
        <v>45116</v>
      </c>
      <c r="AN828" s="564">
        <v>48.48</v>
      </c>
      <c r="AO828" s="564">
        <v>608379</v>
      </c>
      <c r="AP828" s="564">
        <v>44185.773999999998</v>
      </c>
      <c r="AQ828" s="564">
        <v>2142126.3235199996</v>
      </c>
      <c r="AR828" s="564">
        <v>0.74960000000000004</v>
      </c>
    </row>
    <row r="829" spans="39:44">
      <c r="AM829" s="563">
        <f t="shared" ca="1" si="65"/>
        <v>45115</v>
      </c>
      <c r="AN829" s="564">
        <v>47.96</v>
      </c>
      <c r="AO829" s="564">
        <v>787184</v>
      </c>
      <c r="AP829" s="564">
        <v>44185.773999999998</v>
      </c>
      <c r="AQ829" s="564">
        <v>2119149.7210399997</v>
      </c>
      <c r="AR829" s="564">
        <v>0.74160000000000004</v>
      </c>
    </row>
    <row r="830" spans="39:44">
      <c r="AM830" s="563">
        <f t="shared" ca="1" si="65"/>
        <v>45114</v>
      </c>
      <c r="AN830" s="564">
        <v>46.96</v>
      </c>
      <c r="AO830" s="564">
        <v>647918</v>
      </c>
      <c r="AP830" s="564">
        <v>44185.773999999998</v>
      </c>
      <c r="AQ830" s="564">
        <v>2074963.94704</v>
      </c>
      <c r="AR830" s="564">
        <v>0.72609999999999997</v>
      </c>
    </row>
    <row r="831" spans="39:44">
      <c r="AM831" s="563">
        <f t="shared" ca="1" si="65"/>
        <v>45113</v>
      </c>
      <c r="AN831" s="564">
        <v>47.09</v>
      </c>
      <c r="AO831" s="564">
        <v>584788</v>
      </c>
      <c r="AP831" s="564">
        <v>44185.773999999998</v>
      </c>
      <c r="AQ831" s="564">
        <v>2080708.09766</v>
      </c>
      <c r="AR831" s="564">
        <v>0.72809999999999997</v>
      </c>
    </row>
    <row r="832" spans="39:44">
      <c r="AM832" s="563">
        <f t="shared" ca="1" si="65"/>
        <v>45112</v>
      </c>
      <c r="AN832" s="564">
        <v>47.56</v>
      </c>
      <c r="AO832" s="564">
        <v>540676</v>
      </c>
      <c r="AP832" s="564">
        <v>44185.773999999998</v>
      </c>
      <c r="AQ832" s="564">
        <v>2101475.4114399999</v>
      </c>
      <c r="AR832" s="564">
        <v>0.75819999999999999</v>
      </c>
    </row>
    <row r="833" spans="39:44">
      <c r="AM833" s="563">
        <f t="shared" ca="1" si="65"/>
        <v>45111</v>
      </c>
      <c r="AN833" s="564">
        <v>47.56</v>
      </c>
      <c r="AO833" s="564">
        <v>540676</v>
      </c>
      <c r="AP833" s="564">
        <v>44185.773999999998</v>
      </c>
      <c r="AQ833" s="564">
        <v>2101475.4114399999</v>
      </c>
      <c r="AR833" s="564">
        <v>0.75819999999999999</v>
      </c>
    </row>
    <row r="834" spans="39:44">
      <c r="AM834" s="563">
        <f t="shared" ca="1" si="65"/>
        <v>45110</v>
      </c>
      <c r="AN834" s="564">
        <v>47.56</v>
      </c>
      <c r="AO834" s="564">
        <v>540676</v>
      </c>
      <c r="AP834" s="564">
        <v>44185.773999999998</v>
      </c>
      <c r="AQ834" s="564">
        <v>2101475.4114399999</v>
      </c>
      <c r="AR834" s="564">
        <v>0.75819999999999999</v>
      </c>
    </row>
    <row r="835" spans="39:44">
      <c r="AM835" s="563">
        <f t="shared" ca="1" si="65"/>
        <v>45109</v>
      </c>
      <c r="AN835" s="564">
        <v>47.05</v>
      </c>
      <c r="AO835" s="564">
        <v>590376</v>
      </c>
      <c r="AP835" s="564">
        <v>44185.773999999998</v>
      </c>
      <c r="AQ835" s="564">
        <v>2078940.6666999997</v>
      </c>
      <c r="AR835" s="564">
        <v>0.75009999999999999</v>
      </c>
    </row>
    <row r="836" spans="39:44">
      <c r="AM836" s="563">
        <f t="shared" ca="1" si="65"/>
        <v>45108</v>
      </c>
      <c r="AN836" s="564">
        <v>47.55</v>
      </c>
      <c r="AO836" s="564">
        <v>868113</v>
      </c>
      <c r="AP836" s="564">
        <v>44185.773999999998</v>
      </c>
      <c r="AQ836" s="564">
        <v>2101033.5536999996</v>
      </c>
      <c r="AR836" s="564">
        <v>0.7581</v>
      </c>
    </row>
    <row r="837" spans="39:44">
      <c r="AM837" s="563">
        <f t="shared" ref="AM837:AM900" ca="1" si="66">AM836-1</f>
        <v>45107</v>
      </c>
      <c r="AN837" s="564">
        <v>47.48</v>
      </c>
      <c r="AO837" s="564">
        <v>586865</v>
      </c>
      <c r="AP837" s="564">
        <v>44185.773999999998</v>
      </c>
      <c r="AQ837" s="564">
        <v>2097940.5495199999</v>
      </c>
      <c r="AR837" s="564">
        <v>0.75700000000000001</v>
      </c>
    </row>
    <row r="838" spans="39:44">
      <c r="AM838" s="563">
        <f t="shared" ca="1" si="66"/>
        <v>45106</v>
      </c>
      <c r="AN838" s="564">
        <v>48.62</v>
      </c>
      <c r="AO838" s="564">
        <v>771504</v>
      </c>
      <c r="AP838" s="564">
        <v>44185.773999999998</v>
      </c>
      <c r="AQ838" s="564">
        <v>2148312.33188</v>
      </c>
      <c r="AR838" s="564">
        <v>0.77510000000000001</v>
      </c>
    </row>
    <row r="839" spans="39:44">
      <c r="AM839" s="563">
        <f t="shared" ca="1" si="66"/>
        <v>45105</v>
      </c>
      <c r="AN839" s="564">
        <v>48.62</v>
      </c>
      <c r="AO839" s="564">
        <v>771504</v>
      </c>
      <c r="AP839" s="564">
        <v>44185.773999999998</v>
      </c>
      <c r="AQ839" s="564">
        <v>2148312.33188</v>
      </c>
      <c r="AR839" s="564">
        <v>0.77510000000000001</v>
      </c>
    </row>
    <row r="840" spans="39:44">
      <c r="AM840" s="563">
        <f t="shared" ca="1" si="66"/>
        <v>45104</v>
      </c>
      <c r="AN840" s="564">
        <v>48.62</v>
      </c>
      <c r="AO840" s="564">
        <v>771504</v>
      </c>
      <c r="AP840" s="564">
        <v>44185.773999999998</v>
      </c>
      <c r="AQ840" s="564">
        <v>2148312.33188</v>
      </c>
      <c r="AR840" s="564">
        <v>0.77510000000000001</v>
      </c>
    </row>
    <row r="841" spans="39:44">
      <c r="AM841" s="563">
        <f t="shared" ca="1" si="66"/>
        <v>45103</v>
      </c>
      <c r="AN841" s="564">
        <v>48.62</v>
      </c>
      <c r="AO841" s="564">
        <v>771504</v>
      </c>
      <c r="AP841" s="564">
        <v>44185.773999999998</v>
      </c>
      <c r="AQ841" s="564">
        <v>2148312.33188</v>
      </c>
      <c r="AR841" s="564">
        <v>0.77510000000000001</v>
      </c>
    </row>
    <row r="842" spans="39:44">
      <c r="AM842" s="563">
        <f t="shared" ca="1" si="66"/>
        <v>45102</v>
      </c>
      <c r="AN842" s="564">
        <v>49.57</v>
      </c>
      <c r="AO842" s="564">
        <v>497419</v>
      </c>
      <c r="AP842" s="564">
        <v>44185.773999999998</v>
      </c>
      <c r="AQ842" s="564">
        <v>2190288.8171799998</v>
      </c>
      <c r="AR842" s="564">
        <v>0.7903</v>
      </c>
    </row>
    <row r="843" spans="39:44">
      <c r="AM843" s="563">
        <f t="shared" ca="1" si="66"/>
        <v>45101</v>
      </c>
      <c r="AN843" s="564">
        <v>48.33</v>
      </c>
      <c r="AO843" s="564">
        <v>610155</v>
      </c>
      <c r="AP843" s="564">
        <v>44185.773999999998</v>
      </c>
      <c r="AQ843" s="564">
        <v>2135498.4574199999</v>
      </c>
      <c r="AR843" s="564">
        <v>0.77049999999999996</v>
      </c>
    </row>
    <row r="844" spans="39:44">
      <c r="AM844" s="563">
        <f t="shared" ca="1" si="66"/>
        <v>45100</v>
      </c>
      <c r="AN844" s="564">
        <v>48.79</v>
      </c>
      <c r="AO844" s="564">
        <v>819813</v>
      </c>
      <c r="AP844" s="564">
        <v>44185.773999999998</v>
      </c>
      <c r="AQ844" s="564">
        <v>2155823.91346</v>
      </c>
      <c r="AR844" s="564">
        <v>0.77780000000000005</v>
      </c>
    </row>
    <row r="845" spans="39:44">
      <c r="AM845" s="563">
        <f t="shared" ca="1" si="66"/>
        <v>45099</v>
      </c>
      <c r="AN845" s="564">
        <v>48.16</v>
      </c>
      <c r="AO845" s="564">
        <v>681192</v>
      </c>
      <c r="AP845" s="564">
        <v>44185.773999999998</v>
      </c>
      <c r="AQ845" s="564">
        <v>2127986.8758399999</v>
      </c>
      <c r="AR845" s="564">
        <v>0.76780000000000004</v>
      </c>
    </row>
    <row r="846" spans="39:44">
      <c r="AM846" s="563">
        <f t="shared" ca="1" si="66"/>
        <v>45098</v>
      </c>
      <c r="AN846" s="564">
        <v>48.12</v>
      </c>
      <c r="AO846" s="564">
        <v>718808</v>
      </c>
      <c r="AP846" s="564">
        <v>44185.773999999998</v>
      </c>
      <c r="AQ846" s="564">
        <v>2126219.4448799998</v>
      </c>
      <c r="AR846" s="564">
        <v>0.76719999999999999</v>
      </c>
    </row>
    <row r="847" spans="39:44">
      <c r="AM847" s="563">
        <f t="shared" ca="1" si="66"/>
        <v>45097</v>
      </c>
      <c r="AN847" s="564">
        <v>48.12</v>
      </c>
      <c r="AO847" s="564">
        <v>718808</v>
      </c>
      <c r="AP847" s="564">
        <v>44185.773999999998</v>
      </c>
      <c r="AQ847" s="564">
        <v>2126219.4448799998</v>
      </c>
      <c r="AR847" s="564">
        <v>0.76719999999999999</v>
      </c>
    </row>
    <row r="848" spans="39:44">
      <c r="AM848" s="563">
        <f t="shared" ca="1" si="66"/>
        <v>45096</v>
      </c>
      <c r="AN848" s="564">
        <v>48.12</v>
      </c>
      <c r="AO848" s="564">
        <v>718808</v>
      </c>
      <c r="AP848" s="564">
        <v>44185.773999999998</v>
      </c>
      <c r="AQ848" s="564">
        <v>2126219.4448799998</v>
      </c>
      <c r="AR848" s="564">
        <v>0.76719999999999999</v>
      </c>
    </row>
    <row r="849" spans="39:44">
      <c r="AM849" s="563">
        <f t="shared" ca="1" si="66"/>
        <v>45095</v>
      </c>
      <c r="AN849" s="564">
        <v>47.96</v>
      </c>
      <c r="AO849" s="564">
        <v>837516</v>
      </c>
      <c r="AP849" s="564">
        <v>44185.773999999998</v>
      </c>
      <c r="AQ849" s="564">
        <v>2119149.7210399997</v>
      </c>
      <c r="AR849" s="564">
        <v>0.76459999999999995</v>
      </c>
    </row>
    <row r="850" spans="39:44">
      <c r="AM850" s="563">
        <f t="shared" ca="1" si="66"/>
        <v>45094</v>
      </c>
      <c r="AN850" s="564">
        <v>47.75</v>
      </c>
      <c r="AO850" s="564">
        <v>637696</v>
      </c>
      <c r="AP850" s="564">
        <v>44185.773999999998</v>
      </c>
      <c r="AQ850" s="564">
        <v>2109870.7084999997</v>
      </c>
      <c r="AR850" s="564">
        <v>0.76129999999999998</v>
      </c>
    </row>
    <row r="851" spans="39:44">
      <c r="AM851" s="563">
        <f t="shared" ca="1" si="66"/>
        <v>45093</v>
      </c>
      <c r="AN851" s="564">
        <v>46.41</v>
      </c>
      <c r="AO851" s="564">
        <v>602825</v>
      </c>
      <c r="AP851" s="564">
        <v>44185.773999999998</v>
      </c>
      <c r="AQ851" s="564">
        <v>2050661.7713399997</v>
      </c>
      <c r="AR851" s="564">
        <v>0.7399</v>
      </c>
    </row>
    <row r="852" spans="39:44">
      <c r="AM852" s="563">
        <f t="shared" ca="1" si="66"/>
        <v>45092</v>
      </c>
      <c r="AN852" s="564">
        <v>46.72</v>
      </c>
      <c r="AO852" s="564">
        <v>610614</v>
      </c>
      <c r="AP852" s="564">
        <v>44185.773999999998</v>
      </c>
      <c r="AQ852" s="564">
        <v>2064359.3612799998</v>
      </c>
      <c r="AR852" s="564">
        <v>0.74480000000000002</v>
      </c>
    </row>
    <row r="853" spans="39:44">
      <c r="AM853" s="563">
        <f t="shared" ca="1" si="66"/>
        <v>45091</v>
      </c>
      <c r="AN853" s="564">
        <v>47.05</v>
      </c>
      <c r="AO853" s="564">
        <v>490183</v>
      </c>
      <c r="AP853" s="564">
        <v>44185.773999999998</v>
      </c>
      <c r="AQ853" s="564">
        <v>2078940.6666999997</v>
      </c>
      <c r="AR853" s="564">
        <v>0.75009999999999999</v>
      </c>
    </row>
    <row r="854" spans="39:44">
      <c r="AM854" s="563">
        <f t="shared" ca="1" si="66"/>
        <v>45090</v>
      </c>
      <c r="AN854" s="564">
        <v>47.05</v>
      </c>
      <c r="AO854" s="564">
        <v>490183</v>
      </c>
      <c r="AP854" s="564">
        <v>44185.773999999998</v>
      </c>
      <c r="AQ854" s="564">
        <v>2078940.6666999997</v>
      </c>
      <c r="AR854" s="564">
        <v>0.75009999999999999</v>
      </c>
    </row>
    <row r="855" spans="39:44">
      <c r="AM855" s="563">
        <f t="shared" ca="1" si="66"/>
        <v>45089</v>
      </c>
      <c r="AN855" s="564">
        <v>47.05</v>
      </c>
      <c r="AO855" s="564">
        <v>490183</v>
      </c>
      <c r="AP855" s="564">
        <v>44185.773999999998</v>
      </c>
      <c r="AQ855" s="564">
        <v>2078940.6666999997</v>
      </c>
      <c r="AR855" s="564">
        <v>0.75009999999999999</v>
      </c>
    </row>
    <row r="856" spans="39:44">
      <c r="AM856" s="563">
        <f t="shared" ca="1" si="66"/>
        <v>45088</v>
      </c>
      <c r="AN856" s="564">
        <v>47.9</v>
      </c>
      <c r="AO856" s="564">
        <v>830091</v>
      </c>
      <c r="AP856" s="564">
        <v>44185.773999999998</v>
      </c>
      <c r="AQ856" s="564">
        <v>2116498.5745999999</v>
      </c>
      <c r="AR856" s="564">
        <v>0.76359999999999995</v>
      </c>
    </row>
    <row r="857" spans="39:44">
      <c r="AM857" s="563">
        <f t="shared" ca="1" si="66"/>
        <v>45087</v>
      </c>
      <c r="AN857" s="564">
        <v>47.72</v>
      </c>
      <c r="AO857" s="564">
        <v>710783</v>
      </c>
      <c r="AP857" s="564">
        <v>44185.773999999998</v>
      </c>
      <c r="AQ857" s="564">
        <v>2108545.13528</v>
      </c>
      <c r="AR857" s="564">
        <v>0.76080000000000003</v>
      </c>
    </row>
    <row r="858" spans="39:44">
      <c r="AM858" s="563">
        <f t="shared" ca="1" si="66"/>
        <v>45086</v>
      </c>
      <c r="AN858" s="564">
        <v>46.68</v>
      </c>
      <c r="AO858" s="564">
        <v>743793</v>
      </c>
      <c r="AP858" s="564">
        <v>44185.773999999998</v>
      </c>
      <c r="AQ858" s="564">
        <v>2062591.9303199998</v>
      </c>
      <c r="AR858" s="564">
        <v>0.74419999999999997</v>
      </c>
    </row>
    <row r="859" spans="39:44">
      <c r="AM859" s="563">
        <f t="shared" ca="1" si="66"/>
        <v>45085</v>
      </c>
      <c r="AN859" s="564">
        <v>48.6</v>
      </c>
      <c r="AO859" s="564">
        <v>698268</v>
      </c>
      <c r="AP859" s="564">
        <v>44185.773999999998</v>
      </c>
      <c r="AQ859" s="564">
        <v>2147428.6164000002</v>
      </c>
      <c r="AR859" s="564">
        <v>0.77480000000000004</v>
      </c>
    </row>
    <row r="860" spans="39:44">
      <c r="AM860" s="563">
        <f t="shared" ca="1" si="66"/>
        <v>45084</v>
      </c>
      <c r="AN860" s="564">
        <v>50.42</v>
      </c>
      <c r="AO860" s="564">
        <v>1132428</v>
      </c>
      <c r="AP860" s="564">
        <v>44185.773999999998</v>
      </c>
      <c r="AQ860" s="564">
        <v>2227846.7250799998</v>
      </c>
      <c r="AR860" s="564">
        <v>0.80379999999999996</v>
      </c>
    </row>
    <row r="861" spans="39:44">
      <c r="AM861" s="563">
        <f t="shared" ca="1" si="66"/>
        <v>45083</v>
      </c>
      <c r="AN861" s="564">
        <v>50.42</v>
      </c>
      <c r="AO861" s="564">
        <v>1132428</v>
      </c>
      <c r="AP861" s="564">
        <v>44185.773999999998</v>
      </c>
      <c r="AQ861" s="564">
        <v>2227846.7250799998</v>
      </c>
      <c r="AR861" s="564">
        <v>0.80379999999999996</v>
      </c>
    </row>
    <row r="862" spans="39:44">
      <c r="AM862" s="563">
        <f t="shared" ca="1" si="66"/>
        <v>45082</v>
      </c>
      <c r="AN862" s="564">
        <v>50.42</v>
      </c>
      <c r="AO862" s="564">
        <v>1132428</v>
      </c>
      <c r="AP862" s="564">
        <v>44185.773999999998</v>
      </c>
      <c r="AQ862" s="564">
        <v>2227846.7250799998</v>
      </c>
      <c r="AR862" s="564">
        <v>0.80379999999999996</v>
      </c>
    </row>
    <row r="863" spans="39:44">
      <c r="AM863" s="563">
        <f t="shared" ca="1" si="66"/>
        <v>45081</v>
      </c>
      <c r="AN863" s="564">
        <v>48.68</v>
      </c>
      <c r="AO863" s="564">
        <v>820662</v>
      </c>
      <c r="AP863" s="564">
        <v>44185.773999999998</v>
      </c>
      <c r="AQ863" s="564">
        <v>2150963.4783199998</v>
      </c>
      <c r="AR863" s="564">
        <v>0.77610000000000001</v>
      </c>
    </row>
    <row r="864" spans="39:44">
      <c r="AM864" s="563">
        <f t="shared" ca="1" si="66"/>
        <v>45080</v>
      </c>
      <c r="AN864" s="564">
        <v>47.52</v>
      </c>
      <c r="AO864" s="564">
        <v>1372917</v>
      </c>
      <c r="AP864" s="564">
        <v>44185.773999999998</v>
      </c>
      <c r="AQ864" s="564">
        <v>2099707.9804799999</v>
      </c>
      <c r="AR864" s="564">
        <v>0.75760000000000005</v>
      </c>
    </row>
    <row r="865" spans="39:44">
      <c r="AM865" s="563">
        <f t="shared" ca="1" si="66"/>
        <v>45079</v>
      </c>
      <c r="AN865" s="564">
        <v>46.4</v>
      </c>
      <c r="AO865" s="564">
        <v>1427351</v>
      </c>
      <c r="AP865" s="564">
        <v>44185.773999999998</v>
      </c>
      <c r="AQ865" s="564">
        <v>2050219.9135999999</v>
      </c>
      <c r="AR865" s="564">
        <v>0.73970000000000002</v>
      </c>
    </row>
    <row r="866" spans="39:44">
      <c r="AM866" s="563">
        <f t="shared" ca="1" si="66"/>
        <v>45078</v>
      </c>
      <c r="AN866" s="564">
        <v>46.78</v>
      </c>
      <c r="AO866" s="564">
        <v>1103208</v>
      </c>
      <c r="AP866" s="564">
        <v>44185.773999999998</v>
      </c>
      <c r="AQ866" s="564">
        <v>2067010.5077199999</v>
      </c>
      <c r="AR866" s="564">
        <v>0.74580000000000002</v>
      </c>
    </row>
    <row r="867" spans="39:44">
      <c r="AM867" s="563">
        <f t="shared" ca="1" si="66"/>
        <v>45077</v>
      </c>
      <c r="AN867" s="564">
        <v>47.5</v>
      </c>
      <c r="AO867" s="564">
        <v>1255836</v>
      </c>
      <c r="AP867" s="564">
        <v>44185.773999999998</v>
      </c>
      <c r="AQ867" s="564">
        <v>2098824.2649999997</v>
      </c>
      <c r="AR867" s="564">
        <v>0.75729999999999997</v>
      </c>
    </row>
    <row r="868" spans="39:44">
      <c r="AM868" s="563">
        <f t="shared" ca="1" si="66"/>
        <v>45076</v>
      </c>
      <c r="AN868" s="564">
        <v>47.5</v>
      </c>
      <c r="AO868" s="564">
        <v>1255836</v>
      </c>
      <c r="AP868" s="564">
        <v>44185.773999999998</v>
      </c>
      <c r="AQ868" s="564">
        <v>2098824.2649999997</v>
      </c>
      <c r="AR868" s="564">
        <v>0.75729999999999997</v>
      </c>
    </row>
    <row r="869" spans="39:44">
      <c r="AM869" s="563">
        <f t="shared" ca="1" si="66"/>
        <v>45075</v>
      </c>
      <c r="AN869" s="564">
        <v>47.5</v>
      </c>
      <c r="AO869" s="564">
        <v>1255836</v>
      </c>
      <c r="AP869" s="564">
        <v>44185.773999999998</v>
      </c>
      <c r="AQ869" s="564">
        <v>2098824.2649999997</v>
      </c>
      <c r="AR869" s="564">
        <v>0.75729999999999997</v>
      </c>
    </row>
    <row r="870" spans="39:44">
      <c r="AM870" s="563">
        <f t="shared" ca="1" si="66"/>
        <v>45074</v>
      </c>
      <c r="AN870" s="564">
        <v>48.12</v>
      </c>
      <c r="AO870" s="564">
        <v>1354745</v>
      </c>
      <c r="AP870" s="564">
        <v>44185.773999999998</v>
      </c>
      <c r="AQ870" s="564">
        <v>2126219.4448799998</v>
      </c>
      <c r="AR870" s="564">
        <v>0.76719999999999999</v>
      </c>
    </row>
    <row r="871" spans="39:44">
      <c r="AM871" s="563">
        <f t="shared" ca="1" si="66"/>
        <v>45073</v>
      </c>
      <c r="AN871" s="564">
        <v>49.61</v>
      </c>
      <c r="AO871" s="564">
        <v>3052133</v>
      </c>
      <c r="AP871" s="564">
        <v>44185.773999999998</v>
      </c>
      <c r="AQ871" s="564">
        <v>2192056.2481399998</v>
      </c>
      <c r="AR871" s="564">
        <v>0.79090000000000005</v>
      </c>
    </row>
    <row r="872" spans="39:44">
      <c r="AM872" s="563">
        <f t="shared" ca="1" si="66"/>
        <v>45072</v>
      </c>
      <c r="AN872" s="564">
        <v>49.75</v>
      </c>
      <c r="AO872" s="564">
        <v>2825470</v>
      </c>
      <c r="AP872" s="564">
        <v>44185.773999999998</v>
      </c>
      <c r="AQ872" s="564">
        <v>2198242.2564999997</v>
      </c>
      <c r="AR872" s="564">
        <v>0.79310000000000003</v>
      </c>
    </row>
    <row r="873" spans="39:44">
      <c r="AM873" s="563">
        <f t="shared" ca="1" si="66"/>
        <v>45071</v>
      </c>
      <c r="AN873" s="564">
        <v>54.34</v>
      </c>
      <c r="AO873" s="564">
        <v>1636687</v>
      </c>
      <c r="AP873" s="564">
        <v>44185.773999999998</v>
      </c>
      <c r="AQ873" s="564">
        <v>2401054.9591600001</v>
      </c>
      <c r="AR873" s="564">
        <v>0.86629999999999996</v>
      </c>
    </row>
    <row r="874" spans="39:44">
      <c r="AM874" s="563">
        <f t="shared" ca="1" si="66"/>
        <v>45070</v>
      </c>
      <c r="AN874" s="564">
        <v>54.54</v>
      </c>
      <c r="AO874" s="564">
        <v>1088705</v>
      </c>
      <c r="AP874" s="564">
        <v>44185.773999999998</v>
      </c>
      <c r="AQ874" s="564">
        <v>2409892.1139599998</v>
      </c>
      <c r="AR874" s="564">
        <v>0.86950000000000005</v>
      </c>
    </row>
    <row r="875" spans="39:44">
      <c r="AM875" s="563">
        <f t="shared" ca="1" si="66"/>
        <v>45069</v>
      </c>
      <c r="AN875" s="564">
        <v>54.54</v>
      </c>
      <c r="AO875" s="564">
        <v>1088705</v>
      </c>
      <c r="AP875" s="564">
        <v>44185.773999999998</v>
      </c>
      <c r="AQ875" s="564">
        <v>2409892.1139599998</v>
      </c>
      <c r="AR875" s="564">
        <v>0.86950000000000005</v>
      </c>
    </row>
    <row r="876" spans="39:44">
      <c r="AM876" s="563">
        <f t="shared" ca="1" si="66"/>
        <v>45068</v>
      </c>
      <c r="AN876" s="564">
        <v>54.54</v>
      </c>
      <c r="AO876" s="564">
        <v>1088705</v>
      </c>
      <c r="AP876" s="564">
        <v>44185.773999999998</v>
      </c>
      <c r="AQ876" s="564">
        <v>2409892.1139599998</v>
      </c>
      <c r="AR876" s="564">
        <v>0.86950000000000005</v>
      </c>
    </row>
    <row r="877" spans="39:44">
      <c r="AM877" s="563">
        <f t="shared" ca="1" si="66"/>
        <v>45067</v>
      </c>
      <c r="AN877" s="564">
        <v>55.85</v>
      </c>
      <c r="AO877" s="564">
        <v>828610</v>
      </c>
      <c r="AP877" s="564">
        <v>44185.773999999998</v>
      </c>
      <c r="AQ877" s="564">
        <v>2467775.4778999998</v>
      </c>
      <c r="AR877" s="564">
        <v>0.89039999999999997</v>
      </c>
    </row>
    <row r="878" spans="39:44">
      <c r="AM878" s="563">
        <f t="shared" ca="1" si="66"/>
        <v>45066</v>
      </c>
      <c r="AN878" s="564">
        <v>56.55</v>
      </c>
      <c r="AO878" s="564">
        <v>1101172</v>
      </c>
      <c r="AP878" s="564">
        <v>44185.773999999998</v>
      </c>
      <c r="AQ878" s="564">
        <v>2498705.5196999996</v>
      </c>
      <c r="AR878" s="564">
        <v>0.90159999999999996</v>
      </c>
    </row>
    <row r="879" spans="39:44">
      <c r="AM879" s="563">
        <f t="shared" ca="1" si="66"/>
        <v>45065</v>
      </c>
      <c r="AN879" s="564">
        <v>57.15</v>
      </c>
      <c r="AO879" s="564">
        <v>871477</v>
      </c>
      <c r="AP879" s="564">
        <v>44185.773999999998</v>
      </c>
      <c r="AQ879" s="564">
        <v>2525216.9841</v>
      </c>
      <c r="AR879" s="564">
        <v>0.91110000000000002</v>
      </c>
    </row>
    <row r="880" spans="39:44">
      <c r="AM880" s="563">
        <f t="shared" ca="1" si="66"/>
        <v>45064</v>
      </c>
      <c r="AN880" s="564">
        <v>56.04</v>
      </c>
      <c r="AO880" s="564">
        <v>760636</v>
      </c>
      <c r="AP880" s="564">
        <v>44185.773999999998</v>
      </c>
      <c r="AQ880" s="564">
        <v>2476170.7749599996</v>
      </c>
      <c r="AR880" s="564">
        <v>0.89339999999999997</v>
      </c>
    </row>
    <row r="881" spans="39:44">
      <c r="AM881" s="563">
        <f t="shared" ca="1" si="66"/>
        <v>45063</v>
      </c>
      <c r="AN881" s="564">
        <v>55.36</v>
      </c>
      <c r="AO881" s="564">
        <v>829606</v>
      </c>
      <c r="AP881" s="564">
        <v>44185.773999999998</v>
      </c>
      <c r="AQ881" s="564">
        <v>2446124.4486400001</v>
      </c>
      <c r="AR881" s="564">
        <v>0.88260000000000005</v>
      </c>
    </row>
    <row r="882" spans="39:44">
      <c r="AM882" s="563">
        <f t="shared" ca="1" si="66"/>
        <v>45062</v>
      </c>
      <c r="AN882" s="564">
        <v>55.36</v>
      </c>
      <c r="AO882" s="564">
        <v>829606</v>
      </c>
      <c r="AP882" s="564">
        <v>44185.773999999998</v>
      </c>
      <c r="AQ882" s="564">
        <v>2446124.4486400001</v>
      </c>
      <c r="AR882" s="564">
        <v>0.88260000000000005</v>
      </c>
    </row>
    <row r="883" spans="39:44">
      <c r="AM883" s="563">
        <f t="shared" ca="1" si="66"/>
        <v>45061</v>
      </c>
      <c r="AN883" s="564">
        <v>55.36</v>
      </c>
      <c r="AO883" s="564">
        <v>829606</v>
      </c>
      <c r="AP883" s="564">
        <v>44185.773999999998</v>
      </c>
      <c r="AQ883" s="564">
        <v>2446124.4486400001</v>
      </c>
      <c r="AR883" s="564">
        <v>0.88260000000000005</v>
      </c>
    </row>
    <row r="884" spans="39:44">
      <c r="AM884" s="563">
        <f t="shared" ca="1" si="66"/>
        <v>45060</v>
      </c>
      <c r="AN884" s="564">
        <v>56.075000000000003</v>
      </c>
      <c r="AO884" s="564">
        <v>1220488</v>
      </c>
      <c r="AP884" s="564">
        <v>44185.773999999998</v>
      </c>
      <c r="AQ884" s="564">
        <v>2477717.2770500001</v>
      </c>
      <c r="AR884" s="564">
        <v>0.89400000000000002</v>
      </c>
    </row>
    <row r="885" spans="39:44">
      <c r="AM885" s="563">
        <f t="shared" ca="1" si="66"/>
        <v>45059</v>
      </c>
      <c r="AN885" s="564">
        <v>57.09</v>
      </c>
      <c r="AO885" s="564">
        <v>1071287</v>
      </c>
      <c r="AP885" s="564">
        <v>44185.773999999998</v>
      </c>
      <c r="AQ885" s="564">
        <v>2522565.8376600002</v>
      </c>
      <c r="AR885" s="564">
        <v>0.91020000000000001</v>
      </c>
    </row>
    <row r="886" spans="39:44">
      <c r="AM886" s="563">
        <f t="shared" ca="1" si="66"/>
        <v>45058</v>
      </c>
      <c r="AN886" s="564">
        <v>57.56</v>
      </c>
      <c r="AO886" s="564">
        <v>1187897</v>
      </c>
      <c r="AP886" s="564">
        <v>44185.773999999998</v>
      </c>
      <c r="AQ886" s="564">
        <v>2543333.1514400002</v>
      </c>
      <c r="AR886" s="564">
        <v>0.91769999999999996</v>
      </c>
    </row>
    <row r="887" spans="39:44">
      <c r="AM887" s="563">
        <f t="shared" ca="1" si="66"/>
        <v>45057</v>
      </c>
      <c r="AN887" s="564">
        <v>56.52</v>
      </c>
      <c r="AO887" s="564">
        <v>872833</v>
      </c>
      <c r="AP887" s="564">
        <v>44185.773999999998</v>
      </c>
      <c r="AQ887" s="564">
        <v>2497379.9464799999</v>
      </c>
      <c r="AR887" s="564">
        <v>0.90110000000000001</v>
      </c>
    </row>
    <row r="888" spans="39:44">
      <c r="AM888" s="563">
        <f t="shared" ca="1" si="66"/>
        <v>45056</v>
      </c>
      <c r="AN888" s="564">
        <v>55.704999999999998</v>
      </c>
      <c r="AO888" s="564">
        <v>824380</v>
      </c>
      <c r="AP888" s="564">
        <v>44185.773999999998</v>
      </c>
      <c r="AQ888" s="564">
        <v>2461368.54067</v>
      </c>
      <c r="AR888" s="564">
        <v>0.8881</v>
      </c>
    </row>
    <row r="889" spans="39:44">
      <c r="AM889" s="563">
        <f t="shared" ca="1" si="66"/>
        <v>45055</v>
      </c>
      <c r="AN889" s="564">
        <v>55.704999999999998</v>
      </c>
      <c r="AO889" s="564">
        <v>824380</v>
      </c>
      <c r="AP889" s="564">
        <v>44185.773999999998</v>
      </c>
      <c r="AQ889" s="564">
        <v>2461368.54067</v>
      </c>
      <c r="AR889" s="564">
        <v>0.8881</v>
      </c>
    </row>
    <row r="890" spans="39:44">
      <c r="AM890" s="563">
        <f t="shared" ca="1" si="66"/>
        <v>45054</v>
      </c>
      <c r="AN890" s="564">
        <v>55.704999999999998</v>
      </c>
      <c r="AO890" s="564">
        <v>824380</v>
      </c>
      <c r="AP890" s="564">
        <v>44185.773999999998</v>
      </c>
      <c r="AQ890" s="564">
        <v>2461368.54067</v>
      </c>
      <c r="AR890" s="564">
        <v>0.8881</v>
      </c>
    </row>
    <row r="891" spans="39:44">
      <c r="AM891" s="563">
        <f t="shared" ca="1" si="66"/>
        <v>45053</v>
      </c>
      <c r="AN891" s="564">
        <v>55.704999999999998</v>
      </c>
      <c r="AO891" s="564">
        <v>824380</v>
      </c>
      <c r="AP891" s="564">
        <v>44185.773999999998</v>
      </c>
      <c r="AQ891" s="564">
        <v>2461368.54067</v>
      </c>
      <c r="AR891" s="564">
        <v>0.8881</v>
      </c>
    </row>
    <row r="892" spans="39:44">
      <c r="AM892" s="563">
        <f t="shared" ca="1" si="66"/>
        <v>45052</v>
      </c>
      <c r="AN892" s="564">
        <v>55.38</v>
      </c>
      <c r="AO892" s="564">
        <v>1233696</v>
      </c>
      <c r="AP892" s="564">
        <v>44185.773999999998</v>
      </c>
      <c r="AQ892" s="564">
        <v>2447008.1641199999</v>
      </c>
      <c r="AR892" s="564">
        <v>0.88290000000000002</v>
      </c>
    </row>
    <row r="893" spans="39:44">
      <c r="AM893" s="563">
        <f t="shared" ca="1" si="66"/>
        <v>45051</v>
      </c>
      <c r="AN893" s="564">
        <v>56.86</v>
      </c>
      <c r="AO893" s="564">
        <v>1465251</v>
      </c>
      <c r="AP893" s="564">
        <v>44185.773999999998</v>
      </c>
      <c r="AQ893" s="564">
        <v>2512403.1096399999</v>
      </c>
      <c r="AR893" s="564">
        <v>0.90649999999999997</v>
      </c>
    </row>
    <row r="894" spans="39:44">
      <c r="AM894" s="563">
        <f t="shared" ca="1" si="66"/>
        <v>45050</v>
      </c>
      <c r="AN894" s="564">
        <v>61.01</v>
      </c>
      <c r="AO894" s="564">
        <v>939047</v>
      </c>
      <c r="AP894" s="564">
        <v>44185.773999999998</v>
      </c>
      <c r="AQ894" s="564">
        <v>2695774.0717399996</v>
      </c>
      <c r="AR894" s="564">
        <v>0.97270000000000001</v>
      </c>
    </row>
    <row r="895" spans="39:44">
      <c r="AM895" s="563">
        <f t="shared" ca="1" si="66"/>
        <v>45049</v>
      </c>
      <c r="AN895" s="564">
        <v>60.89</v>
      </c>
      <c r="AO895" s="564">
        <v>1637751</v>
      </c>
      <c r="AP895" s="564">
        <v>44185.773999999998</v>
      </c>
      <c r="AQ895" s="564">
        <v>2690471.77886</v>
      </c>
      <c r="AR895" s="564">
        <v>0.97070000000000001</v>
      </c>
    </row>
    <row r="896" spans="39:44">
      <c r="AM896" s="563">
        <f t="shared" ca="1" si="66"/>
        <v>45048</v>
      </c>
      <c r="AN896" s="564">
        <v>60.89</v>
      </c>
      <c r="AO896" s="564">
        <v>1637751</v>
      </c>
      <c r="AP896" s="564">
        <v>44185.773999999998</v>
      </c>
      <c r="AQ896" s="564">
        <v>2690471.77886</v>
      </c>
      <c r="AR896" s="564">
        <v>0.97070000000000001</v>
      </c>
    </row>
    <row r="897" spans="39:44">
      <c r="AM897" s="563">
        <f t="shared" ca="1" si="66"/>
        <v>45047</v>
      </c>
      <c r="AN897" s="564">
        <v>60.89</v>
      </c>
      <c r="AO897" s="564">
        <v>1637751</v>
      </c>
      <c r="AP897" s="564">
        <v>44185.773999999998</v>
      </c>
      <c r="AQ897" s="564">
        <v>2690471.77886</v>
      </c>
      <c r="AR897" s="564">
        <v>0.97070000000000001</v>
      </c>
    </row>
    <row r="898" spans="39:44">
      <c r="AM898" s="563">
        <f t="shared" ca="1" si="66"/>
        <v>45046</v>
      </c>
      <c r="AN898" s="564">
        <v>59.98</v>
      </c>
      <c r="AO898" s="564">
        <v>1763158</v>
      </c>
      <c r="AP898" s="564">
        <v>44185.773999999998</v>
      </c>
      <c r="AQ898" s="564">
        <v>2650262.7245199997</v>
      </c>
      <c r="AR898" s="564">
        <v>0.95620000000000005</v>
      </c>
    </row>
    <row r="899" spans="39:44">
      <c r="AM899" s="563">
        <f t="shared" ca="1" si="66"/>
        <v>45045</v>
      </c>
      <c r="AN899" s="564">
        <v>57.96</v>
      </c>
      <c r="AO899" s="564">
        <v>3381444</v>
      </c>
      <c r="AP899" s="564">
        <v>44185.773999999998</v>
      </c>
      <c r="AQ899" s="564">
        <v>2561007.46104</v>
      </c>
      <c r="AR899" s="564">
        <v>0.92400000000000004</v>
      </c>
    </row>
    <row r="900" spans="39:44">
      <c r="AM900" s="563">
        <f t="shared" ca="1" si="66"/>
        <v>45044</v>
      </c>
      <c r="AN900" s="564">
        <v>54.27</v>
      </c>
      <c r="AO900" s="564">
        <v>1166861</v>
      </c>
      <c r="AP900" s="564">
        <v>44185.773999999998</v>
      </c>
      <c r="AQ900" s="564">
        <v>2397961.9549799999</v>
      </c>
      <c r="AR900" s="564">
        <v>0.86519999999999997</v>
      </c>
    </row>
    <row r="901" spans="39:44">
      <c r="AM901" s="563">
        <f t="shared" ref="AM901:AM964" ca="1" si="67">AM900-1</f>
        <v>45043</v>
      </c>
      <c r="AN901" s="564">
        <v>55.27</v>
      </c>
      <c r="AO901" s="564">
        <v>770678</v>
      </c>
      <c r="AP901" s="564">
        <v>44130.148999999998</v>
      </c>
      <c r="AQ901" s="564">
        <v>2439073.3352299999</v>
      </c>
      <c r="AR901" s="564">
        <v>0.88109999999999999</v>
      </c>
    </row>
    <row r="902" spans="39:44">
      <c r="AM902" s="563">
        <f t="shared" ca="1" si="67"/>
        <v>45042</v>
      </c>
      <c r="AN902" s="564">
        <v>54.46</v>
      </c>
      <c r="AO902" s="564">
        <v>723874</v>
      </c>
      <c r="AP902" s="564">
        <v>44130.148999999998</v>
      </c>
      <c r="AQ902" s="564">
        <v>2403327.9145399998</v>
      </c>
      <c r="AR902" s="564">
        <v>0.86819999999999997</v>
      </c>
    </row>
    <row r="903" spans="39:44">
      <c r="AM903" s="563">
        <f t="shared" ca="1" si="67"/>
        <v>45041</v>
      </c>
      <c r="AN903" s="564">
        <v>54.46</v>
      </c>
      <c r="AO903" s="564">
        <v>723874</v>
      </c>
      <c r="AP903" s="564">
        <v>44130.148999999998</v>
      </c>
      <c r="AQ903" s="564">
        <v>2403327.9145399998</v>
      </c>
      <c r="AR903" s="564">
        <v>0.86819999999999997</v>
      </c>
    </row>
    <row r="904" spans="39:44">
      <c r="AM904" s="563">
        <f t="shared" ca="1" si="67"/>
        <v>45040</v>
      </c>
      <c r="AN904" s="564">
        <v>54.46</v>
      </c>
      <c r="AO904" s="564">
        <v>723874</v>
      </c>
      <c r="AP904" s="564">
        <v>44130.148999999998</v>
      </c>
      <c r="AQ904" s="564">
        <v>2403327.9145399998</v>
      </c>
      <c r="AR904" s="564">
        <v>0.86819999999999997</v>
      </c>
    </row>
    <row r="905" spans="39:44">
      <c r="AM905" s="563">
        <f t="shared" ca="1" si="67"/>
        <v>45039</v>
      </c>
      <c r="AN905" s="564">
        <v>53.86</v>
      </c>
      <c r="AO905" s="564">
        <v>777023</v>
      </c>
      <c r="AP905" s="564">
        <v>44130.148999999998</v>
      </c>
      <c r="AQ905" s="564">
        <v>2376849.8251399999</v>
      </c>
      <c r="AR905" s="564">
        <v>0.85870000000000002</v>
      </c>
    </row>
    <row r="906" spans="39:44">
      <c r="AM906" s="563">
        <f t="shared" ca="1" si="67"/>
        <v>45038</v>
      </c>
      <c r="AN906" s="564">
        <v>53.93</v>
      </c>
      <c r="AO906" s="564">
        <v>837387</v>
      </c>
      <c r="AP906" s="564">
        <v>44130.148999999998</v>
      </c>
      <c r="AQ906" s="564">
        <v>2379938.9355699997</v>
      </c>
      <c r="AR906" s="564">
        <v>0.85980000000000001</v>
      </c>
    </row>
    <row r="907" spans="39:44">
      <c r="AM907" s="563">
        <f t="shared" ca="1" si="67"/>
        <v>45037</v>
      </c>
      <c r="AN907" s="564">
        <v>54.38</v>
      </c>
      <c r="AO907" s="564">
        <v>775441</v>
      </c>
      <c r="AP907" s="564">
        <v>44130.148999999998</v>
      </c>
      <c r="AQ907" s="564">
        <v>2399797.5026199999</v>
      </c>
      <c r="AR907" s="564">
        <v>0.86699999999999999</v>
      </c>
    </row>
    <row r="908" spans="39:44">
      <c r="AM908" s="563">
        <f t="shared" ca="1" si="67"/>
        <v>45036</v>
      </c>
      <c r="AN908" s="564">
        <v>54.76</v>
      </c>
      <c r="AO908" s="564">
        <v>823761</v>
      </c>
      <c r="AP908" s="564">
        <v>44130.148999999998</v>
      </c>
      <c r="AQ908" s="564">
        <v>2416566.9592399998</v>
      </c>
      <c r="AR908" s="564">
        <v>0.873</v>
      </c>
    </row>
    <row r="909" spans="39:44">
      <c r="AM909" s="563">
        <f t="shared" ca="1" si="67"/>
        <v>45035</v>
      </c>
      <c r="AN909" s="564">
        <v>54.49</v>
      </c>
      <c r="AO909" s="564">
        <v>1534425</v>
      </c>
      <c r="AP909" s="564">
        <v>44130.148999999998</v>
      </c>
      <c r="AQ909" s="564">
        <v>2404651.8190099997</v>
      </c>
      <c r="AR909" s="564">
        <v>0.86870000000000003</v>
      </c>
    </row>
    <row r="910" spans="39:44">
      <c r="AM910" s="563">
        <f t="shared" ca="1" si="67"/>
        <v>45034</v>
      </c>
      <c r="AN910" s="564">
        <v>54.49</v>
      </c>
      <c r="AO910" s="564">
        <v>1534425</v>
      </c>
      <c r="AP910" s="564">
        <v>44130.148999999998</v>
      </c>
      <c r="AQ910" s="564">
        <v>2404651.8190099997</v>
      </c>
      <c r="AR910" s="564">
        <v>0.86870000000000003</v>
      </c>
    </row>
    <row r="911" spans="39:44">
      <c r="AM911" s="563">
        <f t="shared" ca="1" si="67"/>
        <v>45033</v>
      </c>
      <c r="AN911" s="564">
        <v>54.49</v>
      </c>
      <c r="AO911" s="564">
        <v>1534425</v>
      </c>
      <c r="AP911" s="564">
        <v>44130.148999999998</v>
      </c>
      <c r="AQ911" s="564">
        <v>2404651.8190099997</v>
      </c>
      <c r="AR911" s="564">
        <v>0.86870000000000003</v>
      </c>
    </row>
    <row r="912" spans="39:44">
      <c r="AM912" s="563">
        <f t="shared" ca="1" si="67"/>
        <v>45032</v>
      </c>
      <c r="AN912" s="564">
        <v>54.84</v>
      </c>
      <c r="AO912" s="564">
        <v>676040</v>
      </c>
      <c r="AP912" s="564">
        <v>44130.148999999998</v>
      </c>
      <c r="AQ912" s="564">
        <v>2420097.3711600001</v>
      </c>
      <c r="AR912" s="564">
        <v>0.87429999999999997</v>
      </c>
    </row>
    <row r="913" spans="39:44">
      <c r="AM913" s="563">
        <f t="shared" ca="1" si="67"/>
        <v>45031</v>
      </c>
      <c r="AN913" s="564">
        <v>54.79</v>
      </c>
      <c r="AO913" s="564">
        <v>710966</v>
      </c>
      <c r="AP913" s="564">
        <v>44130.148999999998</v>
      </c>
      <c r="AQ913" s="564">
        <v>2417890.8637099997</v>
      </c>
      <c r="AR913" s="564">
        <v>0.87350000000000005</v>
      </c>
    </row>
    <row r="914" spans="39:44">
      <c r="AM914" s="563">
        <f t="shared" ca="1" si="67"/>
        <v>45030</v>
      </c>
      <c r="AN914" s="564">
        <v>55.27</v>
      </c>
      <c r="AO914" s="564">
        <v>654073</v>
      </c>
      <c r="AP914" s="564">
        <v>44130.148999999998</v>
      </c>
      <c r="AQ914" s="564">
        <v>2439073.3352299999</v>
      </c>
      <c r="AR914" s="564">
        <v>0.88109999999999999</v>
      </c>
    </row>
    <row r="915" spans="39:44">
      <c r="AM915" s="563">
        <f t="shared" ca="1" si="67"/>
        <v>45029</v>
      </c>
      <c r="AN915" s="564">
        <v>54.69</v>
      </c>
      <c r="AO915" s="564">
        <v>724794</v>
      </c>
      <c r="AP915" s="564">
        <v>44130.148999999998</v>
      </c>
      <c r="AQ915" s="564">
        <v>2413477.8488099999</v>
      </c>
      <c r="AR915" s="564">
        <v>0.87190000000000001</v>
      </c>
    </row>
    <row r="916" spans="39:44">
      <c r="AM916" s="563">
        <f t="shared" ca="1" si="67"/>
        <v>45028</v>
      </c>
      <c r="AN916" s="564">
        <v>56.08</v>
      </c>
      <c r="AO916" s="564">
        <v>613761</v>
      </c>
      <c r="AP916" s="564">
        <v>44130.148999999998</v>
      </c>
      <c r="AQ916" s="564">
        <v>2474818.7559199999</v>
      </c>
      <c r="AR916" s="564">
        <v>0.89410000000000001</v>
      </c>
    </row>
    <row r="917" spans="39:44">
      <c r="AM917" s="563">
        <f t="shared" ca="1" si="67"/>
        <v>45027</v>
      </c>
      <c r="AN917" s="564">
        <v>56.08</v>
      </c>
      <c r="AO917" s="564">
        <v>613761</v>
      </c>
      <c r="AP917" s="564">
        <v>44130.148999999998</v>
      </c>
      <c r="AQ917" s="564">
        <v>2474818.7559199999</v>
      </c>
      <c r="AR917" s="564">
        <v>0.89410000000000001</v>
      </c>
    </row>
    <row r="918" spans="39:44">
      <c r="AM918" s="563">
        <f t="shared" ca="1" si="67"/>
        <v>45026</v>
      </c>
      <c r="AN918" s="564">
        <v>56.08</v>
      </c>
      <c r="AO918" s="564">
        <v>613761</v>
      </c>
      <c r="AP918" s="564">
        <v>44130.148999999998</v>
      </c>
      <c r="AQ918" s="564">
        <v>2474818.7559199999</v>
      </c>
      <c r="AR918" s="564">
        <v>0.89410000000000001</v>
      </c>
    </row>
    <row r="919" spans="39:44">
      <c r="AM919" s="563">
        <f t="shared" ca="1" si="67"/>
        <v>45025</v>
      </c>
      <c r="AN919" s="564">
        <v>55.85</v>
      </c>
      <c r="AO919" s="564">
        <v>580142</v>
      </c>
      <c r="AP919" s="564">
        <v>44130.148999999998</v>
      </c>
      <c r="AQ919" s="564">
        <v>2464668.8216499998</v>
      </c>
      <c r="AR919" s="564">
        <v>0.89039999999999997</v>
      </c>
    </row>
    <row r="920" spans="39:44">
      <c r="AM920" s="563">
        <f t="shared" ca="1" si="67"/>
        <v>45024</v>
      </c>
      <c r="AN920" s="564">
        <v>55.87</v>
      </c>
      <c r="AO920" s="564">
        <v>493920</v>
      </c>
      <c r="AP920" s="564">
        <v>44130.148999999998</v>
      </c>
      <c r="AQ920" s="564">
        <v>2465551.4246299998</v>
      </c>
      <c r="AR920" s="564">
        <v>0.89070000000000005</v>
      </c>
    </row>
    <row r="921" spans="39:44">
      <c r="AM921" s="563">
        <f t="shared" ca="1" si="67"/>
        <v>45023</v>
      </c>
      <c r="AN921" s="564">
        <v>56.26</v>
      </c>
      <c r="AO921" s="564">
        <v>673192</v>
      </c>
      <c r="AP921" s="564">
        <v>44130.148999999998</v>
      </c>
      <c r="AQ921" s="564">
        <v>2482762.1827399996</v>
      </c>
      <c r="AR921" s="564">
        <v>0.89690000000000003</v>
      </c>
    </row>
    <row r="922" spans="39:44">
      <c r="AM922" s="563">
        <f t="shared" ca="1" si="67"/>
        <v>45022</v>
      </c>
      <c r="AN922" s="564">
        <v>56.71</v>
      </c>
      <c r="AO922" s="564">
        <v>671704</v>
      </c>
      <c r="AP922" s="564">
        <v>44130.148999999998</v>
      </c>
      <c r="AQ922" s="564">
        <v>2502620.7497899998</v>
      </c>
      <c r="AR922" s="564">
        <v>0.90410000000000001</v>
      </c>
    </row>
    <row r="923" spans="39:44">
      <c r="AM923" s="563">
        <f t="shared" ca="1" si="67"/>
        <v>45021</v>
      </c>
      <c r="AN923" s="564">
        <v>57.01</v>
      </c>
      <c r="AO923" s="564">
        <v>513233</v>
      </c>
      <c r="AP923" s="564">
        <v>44130.148999999998</v>
      </c>
      <c r="AQ923" s="564">
        <v>2515859.7944899998</v>
      </c>
      <c r="AR923" s="564">
        <v>0.90890000000000004</v>
      </c>
    </row>
    <row r="924" spans="39:44">
      <c r="AM924" s="563">
        <f t="shared" ca="1" si="67"/>
        <v>45020</v>
      </c>
      <c r="AN924" s="564">
        <v>57.01</v>
      </c>
      <c r="AO924" s="564">
        <v>513233</v>
      </c>
      <c r="AP924" s="564">
        <v>44130.148999999998</v>
      </c>
      <c r="AQ924" s="564">
        <v>2515859.7944899998</v>
      </c>
      <c r="AR924" s="564">
        <v>0.90890000000000004</v>
      </c>
    </row>
    <row r="925" spans="39:44">
      <c r="AM925" s="563">
        <f t="shared" ca="1" si="67"/>
        <v>45019</v>
      </c>
      <c r="AN925" s="564">
        <v>57.01</v>
      </c>
      <c r="AO925" s="564">
        <v>513233</v>
      </c>
      <c r="AP925" s="564">
        <v>44130.148999999998</v>
      </c>
      <c r="AQ925" s="564">
        <v>2515859.7944899998</v>
      </c>
      <c r="AR925" s="564">
        <v>0.90890000000000004</v>
      </c>
    </row>
    <row r="926" spans="39:44">
      <c r="AM926" s="563">
        <f t="shared" ca="1" si="67"/>
        <v>45018</v>
      </c>
      <c r="AN926" s="564">
        <v>57.39</v>
      </c>
      <c r="AO926" s="564">
        <v>526241</v>
      </c>
      <c r="AP926" s="564">
        <v>44130.148999999998</v>
      </c>
      <c r="AQ926" s="564">
        <v>2532629.2511100001</v>
      </c>
      <c r="AR926" s="564">
        <v>0.91490000000000005</v>
      </c>
    </row>
    <row r="927" spans="39:44">
      <c r="AM927" s="563">
        <f t="shared" ca="1" si="67"/>
        <v>45017</v>
      </c>
      <c r="AN927" s="564">
        <v>57.04</v>
      </c>
      <c r="AO927" s="564">
        <v>706728</v>
      </c>
      <c r="AP927" s="564">
        <v>44130.148999999998</v>
      </c>
      <c r="AQ927" s="564">
        <v>2517183.6989599997</v>
      </c>
      <c r="AR927" s="564">
        <v>0.90939999999999999</v>
      </c>
    </row>
    <row r="928" spans="39:44">
      <c r="AM928" s="563">
        <f t="shared" ca="1" si="67"/>
        <v>45016</v>
      </c>
      <c r="AN928" s="564">
        <v>56.8</v>
      </c>
      <c r="AO928" s="564">
        <v>998131</v>
      </c>
      <c r="AP928" s="564">
        <v>44130.148999999998</v>
      </c>
      <c r="AQ928" s="564">
        <v>2506592.4631999996</v>
      </c>
      <c r="AR928" s="564">
        <v>0.90549999999999997</v>
      </c>
    </row>
    <row r="929" spans="39:44">
      <c r="AM929" s="563">
        <f t="shared" ca="1" si="67"/>
        <v>45015</v>
      </c>
      <c r="AN929" s="564">
        <v>58.09</v>
      </c>
      <c r="AO929" s="564">
        <v>524183</v>
      </c>
      <c r="AP929" s="564">
        <v>44130.148999999998</v>
      </c>
      <c r="AQ929" s="564">
        <v>2563520.3554099998</v>
      </c>
      <c r="AR929" s="564">
        <v>0.92610000000000003</v>
      </c>
    </row>
    <row r="930" spans="39:44">
      <c r="AM930" s="563">
        <f t="shared" ca="1" si="67"/>
        <v>45014</v>
      </c>
      <c r="AN930" s="564">
        <v>58.39</v>
      </c>
      <c r="AO930" s="564">
        <v>729040</v>
      </c>
      <c r="AP930" s="564">
        <v>44130.148999999998</v>
      </c>
      <c r="AQ930" s="564">
        <v>2576759.4001099998</v>
      </c>
      <c r="AR930" s="564">
        <v>1.1231</v>
      </c>
    </row>
    <row r="931" spans="39:44">
      <c r="AM931" s="563">
        <f t="shared" ca="1" si="67"/>
        <v>45013</v>
      </c>
      <c r="AN931" s="564">
        <v>58.39</v>
      </c>
      <c r="AO931" s="564">
        <v>729040</v>
      </c>
      <c r="AP931" s="564">
        <v>44130.148999999998</v>
      </c>
      <c r="AQ931" s="564">
        <v>2576759.4001099998</v>
      </c>
      <c r="AR931" s="564">
        <v>1.1231</v>
      </c>
    </row>
    <row r="932" spans="39:44">
      <c r="AM932" s="563">
        <f t="shared" ca="1" si="67"/>
        <v>45012</v>
      </c>
      <c r="AN932" s="564">
        <v>58.39</v>
      </c>
      <c r="AO932" s="564">
        <v>729040</v>
      </c>
      <c r="AP932" s="564">
        <v>44130.148999999998</v>
      </c>
      <c r="AQ932" s="564">
        <v>2576759.4001099998</v>
      </c>
      <c r="AR932" s="564">
        <v>1.1231</v>
      </c>
    </row>
    <row r="933" spans="39:44">
      <c r="AM933" s="563">
        <f t="shared" ca="1" si="67"/>
        <v>45011</v>
      </c>
      <c r="AN933" s="564">
        <v>59.4</v>
      </c>
      <c r="AO933" s="564">
        <v>636652</v>
      </c>
      <c r="AP933" s="564">
        <v>44130.148999999998</v>
      </c>
      <c r="AQ933" s="564">
        <v>2621330.8506</v>
      </c>
      <c r="AR933" s="564">
        <v>1.1425000000000001</v>
      </c>
    </row>
    <row r="934" spans="39:44">
      <c r="AM934" s="563">
        <f t="shared" ca="1" si="67"/>
        <v>45010</v>
      </c>
      <c r="AN934" s="564">
        <v>59.49</v>
      </c>
      <c r="AO934" s="564">
        <v>517944</v>
      </c>
      <c r="AP934" s="564">
        <v>44130.148999999998</v>
      </c>
      <c r="AQ934" s="564">
        <v>2625302.5640099999</v>
      </c>
      <c r="AR934" s="564">
        <v>1.1443000000000001</v>
      </c>
    </row>
    <row r="935" spans="39:44">
      <c r="AM935" s="563">
        <f t="shared" ca="1" si="67"/>
        <v>45009</v>
      </c>
      <c r="AN935" s="564">
        <v>59.5</v>
      </c>
      <c r="AO935" s="564">
        <v>859942</v>
      </c>
      <c r="AP935" s="564">
        <v>44130.148999999998</v>
      </c>
      <c r="AQ935" s="564">
        <v>2625743.8654999998</v>
      </c>
      <c r="AR935" s="564">
        <v>1.1444000000000001</v>
      </c>
    </row>
    <row r="936" spans="39:44">
      <c r="AM936" s="563">
        <f t="shared" ca="1" si="67"/>
        <v>45008</v>
      </c>
      <c r="AN936" s="564">
        <v>61.36</v>
      </c>
      <c r="AO936" s="564">
        <v>1594511</v>
      </c>
      <c r="AP936" s="564">
        <v>44130.148999999998</v>
      </c>
      <c r="AQ936" s="564">
        <v>2707825.94264</v>
      </c>
      <c r="AR936" s="564">
        <v>1.1801999999999999</v>
      </c>
    </row>
    <row r="937" spans="39:44">
      <c r="AM937" s="563">
        <f t="shared" ca="1" si="67"/>
        <v>45007</v>
      </c>
      <c r="AN937" s="564">
        <v>61.36</v>
      </c>
      <c r="AO937" s="564">
        <v>1594511</v>
      </c>
      <c r="AP937" s="564">
        <v>44130.148999999998</v>
      </c>
      <c r="AQ937" s="564">
        <v>2707825.94264</v>
      </c>
      <c r="AR937" s="564">
        <v>1.1801999999999999</v>
      </c>
    </row>
    <row r="938" spans="39:44">
      <c r="AM938" s="563">
        <f t="shared" ca="1" si="67"/>
        <v>45006</v>
      </c>
      <c r="AN938" s="564">
        <v>61.36</v>
      </c>
      <c r="AO938" s="564">
        <v>1594511</v>
      </c>
      <c r="AP938" s="564">
        <v>44130.148999999998</v>
      </c>
      <c r="AQ938" s="564">
        <v>2707825.94264</v>
      </c>
      <c r="AR938" s="564">
        <v>1.1801999999999999</v>
      </c>
    </row>
    <row r="939" spans="39:44">
      <c r="AM939" s="563">
        <f t="shared" ca="1" si="67"/>
        <v>45005</v>
      </c>
      <c r="AN939" s="564">
        <v>61.36</v>
      </c>
      <c r="AO939" s="564">
        <v>1594511</v>
      </c>
      <c r="AP939" s="564">
        <v>44130.148999999998</v>
      </c>
      <c r="AQ939" s="564">
        <v>2707825.94264</v>
      </c>
      <c r="AR939" s="564">
        <v>1.1801999999999999</v>
      </c>
    </row>
    <row r="940" spans="39:44">
      <c r="AM940" s="563">
        <f t="shared" ca="1" si="67"/>
        <v>45004</v>
      </c>
      <c r="AN940" s="564">
        <v>58.44</v>
      </c>
      <c r="AO940" s="564">
        <v>1473870</v>
      </c>
      <c r="AP940" s="564">
        <v>44130.148999999998</v>
      </c>
      <c r="AQ940" s="564">
        <v>2578965.9075599997</v>
      </c>
      <c r="AR940" s="564">
        <v>1.1241000000000001</v>
      </c>
    </row>
    <row r="941" spans="39:44">
      <c r="AM941" s="563">
        <f t="shared" ca="1" si="67"/>
        <v>45003</v>
      </c>
      <c r="AN941" s="564">
        <v>56.61</v>
      </c>
      <c r="AO941" s="564">
        <v>734020</v>
      </c>
      <c r="AP941" s="564">
        <v>44130.148999999998</v>
      </c>
      <c r="AQ941" s="564">
        <v>2498207.73489</v>
      </c>
      <c r="AR941" s="564">
        <v>1.0889</v>
      </c>
    </row>
    <row r="942" spans="39:44">
      <c r="AM942" s="563">
        <f t="shared" ca="1" si="67"/>
        <v>45002</v>
      </c>
      <c r="AN942" s="564">
        <v>54.96</v>
      </c>
      <c r="AO942" s="564">
        <v>676827</v>
      </c>
      <c r="AP942" s="564">
        <v>44130.148999999998</v>
      </c>
      <c r="AQ942" s="564">
        <v>2425392.9890399999</v>
      </c>
      <c r="AR942" s="564">
        <v>1.0570999999999999</v>
      </c>
    </row>
    <row r="943" spans="39:44">
      <c r="AM943" s="563">
        <f t="shared" ca="1" si="67"/>
        <v>45001</v>
      </c>
      <c r="AN943" s="564">
        <v>54.34</v>
      </c>
      <c r="AO943" s="564">
        <v>561678</v>
      </c>
      <c r="AP943" s="564">
        <v>44130.148999999998</v>
      </c>
      <c r="AQ943" s="564">
        <v>2398032.29666</v>
      </c>
      <c r="AR943" s="564">
        <v>1.0451999999999999</v>
      </c>
    </row>
    <row r="944" spans="39:44">
      <c r="AM944" s="563">
        <f t="shared" ca="1" si="67"/>
        <v>45000</v>
      </c>
      <c r="AN944" s="564">
        <v>53.62</v>
      </c>
      <c r="AO944" s="564">
        <v>560661</v>
      </c>
      <c r="AP944" s="564">
        <v>44130.148999999998</v>
      </c>
      <c r="AQ944" s="564">
        <v>2366258.5893799998</v>
      </c>
      <c r="AR944" s="564">
        <v>1.0313000000000001</v>
      </c>
    </row>
    <row r="945" spans="39:44">
      <c r="AM945" s="563">
        <f t="shared" ca="1" si="67"/>
        <v>44999</v>
      </c>
      <c r="AN945" s="564">
        <v>53.62</v>
      </c>
      <c r="AO945" s="564">
        <v>560661</v>
      </c>
      <c r="AP945" s="564">
        <v>44130.148999999998</v>
      </c>
      <c r="AQ945" s="564">
        <v>2366258.5893799998</v>
      </c>
      <c r="AR945" s="564">
        <v>1.0313000000000001</v>
      </c>
    </row>
    <row r="946" spans="39:44">
      <c r="AM946" s="563">
        <f t="shared" ca="1" si="67"/>
        <v>44998</v>
      </c>
      <c r="AN946" s="564">
        <v>53.62</v>
      </c>
      <c r="AO946" s="564">
        <v>560661</v>
      </c>
      <c r="AP946" s="564">
        <v>44130.148999999998</v>
      </c>
      <c r="AQ946" s="564">
        <v>2366258.5893799998</v>
      </c>
      <c r="AR946" s="564">
        <v>1.0313000000000001</v>
      </c>
    </row>
    <row r="947" spans="39:44">
      <c r="AM947" s="563">
        <f t="shared" ca="1" si="67"/>
        <v>44997</v>
      </c>
      <c r="AN947" s="564">
        <v>53.13</v>
      </c>
      <c r="AO947" s="564">
        <v>676079</v>
      </c>
      <c r="AP947" s="564">
        <v>44130.148999999998</v>
      </c>
      <c r="AQ947" s="564">
        <v>2344634.8163700001</v>
      </c>
      <c r="AR947" s="564">
        <v>1.0219</v>
      </c>
    </row>
    <row r="948" spans="39:44">
      <c r="AM948" s="563">
        <f t="shared" ca="1" si="67"/>
        <v>44996</v>
      </c>
      <c r="AN948" s="564">
        <v>53.39</v>
      </c>
      <c r="AO948" s="564">
        <v>565821</v>
      </c>
      <c r="AP948" s="564">
        <v>44130.148999999998</v>
      </c>
      <c r="AQ948" s="564">
        <v>2356108.6551099997</v>
      </c>
      <c r="AR948" s="564">
        <v>1.0268999999999999</v>
      </c>
    </row>
    <row r="949" spans="39:44">
      <c r="AM949" s="563">
        <f t="shared" ca="1" si="67"/>
        <v>44995</v>
      </c>
      <c r="AN949" s="564">
        <v>54.25</v>
      </c>
      <c r="AO949" s="564">
        <v>679457</v>
      </c>
      <c r="AP949" s="564">
        <v>44130.148999999998</v>
      </c>
      <c r="AQ949" s="564">
        <v>2394060.5832499997</v>
      </c>
      <c r="AR949" s="564">
        <v>1.0435000000000001</v>
      </c>
    </row>
    <row r="950" spans="39:44">
      <c r="AM950" s="563">
        <f t="shared" ca="1" si="67"/>
        <v>44994</v>
      </c>
      <c r="AN950" s="564">
        <v>54.71</v>
      </c>
      <c r="AO950" s="564">
        <v>608328</v>
      </c>
      <c r="AP950" s="564">
        <v>44130.148999999998</v>
      </c>
      <c r="AQ950" s="564">
        <v>2414360.4517899998</v>
      </c>
      <c r="AR950" s="564">
        <v>1.0523</v>
      </c>
    </row>
    <row r="951" spans="39:44">
      <c r="AM951" s="563">
        <f t="shared" ca="1" si="67"/>
        <v>44993</v>
      </c>
      <c r="AN951" s="564">
        <v>54.47</v>
      </c>
      <c r="AO951" s="564">
        <v>852560</v>
      </c>
      <c r="AP951" s="564">
        <v>44130.148999999998</v>
      </c>
      <c r="AQ951" s="564">
        <v>2403769.2160299998</v>
      </c>
      <c r="AR951" s="564">
        <v>1.0477000000000001</v>
      </c>
    </row>
    <row r="952" spans="39:44">
      <c r="AM952" s="563">
        <f t="shared" ca="1" si="67"/>
        <v>44992</v>
      </c>
      <c r="AN952" s="564">
        <v>54.47</v>
      </c>
      <c r="AO952" s="564">
        <v>852560</v>
      </c>
      <c r="AP952" s="564">
        <v>44130.148999999998</v>
      </c>
      <c r="AQ952" s="564">
        <v>2403769.2160299998</v>
      </c>
      <c r="AR952" s="564">
        <v>1.0477000000000001</v>
      </c>
    </row>
    <row r="953" spans="39:44">
      <c r="AM953" s="563">
        <f t="shared" ca="1" si="67"/>
        <v>44991</v>
      </c>
      <c r="AN953" s="564">
        <v>54.47</v>
      </c>
      <c r="AO953" s="564">
        <v>852560</v>
      </c>
      <c r="AP953" s="564">
        <v>44130.148999999998</v>
      </c>
      <c r="AQ953" s="564">
        <v>2403769.2160299998</v>
      </c>
      <c r="AR953" s="564">
        <v>1.0477000000000001</v>
      </c>
    </row>
    <row r="954" spans="39:44">
      <c r="AM954" s="563">
        <f t="shared" ca="1" si="67"/>
        <v>44990</v>
      </c>
      <c r="AN954" s="564">
        <v>54.74</v>
      </c>
      <c r="AO954" s="564">
        <v>971272</v>
      </c>
      <c r="AP954" s="564">
        <v>44130.148999999998</v>
      </c>
      <c r="AQ954" s="564">
        <v>2415684.3562599998</v>
      </c>
      <c r="AR954" s="564">
        <v>1.0528999999999999</v>
      </c>
    </row>
    <row r="955" spans="39:44">
      <c r="AM955" s="563">
        <f t="shared" ca="1" si="67"/>
        <v>44989</v>
      </c>
      <c r="AN955" s="564">
        <v>57.17</v>
      </c>
      <c r="AO955" s="564">
        <v>871416</v>
      </c>
      <c r="AP955" s="564">
        <v>44130.148999999998</v>
      </c>
      <c r="AQ955" s="564">
        <v>2522920.61833</v>
      </c>
      <c r="AR955" s="564">
        <v>1.0995999999999999</v>
      </c>
    </row>
    <row r="956" spans="39:44">
      <c r="AM956" s="563">
        <f t="shared" ca="1" si="67"/>
        <v>44988</v>
      </c>
      <c r="AN956" s="564">
        <v>57.22</v>
      </c>
      <c r="AO956" s="564">
        <v>784379</v>
      </c>
      <c r="AP956" s="564">
        <v>44130.148999999998</v>
      </c>
      <c r="AQ956" s="564">
        <v>2525127.1257799999</v>
      </c>
      <c r="AR956" s="564">
        <v>1.1006</v>
      </c>
    </row>
    <row r="957" spans="39:44">
      <c r="AM957" s="563">
        <f t="shared" ca="1" si="67"/>
        <v>44987</v>
      </c>
      <c r="AN957" s="564">
        <v>56.15</v>
      </c>
      <c r="AO957" s="564">
        <v>1085201</v>
      </c>
      <c r="AP957" s="564">
        <v>44130.148999999998</v>
      </c>
      <c r="AQ957" s="564">
        <v>2477907.8663499998</v>
      </c>
      <c r="AR957" s="564">
        <v>1.08</v>
      </c>
    </row>
    <row r="958" spans="39:44">
      <c r="AM958" s="563">
        <f t="shared" ca="1" si="67"/>
        <v>44986</v>
      </c>
      <c r="AN958" s="564">
        <v>55.03</v>
      </c>
      <c r="AO958" s="564">
        <v>717747</v>
      </c>
      <c r="AP958" s="564">
        <v>44130.148999999998</v>
      </c>
      <c r="AQ958" s="564">
        <v>2428482.0994699998</v>
      </c>
      <c r="AR958" s="564">
        <v>1.0585</v>
      </c>
    </row>
    <row r="959" spans="39:44">
      <c r="AM959" s="563">
        <f t="shared" ca="1" si="67"/>
        <v>44985</v>
      </c>
      <c r="AN959" s="564">
        <v>55.03</v>
      </c>
      <c r="AO959" s="564">
        <v>717747</v>
      </c>
      <c r="AP959" s="564">
        <v>44130.148999999998</v>
      </c>
      <c r="AQ959" s="564">
        <v>2428482.0994699998</v>
      </c>
      <c r="AR959" s="564">
        <v>1.0585</v>
      </c>
    </row>
    <row r="960" spans="39:44">
      <c r="AM960" s="563">
        <f t="shared" ca="1" si="67"/>
        <v>44984</v>
      </c>
      <c r="AN960" s="564">
        <v>55.03</v>
      </c>
      <c r="AO960" s="564">
        <v>717747</v>
      </c>
      <c r="AP960" s="564">
        <v>44130.148999999998</v>
      </c>
      <c r="AQ960" s="564">
        <v>2428482.0994699998</v>
      </c>
      <c r="AR960" s="564">
        <v>1.0585</v>
      </c>
    </row>
    <row r="961" spans="39:44">
      <c r="AM961" s="563">
        <f t="shared" ca="1" si="67"/>
        <v>44983</v>
      </c>
      <c r="AN961" s="564">
        <v>54.79</v>
      </c>
      <c r="AO961" s="564">
        <v>696985</v>
      </c>
      <c r="AP961" s="564">
        <v>44130.148999999998</v>
      </c>
      <c r="AQ961" s="564">
        <v>2417890.8637099997</v>
      </c>
      <c r="AR961" s="564">
        <v>1.0539000000000001</v>
      </c>
    </row>
    <row r="962" spans="39:44">
      <c r="AM962" s="563">
        <f t="shared" ca="1" si="67"/>
        <v>44982</v>
      </c>
      <c r="AN962" s="564">
        <v>53.99</v>
      </c>
      <c r="AO962" s="564">
        <v>884052</v>
      </c>
      <c r="AP962" s="564">
        <v>44130.148999999998</v>
      </c>
      <c r="AQ962" s="564">
        <v>2382586.7445100001</v>
      </c>
      <c r="AR962" s="564">
        <v>1.0385</v>
      </c>
    </row>
    <row r="963" spans="39:44">
      <c r="AM963" s="563">
        <f t="shared" ca="1" si="67"/>
        <v>44981</v>
      </c>
      <c r="AN963" s="564">
        <v>53.73</v>
      </c>
      <c r="AO963" s="564">
        <v>839909</v>
      </c>
      <c r="AP963" s="564">
        <v>44130.148999999998</v>
      </c>
      <c r="AQ963" s="564">
        <v>2371112.9057699996</v>
      </c>
      <c r="AR963" s="564">
        <v>1.0335000000000001</v>
      </c>
    </row>
    <row r="964" spans="39:44">
      <c r="AM964" s="563">
        <f t="shared" ca="1" si="67"/>
        <v>44980</v>
      </c>
      <c r="AN964" s="564">
        <v>54.92</v>
      </c>
      <c r="AO964" s="564">
        <v>1083380</v>
      </c>
      <c r="AP964" s="564">
        <v>44130.148999999998</v>
      </c>
      <c r="AQ964" s="564">
        <v>2423627.78308</v>
      </c>
      <c r="AR964" s="564">
        <v>1.0564</v>
      </c>
    </row>
    <row r="965" spans="39:44">
      <c r="AM965" s="563">
        <f t="shared" ref="AM965:AM1028" ca="1" si="68">AM964-1</f>
        <v>44979</v>
      </c>
      <c r="AN965" s="564">
        <v>54.67</v>
      </c>
      <c r="AO965" s="564">
        <v>1060968</v>
      </c>
      <c r="AP965" s="564">
        <v>44130.148999999998</v>
      </c>
      <c r="AQ965" s="564">
        <v>2412595.2458299999</v>
      </c>
      <c r="AR965" s="564">
        <v>1.0515000000000001</v>
      </c>
    </row>
    <row r="966" spans="39:44">
      <c r="AM966" s="563">
        <f t="shared" ca="1" si="68"/>
        <v>44978</v>
      </c>
      <c r="AN966" s="564">
        <v>54.67</v>
      </c>
      <c r="AO966" s="564">
        <v>1060968</v>
      </c>
      <c r="AP966" s="564">
        <v>44130.148999999998</v>
      </c>
      <c r="AQ966" s="564">
        <v>2412595.2458299999</v>
      </c>
      <c r="AR966" s="564">
        <v>1.0515000000000001</v>
      </c>
    </row>
    <row r="967" spans="39:44">
      <c r="AM967" s="563">
        <f t="shared" ca="1" si="68"/>
        <v>44977</v>
      </c>
      <c r="AN967" s="564">
        <v>54.67</v>
      </c>
      <c r="AO967" s="564">
        <v>1060968</v>
      </c>
      <c r="AP967" s="564">
        <v>44130.148999999998</v>
      </c>
      <c r="AQ967" s="564">
        <v>2412595.2458299999</v>
      </c>
      <c r="AR967" s="564">
        <v>1.0515000000000001</v>
      </c>
    </row>
    <row r="968" spans="39:44">
      <c r="AM968" s="563">
        <f t="shared" ca="1" si="68"/>
        <v>44976</v>
      </c>
      <c r="AN968" s="564">
        <v>55.72</v>
      </c>
      <c r="AO968" s="564">
        <v>819945</v>
      </c>
      <c r="AP968" s="564">
        <v>44130.148999999998</v>
      </c>
      <c r="AQ968" s="564">
        <v>2458931.90228</v>
      </c>
      <c r="AR968" s="564">
        <v>1.0717000000000001</v>
      </c>
    </row>
    <row r="969" spans="39:44">
      <c r="AM969" s="563">
        <f t="shared" ca="1" si="68"/>
        <v>44975</v>
      </c>
      <c r="AN969" s="564">
        <v>55.34</v>
      </c>
      <c r="AO969" s="564">
        <v>859337</v>
      </c>
      <c r="AP969" s="564">
        <v>44130.148999999998</v>
      </c>
      <c r="AQ969" s="564">
        <v>2442162.4456600002</v>
      </c>
      <c r="AR969" s="564">
        <v>1.0644</v>
      </c>
    </row>
    <row r="970" spans="39:44">
      <c r="AM970" s="563">
        <f t="shared" ca="1" si="68"/>
        <v>44974</v>
      </c>
      <c r="AN970" s="564">
        <v>56.36</v>
      </c>
      <c r="AO970" s="564">
        <v>821805</v>
      </c>
      <c r="AP970" s="564">
        <v>44130.148999999998</v>
      </c>
      <c r="AQ970" s="564">
        <v>2487175.1976399999</v>
      </c>
      <c r="AR970" s="564">
        <v>1.0841000000000001</v>
      </c>
    </row>
    <row r="971" spans="39:44">
      <c r="AM971" s="563">
        <f t="shared" ca="1" si="68"/>
        <v>44973</v>
      </c>
      <c r="AN971" s="564">
        <v>54.1</v>
      </c>
      <c r="AO971" s="564">
        <v>563825</v>
      </c>
      <c r="AP971" s="564">
        <v>44130.148999999998</v>
      </c>
      <c r="AQ971" s="564">
        <v>2387441.0608999999</v>
      </c>
      <c r="AR971" s="564">
        <v>1.0406</v>
      </c>
    </row>
    <row r="972" spans="39:44">
      <c r="AM972" s="563">
        <f t="shared" ca="1" si="68"/>
        <v>44972</v>
      </c>
      <c r="AN972" s="564">
        <v>54.1</v>
      </c>
      <c r="AO972" s="564">
        <v>563825</v>
      </c>
      <c r="AP972" s="564">
        <v>44130.148999999998</v>
      </c>
      <c r="AQ972" s="564">
        <v>2387441.0608999999</v>
      </c>
      <c r="AR972" s="564">
        <v>1.0406</v>
      </c>
    </row>
    <row r="973" spans="39:44">
      <c r="AM973" s="563">
        <f t="shared" ca="1" si="68"/>
        <v>44971</v>
      </c>
      <c r="AN973" s="564">
        <v>54.1</v>
      </c>
      <c r="AO973" s="564">
        <v>563825</v>
      </c>
      <c r="AP973" s="564">
        <v>44130.148999999998</v>
      </c>
      <c r="AQ973" s="564">
        <v>2387441.0608999999</v>
      </c>
      <c r="AR973" s="564">
        <v>1.0406</v>
      </c>
    </row>
    <row r="974" spans="39:44">
      <c r="AM974" s="563">
        <f t="shared" ca="1" si="68"/>
        <v>44970</v>
      </c>
      <c r="AN974" s="564">
        <v>54.1</v>
      </c>
      <c r="AO974" s="564">
        <v>563825</v>
      </c>
      <c r="AP974" s="564">
        <v>44130.148999999998</v>
      </c>
      <c r="AQ974" s="564">
        <v>2387441.0608999999</v>
      </c>
      <c r="AR974" s="564">
        <v>1.0406</v>
      </c>
    </row>
    <row r="975" spans="39:44">
      <c r="AM975" s="563">
        <f t="shared" ca="1" si="68"/>
        <v>44969</v>
      </c>
      <c r="AN975" s="564">
        <v>54.74</v>
      </c>
      <c r="AO975" s="564">
        <v>1154678</v>
      </c>
      <c r="AP975" s="564">
        <v>44130.148999999998</v>
      </c>
      <c r="AQ975" s="564">
        <v>2415684.3562599998</v>
      </c>
      <c r="AR975" s="564">
        <v>1.0528999999999999</v>
      </c>
    </row>
    <row r="976" spans="39:44">
      <c r="AM976" s="563">
        <f t="shared" ca="1" si="68"/>
        <v>44968</v>
      </c>
      <c r="AN976" s="564">
        <v>52.5</v>
      </c>
      <c r="AO976" s="564">
        <v>1082166</v>
      </c>
      <c r="AP976" s="564">
        <v>44130.148999999998</v>
      </c>
      <c r="AQ976" s="564">
        <v>2316832.8224999998</v>
      </c>
      <c r="AR976" s="564">
        <v>1.0098</v>
      </c>
    </row>
    <row r="977" spans="39:44">
      <c r="AM977" s="563">
        <f t="shared" ca="1" si="68"/>
        <v>44967</v>
      </c>
      <c r="AN977" s="564">
        <v>53.61</v>
      </c>
      <c r="AO977" s="564">
        <v>1004299</v>
      </c>
      <c r="AP977" s="564">
        <v>44130.148999999998</v>
      </c>
      <c r="AQ977" s="564">
        <v>2365817.2878899998</v>
      </c>
      <c r="AR977" s="564">
        <v>1.0311999999999999</v>
      </c>
    </row>
    <row r="978" spans="39:44">
      <c r="AM978" s="563">
        <f t="shared" ca="1" si="68"/>
        <v>44966</v>
      </c>
      <c r="AN978" s="564">
        <v>52.66</v>
      </c>
      <c r="AO978" s="564">
        <v>1607907</v>
      </c>
      <c r="AP978" s="564">
        <v>44130.148999999998</v>
      </c>
      <c r="AQ978" s="564">
        <v>2323893.6463399995</v>
      </c>
      <c r="AR978" s="564">
        <v>1.0128999999999999</v>
      </c>
    </row>
    <row r="979" spans="39:44">
      <c r="AM979" s="563">
        <f t="shared" ca="1" si="68"/>
        <v>44965</v>
      </c>
      <c r="AN979" s="564">
        <v>54.95</v>
      </c>
      <c r="AO979" s="564">
        <v>1026729</v>
      </c>
      <c r="AP979" s="564">
        <v>44130.148999999998</v>
      </c>
      <c r="AQ979" s="564">
        <v>2424951.6875499999</v>
      </c>
      <c r="AR979" s="564">
        <v>1.0569</v>
      </c>
    </row>
    <row r="980" spans="39:44">
      <c r="AM980" s="563">
        <f t="shared" ca="1" si="68"/>
        <v>44964</v>
      </c>
      <c r="AN980" s="564">
        <v>54.95</v>
      </c>
      <c r="AO980" s="564">
        <v>1026729</v>
      </c>
      <c r="AP980" s="564">
        <v>44130.148999999998</v>
      </c>
      <c r="AQ980" s="564">
        <v>2424951.6875499999</v>
      </c>
      <c r="AR980" s="564">
        <v>1.0569</v>
      </c>
    </row>
    <row r="981" spans="39:44">
      <c r="AM981" s="563">
        <f t="shared" ca="1" si="68"/>
        <v>44963</v>
      </c>
      <c r="AN981" s="564">
        <v>54.95</v>
      </c>
      <c r="AO981" s="564">
        <v>1026729</v>
      </c>
      <c r="AP981" s="564">
        <v>44130.148999999998</v>
      </c>
      <c r="AQ981" s="564">
        <v>2424951.6875499999</v>
      </c>
      <c r="AR981" s="564">
        <v>1.0569</v>
      </c>
    </row>
    <row r="982" spans="39:44">
      <c r="AM982" s="563">
        <f t="shared" ca="1" si="68"/>
        <v>44962</v>
      </c>
      <c r="AN982" s="564">
        <v>55.86</v>
      </c>
      <c r="AO982" s="564">
        <v>1208724</v>
      </c>
      <c r="AP982" s="564">
        <v>44130.148999999998</v>
      </c>
      <c r="AQ982" s="564">
        <v>2465110.1231399998</v>
      </c>
      <c r="AR982" s="564">
        <v>1.0744</v>
      </c>
    </row>
    <row r="983" spans="39:44">
      <c r="AM983" s="563">
        <f t="shared" ca="1" si="68"/>
        <v>44961</v>
      </c>
      <c r="AN983" s="564">
        <v>57.23</v>
      </c>
      <c r="AO983" s="564">
        <v>1387203</v>
      </c>
      <c r="AP983" s="564">
        <v>44130.148999999998</v>
      </c>
      <c r="AQ983" s="564">
        <v>2525568.4272699999</v>
      </c>
      <c r="AR983" s="564">
        <v>1.1008</v>
      </c>
    </row>
    <row r="984" spans="39:44">
      <c r="AM984" s="563">
        <f t="shared" ca="1" si="68"/>
        <v>44960</v>
      </c>
      <c r="AN984" s="564">
        <v>55.49</v>
      </c>
      <c r="AO984" s="564">
        <v>1453243</v>
      </c>
      <c r="AP984" s="564">
        <v>44130.148999999998</v>
      </c>
      <c r="AQ984" s="564">
        <v>2448781.96801</v>
      </c>
      <c r="AR984" s="564">
        <v>1.0672999999999999</v>
      </c>
    </row>
    <row r="985" spans="39:44">
      <c r="AM985" s="563">
        <f t="shared" ca="1" si="68"/>
        <v>44959</v>
      </c>
      <c r="AN985" s="564">
        <v>54.45</v>
      </c>
      <c r="AO985" s="564">
        <v>1797902</v>
      </c>
      <c r="AP985" s="564">
        <v>44130.148999999998</v>
      </c>
      <c r="AQ985" s="564">
        <v>2402886.6130499998</v>
      </c>
      <c r="AR985" s="564">
        <v>1.0472999999999999</v>
      </c>
    </row>
    <row r="986" spans="39:44">
      <c r="AM986" s="563">
        <f t="shared" ca="1" si="68"/>
        <v>44958</v>
      </c>
      <c r="AN986" s="564">
        <v>54.45</v>
      </c>
      <c r="AO986" s="564">
        <v>1797902</v>
      </c>
      <c r="AP986" s="564">
        <v>44130.148999999998</v>
      </c>
      <c r="AQ986" s="564">
        <v>2402886.6130499998</v>
      </c>
      <c r="AR986" s="564">
        <v>1.0472999999999999</v>
      </c>
    </row>
    <row r="987" spans="39:44">
      <c r="AM987" s="563">
        <f t="shared" ca="1" si="68"/>
        <v>44957</v>
      </c>
      <c r="AN987" s="564">
        <v>54.45</v>
      </c>
      <c r="AO987" s="564">
        <v>1797902</v>
      </c>
      <c r="AP987" s="564">
        <v>44130.148999999998</v>
      </c>
      <c r="AQ987" s="564">
        <v>2402886.6130499998</v>
      </c>
      <c r="AR987" s="564">
        <v>1.0472999999999999</v>
      </c>
    </row>
    <row r="988" spans="39:44">
      <c r="AM988" s="563">
        <f t="shared" ca="1" si="68"/>
        <v>44956</v>
      </c>
      <c r="AN988" s="564">
        <v>54.45</v>
      </c>
      <c r="AO988" s="564">
        <v>1797902</v>
      </c>
      <c r="AP988" s="564">
        <v>44130.148999999998</v>
      </c>
      <c r="AQ988" s="564">
        <v>2402886.6130499998</v>
      </c>
      <c r="AR988" s="564">
        <v>1.0472999999999999</v>
      </c>
    </row>
    <row r="989" spans="39:44">
      <c r="AM989" s="563">
        <f t="shared" ca="1" si="68"/>
        <v>44955</v>
      </c>
      <c r="AN989" s="564">
        <v>53.17</v>
      </c>
      <c r="AO989" s="564">
        <v>6089603</v>
      </c>
      <c r="AP989" s="564">
        <v>44130.148999999998</v>
      </c>
      <c r="AQ989" s="564">
        <v>2346400.0223300001</v>
      </c>
      <c r="AR989" s="564">
        <v>1.0226999999999999</v>
      </c>
    </row>
    <row r="990" spans="39:44">
      <c r="AM990" s="563">
        <f t="shared" ca="1" si="68"/>
        <v>44954</v>
      </c>
      <c r="AN990" s="564">
        <v>62.19</v>
      </c>
      <c r="AO990" s="564">
        <v>1343564</v>
      </c>
      <c r="AP990" s="564">
        <v>44130.148999999998</v>
      </c>
      <c r="AQ990" s="564">
        <v>2744453.9663099996</v>
      </c>
      <c r="AR990" s="564">
        <v>1.1961999999999999</v>
      </c>
    </row>
    <row r="991" spans="39:44">
      <c r="AM991" s="563">
        <f t="shared" ca="1" si="68"/>
        <v>44953</v>
      </c>
      <c r="AN991" s="564">
        <v>63.78</v>
      </c>
      <c r="AO991" s="564">
        <v>1122436</v>
      </c>
      <c r="AP991" s="564">
        <v>44135.851000000002</v>
      </c>
      <c r="AQ991" s="564">
        <v>2814984.5767800002</v>
      </c>
      <c r="AR991" s="564">
        <v>1.2267999999999999</v>
      </c>
    </row>
    <row r="992" spans="39:44">
      <c r="AM992" s="563">
        <f t="shared" ca="1" si="68"/>
        <v>44952</v>
      </c>
      <c r="AN992" s="564">
        <v>64.63</v>
      </c>
      <c r="AO992" s="564">
        <v>754496</v>
      </c>
      <c r="AP992" s="564">
        <v>44135.851000000002</v>
      </c>
      <c r="AQ992" s="564">
        <v>2852500.0501299999</v>
      </c>
      <c r="AR992" s="564">
        <v>1.2431000000000001</v>
      </c>
    </row>
    <row r="993" spans="39:44">
      <c r="AM993" s="563">
        <f t="shared" ca="1" si="68"/>
        <v>44951</v>
      </c>
      <c r="AN993" s="564">
        <v>64.63</v>
      </c>
      <c r="AO993" s="564">
        <v>754496</v>
      </c>
      <c r="AP993" s="564">
        <v>44135.851000000002</v>
      </c>
      <c r="AQ993" s="564">
        <v>2852500.0501299999</v>
      </c>
      <c r="AR993" s="564">
        <v>1.2431000000000001</v>
      </c>
    </row>
    <row r="994" spans="39:44">
      <c r="AM994" s="563">
        <f t="shared" ca="1" si="68"/>
        <v>44950</v>
      </c>
      <c r="AN994" s="564">
        <v>64.63</v>
      </c>
      <c r="AO994" s="564">
        <v>754496</v>
      </c>
      <c r="AP994" s="564">
        <v>44135.851000000002</v>
      </c>
      <c r="AQ994" s="564">
        <v>2852500.0501299999</v>
      </c>
      <c r="AR994" s="564">
        <v>1.2431000000000001</v>
      </c>
    </row>
    <row r="995" spans="39:44">
      <c r="AM995" s="563">
        <f t="shared" ca="1" si="68"/>
        <v>44949</v>
      </c>
      <c r="AN995" s="564">
        <v>64.63</v>
      </c>
      <c r="AO995" s="564">
        <v>754496</v>
      </c>
      <c r="AP995" s="564">
        <v>44135.851000000002</v>
      </c>
      <c r="AQ995" s="564">
        <v>2852500.0501299999</v>
      </c>
      <c r="AR995" s="564">
        <v>1.2431000000000001</v>
      </c>
    </row>
    <row r="996" spans="39:44">
      <c r="AM996" s="563">
        <f t="shared" ca="1" si="68"/>
        <v>44948</v>
      </c>
      <c r="AN996" s="564">
        <v>63.08</v>
      </c>
      <c r="AO996" s="564">
        <v>963543</v>
      </c>
      <c r="AP996" s="564">
        <v>44135.851000000002</v>
      </c>
      <c r="AQ996" s="564">
        <v>2784089.4810800003</v>
      </c>
      <c r="AR996" s="564">
        <v>1.2133</v>
      </c>
    </row>
    <row r="997" spans="39:44">
      <c r="AM997" s="563">
        <f t="shared" ca="1" si="68"/>
        <v>44947</v>
      </c>
      <c r="AN997" s="564">
        <v>62.58</v>
      </c>
      <c r="AO997" s="564">
        <v>1004894</v>
      </c>
      <c r="AP997" s="564">
        <v>44135.851000000002</v>
      </c>
      <c r="AQ997" s="564">
        <v>2762021.5555799999</v>
      </c>
      <c r="AR997" s="564">
        <v>1.2037</v>
      </c>
    </row>
    <row r="998" spans="39:44">
      <c r="AM998" s="563">
        <f t="shared" ca="1" si="68"/>
        <v>44946</v>
      </c>
      <c r="AN998" s="564">
        <v>62.19</v>
      </c>
      <c r="AO998" s="564">
        <v>1180924</v>
      </c>
      <c r="AP998" s="564">
        <v>44135.851000000002</v>
      </c>
      <c r="AQ998" s="564">
        <v>2744808.57369</v>
      </c>
      <c r="AR998" s="564">
        <v>1.1961999999999999</v>
      </c>
    </row>
    <row r="999" spans="39:44">
      <c r="AM999" s="563">
        <f t="shared" ca="1" si="68"/>
        <v>44945</v>
      </c>
      <c r="AN999" s="564">
        <v>61.08</v>
      </c>
      <c r="AO999" s="564">
        <v>1241204</v>
      </c>
      <c r="AP999" s="564">
        <v>44135.851000000002</v>
      </c>
      <c r="AQ999" s="564">
        <v>2695817.7790800002</v>
      </c>
      <c r="AR999" s="564">
        <v>1.1748000000000001</v>
      </c>
    </row>
    <row r="1000" spans="39:44">
      <c r="AM1000" s="563">
        <f t="shared" ca="1" si="68"/>
        <v>44944</v>
      </c>
      <c r="AN1000" s="564">
        <v>60.03</v>
      </c>
      <c r="AO1000" s="564">
        <v>3146403</v>
      </c>
      <c r="AP1000" s="564">
        <v>44135.851000000002</v>
      </c>
      <c r="AQ1000" s="564">
        <v>2649475.1355300001</v>
      </c>
      <c r="AR1000" s="564">
        <v>1.1546000000000001</v>
      </c>
    </row>
    <row r="1001" spans="39:44">
      <c r="AM1001" s="563">
        <f t="shared" ca="1" si="68"/>
        <v>44943</v>
      </c>
      <c r="AN1001" s="564">
        <v>60.03</v>
      </c>
      <c r="AO1001" s="564">
        <v>3146403</v>
      </c>
      <c r="AP1001" s="564">
        <v>44135.851000000002</v>
      </c>
      <c r="AQ1001" s="564">
        <v>2649475.1355300001</v>
      </c>
      <c r="AR1001" s="564">
        <v>1.1546000000000001</v>
      </c>
    </row>
    <row r="1002" spans="39:44">
      <c r="AM1002" s="563">
        <f t="shared" ca="1" si="68"/>
        <v>44942</v>
      </c>
      <c r="AN1002" s="564">
        <v>60.03</v>
      </c>
      <c r="AO1002" s="564">
        <v>3146403</v>
      </c>
      <c r="AP1002" s="564">
        <v>44135.851000000002</v>
      </c>
      <c r="AQ1002" s="564">
        <v>2649475.1355300001</v>
      </c>
      <c r="AR1002" s="564">
        <v>1.1546000000000001</v>
      </c>
    </row>
    <row r="1003" spans="39:44">
      <c r="AM1003" s="563">
        <f t="shared" ca="1" si="68"/>
        <v>44941</v>
      </c>
      <c r="AN1003" s="564">
        <v>58.28</v>
      </c>
      <c r="AO1003" s="564">
        <v>1344571</v>
      </c>
      <c r="AP1003" s="564">
        <v>44135.851000000002</v>
      </c>
      <c r="AQ1003" s="564">
        <v>2572237.39628</v>
      </c>
      <c r="AR1003" s="564">
        <v>1.121</v>
      </c>
    </row>
    <row r="1004" spans="39:44">
      <c r="AM1004" s="563">
        <f t="shared" ca="1" si="68"/>
        <v>44940</v>
      </c>
      <c r="AN1004" s="564">
        <v>56.93</v>
      </c>
      <c r="AO1004" s="564">
        <v>641682</v>
      </c>
      <c r="AP1004" s="564">
        <v>44135.851000000002</v>
      </c>
      <c r="AQ1004" s="564">
        <v>2512653.99743</v>
      </c>
      <c r="AR1004" s="564">
        <v>1.095</v>
      </c>
    </row>
    <row r="1005" spans="39:44">
      <c r="AM1005" s="563">
        <f t="shared" ca="1" si="68"/>
        <v>44939</v>
      </c>
      <c r="AN1005" s="564">
        <v>57.26</v>
      </c>
      <c r="AO1005" s="564">
        <v>972727</v>
      </c>
      <c r="AP1005" s="564">
        <v>44135.851000000002</v>
      </c>
      <c r="AQ1005" s="564">
        <v>2527218.8282599999</v>
      </c>
      <c r="AR1005" s="564">
        <v>1.1013999999999999</v>
      </c>
    </row>
    <row r="1006" spans="39:44">
      <c r="AM1006" s="563">
        <f t="shared" ca="1" si="68"/>
        <v>44938</v>
      </c>
      <c r="AN1006" s="564">
        <v>58.44</v>
      </c>
      <c r="AO1006" s="564">
        <v>751065</v>
      </c>
      <c r="AP1006" s="564">
        <v>44135.851000000002</v>
      </c>
      <c r="AQ1006" s="564">
        <v>2579299.1324399998</v>
      </c>
      <c r="AR1006" s="564">
        <v>1.1241000000000001</v>
      </c>
    </row>
    <row r="1007" spans="39:44">
      <c r="AM1007" s="563">
        <f t="shared" ca="1" si="68"/>
        <v>44937</v>
      </c>
      <c r="AN1007" s="564">
        <v>58.155000000000001</v>
      </c>
      <c r="AO1007" s="564">
        <v>361710</v>
      </c>
      <c r="AP1007" s="564">
        <v>44135.851000000002</v>
      </c>
      <c r="AQ1007" s="564">
        <v>2566720.414905</v>
      </c>
      <c r="AR1007" s="564">
        <v>1.1186</v>
      </c>
    </row>
    <row r="1008" spans="39:44">
      <c r="AM1008" s="563">
        <f t="shared" ca="1" si="68"/>
        <v>44936</v>
      </c>
      <c r="AN1008" s="564">
        <v>58.155000000000001</v>
      </c>
      <c r="AO1008" s="564">
        <v>361710</v>
      </c>
      <c r="AP1008" s="564">
        <v>44135.851000000002</v>
      </c>
      <c r="AQ1008" s="564">
        <v>2566720.414905</v>
      </c>
      <c r="AR1008" s="564">
        <v>1.1186</v>
      </c>
    </row>
    <row r="1009" spans="39:44">
      <c r="AM1009" s="563">
        <f t="shared" ca="1" si="68"/>
        <v>44935</v>
      </c>
      <c r="AN1009" s="564">
        <v>58.155000000000001</v>
      </c>
      <c r="AO1009" s="564">
        <v>361710</v>
      </c>
      <c r="AP1009" s="564">
        <v>44135.851000000002</v>
      </c>
      <c r="AQ1009" s="564">
        <v>2566720.414905</v>
      </c>
      <c r="AR1009" s="564">
        <v>1.1186</v>
      </c>
    </row>
    <row r="1010" spans="39:44">
      <c r="AM1010" s="563">
        <f t="shared" ca="1" si="68"/>
        <v>44934</v>
      </c>
      <c r="AN1010" s="564">
        <v>59.08</v>
      </c>
      <c r="AO1010" s="564">
        <v>534809</v>
      </c>
      <c r="AP1010" s="564">
        <v>44135.851000000002</v>
      </c>
      <c r="AQ1010" s="564">
        <v>2607546.0770800002</v>
      </c>
      <c r="AR1010" s="564">
        <v>1.1364000000000001</v>
      </c>
    </row>
    <row r="1011" spans="39:44">
      <c r="AM1011" s="563">
        <f t="shared" ca="1" si="68"/>
        <v>44933</v>
      </c>
      <c r="AN1011" s="564">
        <v>59.36</v>
      </c>
      <c r="AO1011" s="564">
        <v>581680</v>
      </c>
      <c r="AP1011" s="564">
        <v>44135.851000000002</v>
      </c>
      <c r="AQ1011" s="564">
        <v>2619904.1153600002</v>
      </c>
      <c r="AR1011" s="564">
        <v>1.1417999999999999</v>
      </c>
    </row>
    <row r="1012" spans="39:44">
      <c r="AM1012" s="563">
        <f t="shared" ca="1" si="68"/>
        <v>44932</v>
      </c>
      <c r="AN1012" s="564">
        <v>59.07</v>
      </c>
      <c r="AO1012" s="564">
        <v>550321</v>
      </c>
      <c r="AP1012" s="564">
        <v>44135.851000000002</v>
      </c>
      <c r="AQ1012" s="564">
        <v>2607104.71857</v>
      </c>
      <c r="AR1012" s="564">
        <v>1.1362000000000001</v>
      </c>
    </row>
    <row r="1013" spans="39:44">
      <c r="AM1013" s="563">
        <f t="shared" ca="1" si="68"/>
        <v>44931</v>
      </c>
      <c r="AN1013" s="564">
        <v>58.95</v>
      </c>
      <c r="AO1013" s="564">
        <v>663441</v>
      </c>
      <c r="AP1013" s="564">
        <v>44135.851000000002</v>
      </c>
      <c r="AQ1013" s="564">
        <v>2601808.4164500004</v>
      </c>
      <c r="AR1013" s="564">
        <v>1.1338999999999999</v>
      </c>
    </row>
    <row r="1014" spans="39:44">
      <c r="AM1014" s="563">
        <f t="shared" ca="1" si="68"/>
        <v>44930</v>
      </c>
      <c r="AN1014" s="564">
        <v>59.29</v>
      </c>
      <c r="AO1014" s="564">
        <v>551247</v>
      </c>
      <c r="AP1014" s="564">
        <v>44135.851000000002</v>
      </c>
      <c r="AQ1014" s="564">
        <v>2616814.6057899999</v>
      </c>
      <c r="AR1014" s="564">
        <v>1.1404000000000001</v>
      </c>
    </row>
    <row r="1015" spans="39:44">
      <c r="AM1015" s="563">
        <f t="shared" ca="1" si="68"/>
        <v>44929</v>
      </c>
      <c r="AN1015" s="564">
        <v>59.29</v>
      </c>
      <c r="AO1015" s="564">
        <v>551247</v>
      </c>
      <c r="AP1015" s="564">
        <v>44135.851000000002</v>
      </c>
      <c r="AQ1015" s="564">
        <v>2616814.6057899999</v>
      </c>
      <c r="AR1015" s="564">
        <v>1.1404000000000001</v>
      </c>
    </row>
    <row r="1016" spans="39:44">
      <c r="AM1016" s="563">
        <f t="shared" ca="1" si="68"/>
        <v>44928</v>
      </c>
      <c r="AN1016" s="564">
        <v>59.29</v>
      </c>
      <c r="AO1016" s="564">
        <v>551247</v>
      </c>
      <c r="AP1016" s="564">
        <v>44135.851000000002</v>
      </c>
      <c r="AQ1016" s="564">
        <v>2616814.6057899999</v>
      </c>
      <c r="AR1016" s="564">
        <v>1.1404000000000001</v>
      </c>
    </row>
    <row r="1017" spans="39:44">
      <c r="AM1017" s="563">
        <f t="shared" ca="1" si="68"/>
        <v>44927</v>
      </c>
      <c r="AN1017" s="564">
        <v>58.13</v>
      </c>
      <c r="AO1017" s="564">
        <v>472415</v>
      </c>
      <c r="AP1017" s="564">
        <v>44135.851000000002</v>
      </c>
      <c r="AQ1017" s="564">
        <v>2565617.0186300003</v>
      </c>
      <c r="AR1017" s="564">
        <v>1.1181000000000001</v>
      </c>
    </row>
    <row r="1018" spans="39:44">
      <c r="AM1018" s="563">
        <f t="shared" ca="1" si="68"/>
        <v>44926</v>
      </c>
      <c r="AN1018" s="564">
        <v>58.28</v>
      </c>
      <c r="AO1018" s="564">
        <v>624148</v>
      </c>
      <c r="AP1018" s="564">
        <v>44135.851000000002</v>
      </c>
      <c r="AQ1018" s="564">
        <v>2572237.39628</v>
      </c>
      <c r="AR1018" s="564">
        <v>1.121</v>
      </c>
    </row>
    <row r="1019" spans="39:44">
      <c r="AM1019" s="563">
        <f t="shared" ca="1" si="68"/>
        <v>44925</v>
      </c>
      <c r="AN1019" s="564">
        <v>57.51</v>
      </c>
      <c r="AO1019" s="564">
        <v>405547</v>
      </c>
      <c r="AP1019" s="564">
        <v>44135.851000000002</v>
      </c>
      <c r="AQ1019" s="564">
        <v>2538252.7910100003</v>
      </c>
      <c r="AR1019" s="564">
        <v>1.1062000000000001</v>
      </c>
    </row>
    <row r="1020" spans="39:44">
      <c r="AM1020" s="563">
        <f t="shared" ca="1" si="68"/>
        <v>44924</v>
      </c>
      <c r="AN1020" s="564">
        <v>56.94</v>
      </c>
      <c r="AO1020" s="564">
        <v>487165</v>
      </c>
      <c r="AP1020" s="564">
        <v>44135.851000000002</v>
      </c>
      <c r="AQ1020" s="564">
        <v>2513095.3559400002</v>
      </c>
      <c r="AR1020" s="564">
        <v>1.0952</v>
      </c>
    </row>
    <row r="1021" spans="39:44">
      <c r="AM1021" s="563">
        <f t="shared" ca="1" si="68"/>
        <v>44923</v>
      </c>
      <c r="AN1021" s="564">
        <v>57.85</v>
      </c>
      <c r="AO1021" s="564">
        <v>213751</v>
      </c>
      <c r="AP1021" s="564">
        <v>44135.851000000002</v>
      </c>
      <c r="AQ1021" s="564">
        <v>2553258.9803500003</v>
      </c>
      <c r="AR1021" s="564">
        <v>1.3354999999999999</v>
      </c>
    </row>
    <row r="1022" spans="39:44">
      <c r="AM1022" s="563">
        <f t="shared" ca="1" si="68"/>
        <v>44922</v>
      </c>
      <c r="AN1022" s="564">
        <v>57.85</v>
      </c>
      <c r="AO1022" s="564">
        <v>213751</v>
      </c>
      <c r="AP1022" s="564">
        <v>44135.851000000002</v>
      </c>
      <c r="AQ1022" s="564">
        <v>2553258.9803500003</v>
      </c>
      <c r="AR1022" s="564">
        <v>1.3354999999999999</v>
      </c>
    </row>
    <row r="1023" spans="39:44">
      <c r="AM1023" s="563">
        <f t="shared" ca="1" si="68"/>
        <v>44921</v>
      </c>
      <c r="AN1023" s="564">
        <v>57.85</v>
      </c>
      <c r="AO1023" s="564">
        <v>213751</v>
      </c>
      <c r="AP1023" s="564">
        <v>44135.851000000002</v>
      </c>
      <c r="AQ1023" s="564">
        <v>2553258.9803500003</v>
      </c>
      <c r="AR1023" s="564">
        <v>1.3354999999999999</v>
      </c>
    </row>
    <row r="1024" spans="39:44">
      <c r="AM1024" s="563">
        <f t="shared" ca="1" si="68"/>
        <v>44920</v>
      </c>
      <c r="AN1024" s="564">
        <v>56.88</v>
      </c>
      <c r="AO1024" s="564">
        <v>697913</v>
      </c>
      <c r="AP1024" s="564">
        <v>44135.851000000002</v>
      </c>
      <c r="AQ1024" s="564">
        <v>2510447.2048800001</v>
      </c>
      <c r="AR1024" s="564">
        <v>1.3131999999999999</v>
      </c>
    </row>
    <row r="1025" spans="39:44">
      <c r="AM1025" s="563">
        <f t="shared" ca="1" si="68"/>
        <v>44919</v>
      </c>
      <c r="AN1025" s="564">
        <v>56.88</v>
      </c>
      <c r="AO1025" s="564">
        <v>697913</v>
      </c>
      <c r="AP1025" s="564">
        <v>44135.851000000002</v>
      </c>
      <c r="AQ1025" s="564">
        <v>2510447.2048800001</v>
      </c>
      <c r="AR1025" s="564">
        <v>1.3131999999999999</v>
      </c>
    </row>
    <row r="1026" spans="39:44">
      <c r="AM1026" s="563">
        <f t="shared" ca="1" si="68"/>
        <v>44918</v>
      </c>
      <c r="AN1026" s="564">
        <v>56.98</v>
      </c>
      <c r="AO1026" s="564">
        <v>769947</v>
      </c>
      <c r="AP1026" s="564">
        <v>44135.851000000002</v>
      </c>
      <c r="AQ1026" s="564">
        <v>2514860.7899799999</v>
      </c>
      <c r="AR1026" s="564">
        <v>1.3154999999999999</v>
      </c>
    </row>
    <row r="1027" spans="39:44">
      <c r="AM1027" s="563">
        <f t="shared" ca="1" si="68"/>
        <v>44917</v>
      </c>
      <c r="AN1027" s="564">
        <v>56.41</v>
      </c>
      <c r="AO1027" s="564">
        <v>1078440</v>
      </c>
      <c r="AP1027" s="564">
        <v>44135.851000000002</v>
      </c>
      <c r="AQ1027" s="564">
        <v>2489703.3549099998</v>
      </c>
      <c r="AR1027" s="564">
        <v>1.3023</v>
      </c>
    </row>
    <row r="1028" spans="39:44">
      <c r="AM1028" s="563">
        <f t="shared" ca="1" si="68"/>
        <v>44916</v>
      </c>
      <c r="AN1028" s="564">
        <v>53.45</v>
      </c>
      <c r="AO1028" s="564">
        <v>766438</v>
      </c>
      <c r="AP1028" s="564">
        <v>44135.851000000002</v>
      </c>
      <c r="AQ1028" s="564">
        <v>2359061.2359500001</v>
      </c>
      <c r="AR1028" s="564">
        <v>1.234</v>
      </c>
    </row>
    <row r="1029" spans="39:44">
      <c r="AM1029" s="563">
        <f t="shared" ref="AM1029:AM1051" ca="1" si="69">AM1028-1</f>
        <v>44915</v>
      </c>
      <c r="AN1029" s="564">
        <v>53.45</v>
      </c>
      <c r="AO1029" s="564">
        <v>766438</v>
      </c>
      <c r="AP1029" s="564">
        <v>44135.851000000002</v>
      </c>
      <c r="AQ1029" s="564">
        <v>2359061.2359500001</v>
      </c>
      <c r="AR1029" s="564">
        <v>1.234</v>
      </c>
    </row>
    <row r="1030" spans="39:44">
      <c r="AM1030" s="563">
        <f t="shared" ca="1" si="69"/>
        <v>44914</v>
      </c>
      <c r="AN1030" s="564">
        <v>53.45</v>
      </c>
      <c r="AO1030" s="564">
        <v>766438</v>
      </c>
      <c r="AP1030" s="564">
        <v>44135.851000000002</v>
      </c>
      <c r="AQ1030" s="564">
        <v>2359061.2359500001</v>
      </c>
      <c r="AR1030" s="564">
        <v>1.234</v>
      </c>
    </row>
    <row r="1031" spans="39:44">
      <c r="AM1031" s="563">
        <f t="shared" ca="1" si="69"/>
        <v>44913</v>
      </c>
      <c r="AN1031" s="564">
        <v>53.22</v>
      </c>
      <c r="AO1031" s="564">
        <v>639914</v>
      </c>
      <c r="AP1031" s="564">
        <v>44135.851000000002</v>
      </c>
      <c r="AQ1031" s="564">
        <v>2348909.99022</v>
      </c>
      <c r="AR1031" s="564">
        <v>1.2286999999999999</v>
      </c>
    </row>
    <row r="1032" spans="39:44">
      <c r="AM1032" s="563">
        <f t="shared" ca="1" si="69"/>
        <v>44912</v>
      </c>
      <c r="AN1032" s="564">
        <v>53.8</v>
      </c>
      <c r="AO1032" s="564">
        <v>674130</v>
      </c>
      <c r="AP1032" s="564">
        <v>44135.851000000002</v>
      </c>
      <c r="AQ1032" s="564">
        <v>2374508.7837999999</v>
      </c>
      <c r="AR1032" s="564">
        <v>1.242</v>
      </c>
    </row>
    <row r="1033" spans="39:44">
      <c r="AM1033" s="563">
        <f t="shared" ca="1" si="69"/>
        <v>44911</v>
      </c>
      <c r="AN1033" s="564">
        <v>53.61</v>
      </c>
      <c r="AO1033" s="564">
        <v>826072</v>
      </c>
      <c r="AP1033" s="564">
        <v>44135.851000000002</v>
      </c>
      <c r="AQ1033" s="564">
        <v>2366122.97211</v>
      </c>
      <c r="AR1033" s="564">
        <v>1.2377</v>
      </c>
    </row>
    <row r="1034" spans="39:44">
      <c r="AM1034" s="563">
        <f t="shared" ca="1" si="69"/>
        <v>44910</v>
      </c>
      <c r="AN1034" s="564">
        <v>52.97</v>
      </c>
      <c r="AO1034" s="564">
        <v>734497</v>
      </c>
      <c r="AP1034" s="564">
        <v>44135.851000000002</v>
      </c>
      <c r="AQ1034" s="564">
        <v>2337876.0274700001</v>
      </c>
      <c r="AR1034" s="564">
        <v>1.2229000000000001</v>
      </c>
    </row>
    <row r="1035" spans="39:44">
      <c r="AM1035" s="563">
        <f t="shared" ca="1" si="69"/>
        <v>44909</v>
      </c>
      <c r="AN1035" s="564">
        <v>53.81</v>
      </c>
      <c r="AO1035" s="564">
        <v>1138354</v>
      </c>
      <c r="AP1035" s="564">
        <v>44135.851000000002</v>
      </c>
      <c r="AQ1035" s="564">
        <v>2374950.14231</v>
      </c>
      <c r="AR1035" s="564">
        <v>1.2423</v>
      </c>
    </row>
    <row r="1036" spans="39:44">
      <c r="AM1036" s="563">
        <f t="shared" ca="1" si="69"/>
        <v>44908</v>
      </c>
      <c r="AN1036" s="564">
        <v>53.81</v>
      </c>
      <c r="AO1036" s="564">
        <v>1138354</v>
      </c>
      <c r="AP1036" s="564">
        <v>44135.851000000002</v>
      </c>
      <c r="AQ1036" s="564">
        <v>2374950.14231</v>
      </c>
      <c r="AR1036" s="564">
        <v>1.2423</v>
      </c>
    </row>
    <row r="1037" spans="39:44">
      <c r="AM1037" s="563">
        <f t="shared" ca="1" si="69"/>
        <v>44907</v>
      </c>
      <c r="AN1037" s="564">
        <v>53.81</v>
      </c>
      <c r="AO1037" s="564">
        <v>1138354</v>
      </c>
      <c r="AP1037" s="564">
        <v>44135.851000000002</v>
      </c>
      <c r="AQ1037" s="564">
        <v>2374950.14231</v>
      </c>
      <c r="AR1037" s="564">
        <v>1.2423</v>
      </c>
    </row>
    <row r="1038" spans="39:44">
      <c r="AM1038" s="563">
        <f t="shared" ca="1" si="69"/>
        <v>44906</v>
      </c>
      <c r="AN1038" s="564">
        <v>57.38</v>
      </c>
      <c r="AO1038" s="564">
        <v>777904</v>
      </c>
      <c r="AP1038" s="564">
        <v>44135.851000000002</v>
      </c>
      <c r="AQ1038" s="564">
        <v>2532515.1303800005</v>
      </c>
      <c r="AR1038" s="564">
        <v>1.3247</v>
      </c>
    </row>
    <row r="1039" spans="39:44">
      <c r="AM1039" s="563">
        <f t="shared" ca="1" si="69"/>
        <v>44905</v>
      </c>
      <c r="AN1039" s="564">
        <v>58</v>
      </c>
      <c r="AO1039" s="564">
        <v>626776</v>
      </c>
      <c r="AP1039" s="564">
        <v>44135.851000000002</v>
      </c>
      <c r="AQ1039" s="564">
        <v>2559879.358</v>
      </c>
      <c r="AR1039" s="564">
        <v>1.339</v>
      </c>
    </row>
    <row r="1040" spans="39:44">
      <c r="AM1040" s="563">
        <f t="shared" ca="1" si="69"/>
        <v>44904</v>
      </c>
      <c r="AN1040" s="564">
        <v>59.66</v>
      </c>
      <c r="AO1040" s="564">
        <v>763767</v>
      </c>
      <c r="AP1040" s="564">
        <v>44135.851000000002</v>
      </c>
      <c r="AQ1040" s="564">
        <v>2633144.87066</v>
      </c>
      <c r="AR1040" s="564">
        <v>1.3773</v>
      </c>
    </row>
    <row r="1041" spans="39:44">
      <c r="AM1041" s="563">
        <f t="shared" ca="1" si="69"/>
        <v>44903</v>
      </c>
      <c r="AN1041" s="564">
        <v>59.2</v>
      </c>
      <c r="AO1041" s="564">
        <v>1082784</v>
      </c>
      <c r="AP1041" s="564">
        <v>44135.851000000002</v>
      </c>
      <c r="AQ1041" s="564">
        <v>2612842.3792000003</v>
      </c>
      <c r="AR1041" s="564">
        <v>1.3667</v>
      </c>
    </row>
    <row r="1042" spans="39:44">
      <c r="AM1042" s="563">
        <f t="shared" ca="1" si="69"/>
        <v>44902</v>
      </c>
      <c r="AN1042" s="564">
        <v>57.48</v>
      </c>
      <c r="AO1042" s="564">
        <v>470711</v>
      </c>
      <c r="AP1042" s="564">
        <v>44135.851000000002</v>
      </c>
      <c r="AQ1042" s="564">
        <v>2536928.7154799998</v>
      </c>
      <c r="AR1042" s="564">
        <v>1.327</v>
      </c>
    </row>
    <row r="1043" spans="39:44">
      <c r="AM1043" s="563">
        <f t="shared" ca="1" si="69"/>
        <v>44901</v>
      </c>
      <c r="AN1043" s="564">
        <v>57.48</v>
      </c>
      <c r="AO1043" s="564">
        <v>470711</v>
      </c>
      <c r="AP1043" s="564">
        <v>44135.851000000002</v>
      </c>
      <c r="AQ1043" s="564">
        <v>2536928.7154799998</v>
      </c>
      <c r="AR1043" s="564">
        <v>1.327</v>
      </c>
    </row>
    <row r="1044" spans="39:44">
      <c r="AM1044" s="563">
        <f t="shared" ca="1" si="69"/>
        <v>44900</v>
      </c>
      <c r="AN1044" s="564">
        <v>57.48</v>
      </c>
      <c r="AO1044" s="564">
        <v>470711</v>
      </c>
      <c r="AP1044" s="564">
        <v>44135.851000000002</v>
      </c>
      <c r="AQ1044" s="564">
        <v>2536928.7154799998</v>
      </c>
      <c r="AR1044" s="564">
        <v>1.327</v>
      </c>
    </row>
    <row r="1045" spans="39:44">
      <c r="AM1045" s="563">
        <f t="shared" ca="1" si="69"/>
        <v>44899</v>
      </c>
      <c r="AN1045" s="564">
        <v>57.94</v>
      </c>
      <c r="AO1045" s="564">
        <v>1023416</v>
      </c>
      <c r="AP1045" s="564">
        <v>44135.851000000002</v>
      </c>
      <c r="AQ1045" s="564">
        <v>2557231.2069399999</v>
      </c>
      <c r="AR1045" s="564">
        <v>1.3375999999999999</v>
      </c>
    </row>
    <row r="1046" spans="39:44">
      <c r="AM1046" s="563">
        <f t="shared" ca="1" si="69"/>
        <v>44898</v>
      </c>
      <c r="AN1046" s="564">
        <v>57.26</v>
      </c>
      <c r="AO1046" s="564">
        <v>643647</v>
      </c>
      <c r="AP1046" s="564">
        <v>44135.851000000002</v>
      </c>
      <c r="AQ1046" s="564">
        <v>2527218.8282599999</v>
      </c>
      <c r="AR1046" s="564">
        <v>1.3219000000000001</v>
      </c>
    </row>
    <row r="1047" spans="39:44">
      <c r="AM1047" s="563">
        <f t="shared" ca="1" si="69"/>
        <v>44897</v>
      </c>
      <c r="AN1047" s="564">
        <v>57.26</v>
      </c>
      <c r="AO1047" s="564">
        <v>1198414</v>
      </c>
      <c r="AP1047" s="564">
        <v>44135.851000000002</v>
      </c>
      <c r="AQ1047" s="564">
        <v>2527218.8282599999</v>
      </c>
      <c r="AR1047" s="564">
        <v>1.3219000000000001</v>
      </c>
    </row>
    <row r="1048" spans="39:44">
      <c r="AM1048" s="563">
        <f t="shared" ca="1" si="69"/>
        <v>44896</v>
      </c>
      <c r="AN1048" s="564">
        <v>56.51</v>
      </c>
      <c r="AO1048" s="564">
        <v>711012</v>
      </c>
      <c r="AP1048" s="564">
        <v>44135.851000000002</v>
      </c>
      <c r="AQ1048" s="564">
        <v>2494116.94001</v>
      </c>
      <c r="AR1048" s="564">
        <v>1.3046</v>
      </c>
    </row>
    <row r="1049" spans="39:44">
      <c r="AM1049" s="563">
        <f t="shared" ca="1" si="69"/>
        <v>44895</v>
      </c>
      <c r="AN1049" s="564">
        <v>56.87</v>
      </c>
      <c r="AO1049" s="564">
        <v>893511</v>
      </c>
      <c r="AP1049" s="564">
        <v>44135.851000000002</v>
      </c>
      <c r="AQ1049" s="564">
        <v>2510005.8463699999</v>
      </c>
      <c r="AR1049" s="564">
        <v>1.3129</v>
      </c>
    </row>
    <row r="1050" spans="39:44">
      <c r="AM1050" s="563">
        <f t="shared" ca="1" si="69"/>
        <v>44894</v>
      </c>
      <c r="AN1050" s="564">
        <v>56.87</v>
      </c>
      <c r="AO1050" s="564">
        <v>893511</v>
      </c>
      <c r="AP1050" s="564">
        <v>44135.851000000002</v>
      </c>
      <c r="AQ1050" s="564">
        <v>2510005.8463699999</v>
      </c>
      <c r="AR1050" s="564">
        <v>1.3129</v>
      </c>
    </row>
    <row r="1051" spans="39:44">
      <c r="AM1051" s="563">
        <f t="shared" ca="1" si="69"/>
        <v>44893</v>
      </c>
      <c r="AN1051" s="564">
        <v>56.87</v>
      </c>
      <c r="AO1051" s="564">
        <v>893511</v>
      </c>
      <c r="AP1051" s="564">
        <v>44135.851000000002</v>
      </c>
      <c r="AQ1051" s="564">
        <v>2510005.8463699999</v>
      </c>
      <c r="AR1051" s="564">
        <v>1.3129</v>
      </c>
    </row>
  </sheetData>
  <mergeCells count="5">
    <mergeCell ref="C3:H3"/>
    <mergeCell ref="J3:O3"/>
    <mergeCell ref="Y3:AD3"/>
    <mergeCell ref="AF3:AK3"/>
    <mergeCell ref="R3:W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BF949B8D-E3C6-4017-9340-D0E0185A6CF8}"/>
</file>

<file path=customXml/itemProps2.xml><?xml version="1.0" encoding="utf-8"?>
<ds:datastoreItem xmlns:ds="http://schemas.openxmlformats.org/officeDocument/2006/customXml" ds:itemID="{64BB988D-8D01-4A93-B497-E21446BB3F17}"/>
</file>

<file path=customXml/itemProps3.xml><?xml version="1.0" encoding="utf-8"?>
<ds:datastoreItem xmlns:ds="http://schemas.openxmlformats.org/officeDocument/2006/customXml" ds:itemID="{AB79CB92-5331-4E6D-BCCA-3ED810C77402}"/>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José Ricardo Ramos Duro Godinho</cp:lastModifiedBy>
  <cp:revision/>
  <dcterms:created xsi:type="dcterms:W3CDTF">2025-02-25T16:23:47Z</dcterms:created>
  <dcterms:modified xsi:type="dcterms:W3CDTF">2025-10-10T00:01:00Z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